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Scale" sheetId="9" r:id="rId9"/>
  </sheets>
  <definedNames>
    <definedName name="__xlnm._FilterDatabase" localSheetId="7">FoodDB!$A$1:$I$23</definedName>
    <definedName name="_xlnm._FilterDatabase" localSheetId="7">FoodDB!$A$1:$I$23</definedName>
    <definedName name="_FilterDatabase_0" localSheetId="7">FoodDB!$A$1:$I$23</definedName>
    <definedName name="_FilterDatabase_0_0" localSheetId="7">FoodDB!$A$1:$I$23</definedName>
    <definedName name="_FilterDatabase_0_0_0" localSheetId="7">FoodDB!$A$1:$I$23</definedName>
    <definedName name="_FilterDatabase_0_0_0_0" localSheetId="7">FoodDB!$A$1:$I$23</definedName>
    <definedName name="_FilterDatabase_0_0_0_0_0" localSheetId="7">FoodDB!$A$1:$I$23</definedName>
    <definedName name="df" localSheetId="7">FoodDB!$A$1:$I$23</definedName>
    <definedName name="filter2" localSheetId="7">FoodDB!$A$1:$I$23</definedName>
    <definedName name="filter5" localSheetId="7">FoodDB!$A$1:$I$23</definedName>
    <definedName name="sad" localSheetId="7">FoodDB!$A$1:$I$23</definedName>
    <definedName name="sdfsdf" localSheetId="7">FoodDB!$A$1:$I$23</definedName>
    <definedName name="that" localSheetId="7">FoodDB!$A$1:$I$23</definedName>
    <definedName name="this" localSheetId="7">FoodDB!$A$1:$I$23</definedName>
    <definedName name="wer" localSheetId="7">FoodDB!$A$1:$I$23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" i="6" l="1"/>
  <c r="I111" i="9"/>
  <c r="B111" i="9"/>
  <c r="A111" i="9"/>
  <c r="I110" i="9"/>
  <c r="B110" i="9"/>
  <c r="A110" i="9"/>
  <c r="I109" i="9"/>
  <c r="B109" i="9"/>
  <c r="A109" i="9"/>
  <c r="I108" i="9"/>
  <c r="B108" i="9"/>
  <c r="A108" i="9"/>
  <c r="I107" i="9"/>
  <c r="B107" i="9"/>
  <c r="A107" i="9"/>
  <c r="I106" i="9"/>
  <c r="B106" i="9"/>
  <c r="A106" i="9"/>
  <c r="I105" i="9"/>
  <c r="B105" i="9"/>
  <c r="A105" i="9"/>
  <c r="I104" i="9"/>
  <c r="B104" i="9"/>
  <c r="A104" i="9"/>
  <c r="I103" i="9"/>
  <c r="B103" i="9"/>
  <c r="A103" i="9"/>
  <c r="I102" i="9"/>
  <c r="B102" i="9"/>
  <c r="A102" i="9"/>
  <c r="I101" i="9"/>
  <c r="B101" i="9"/>
  <c r="A101" i="9"/>
  <c r="I100" i="9"/>
  <c r="B100" i="9"/>
  <c r="A100" i="9"/>
  <c r="I99" i="9"/>
  <c r="B99" i="9"/>
  <c r="A99" i="9"/>
  <c r="I98" i="9"/>
  <c r="B98" i="9"/>
  <c r="A98" i="9"/>
  <c r="I97" i="9"/>
  <c r="B97" i="9"/>
  <c r="A97" i="9"/>
  <c r="I96" i="9"/>
  <c r="B96" i="9"/>
  <c r="A96" i="9"/>
  <c r="I95" i="9"/>
  <c r="B95" i="9"/>
  <c r="A95" i="9"/>
  <c r="I94" i="9"/>
  <c r="B94" i="9"/>
  <c r="A94" i="9"/>
  <c r="I93" i="9"/>
  <c r="B93" i="9"/>
  <c r="A93" i="9"/>
  <c r="I92" i="9"/>
  <c r="B92" i="9"/>
  <c r="A92" i="9"/>
  <c r="I91" i="9"/>
  <c r="B91" i="9"/>
  <c r="A91" i="9"/>
  <c r="I90" i="9"/>
  <c r="B90" i="9"/>
  <c r="A90" i="9"/>
  <c r="I89" i="9"/>
  <c r="B89" i="9"/>
  <c r="A89" i="9"/>
  <c r="I88" i="9"/>
  <c r="B88" i="9"/>
  <c r="A88" i="9"/>
  <c r="I87" i="9"/>
  <c r="B87" i="9"/>
  <c r="A87" i="9"/>
  <c r="I86" i="9"/>
  <c r="B86" i="9"/>
  <c r="A86" i="9"/>
  <c r="I85" i="9"/>
  <c r="B85" i="9"/>
  <c r="A85" i="9"/>
  <c r="I84" i="9"/>
  <c r="B84" i="9"/>
  <c r="A84" i="9"/>
  <c r="I83" i="9"/>
  <c r="B83" i="9"/>
  <c r="A83" i="9"/>
  <c r="I82" i="9"/>
  <c r="B82" i="9"/>
  <c r="A82" i="9"/>
  <c r="I81" i="9"/>
  <c r="B81" i="9"/>
  <c r="A81" i="9"/>
  <c r="I80" i="9"/>
  <c r="B80" i="9"/>
  <c r="A80" i="9"/>
  <c r="I79" i="9"/>
  <c r="B79" i="9"/>
  <c r="A79" i="9"/>
  <c r="I78" i="9"/>
  <c r="B78" i="9"/>
  <c r="A78" i="9"/>
  <c r="I77" i="9"/>
  <c r="B77" i="9"/>
  <c r="A77" i="9"/>
  <c r="I76" i="9"/>
  <c r="B76" i="9"/>
  <c r="A76" i="9"/>
  <c r="I75" i="9"/>
  <c r="B75" i="9"/>
  <c r="A75" i="9"/>
  <c r="I74" i="9"/>
  <c r="B74" i="9"/>
  <c r="A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M5" i="9"/>
  <c r="L5" i="9"/>
  <c r="K5" i="9"/>
  <c r="N5" i="9" s="1"/>
  <c r="J5" i="9"/>
  <c r="I5" i="9"/>
  <c r="N4" i="9"/>
  <c r="L4" i="9"/>
  <c r="K4" i="9"/>
  <c r="J4" i="9"/>
  <c r="I4" i="9"/>
  <c r="L3" i="9"/>
  <c r="K3" i="9"/>
  <c r="J3" i="9"/>
  <c r="M4" i="9" s="1"/>
  <c r="B3" i="9"/>
  <c r="A3" i="9"/>
  <c r="B2" i="9"/>
  <c r="A2" i="9"/>
  <c r="H43" i="8"/>
  <c r="G43" i="8"/>
  <c r="F43" i="8"/>
  <c r="I43" i="8" s="1"/>
  <c r="H42" i="8"/>
  <c r="I42" i="8" s="1"/>
  <c r="G42" i="8"/>
  <c r="F42" i="8"/>
  <c r="H41" i="8"/>
  <c r="I41" i="8" s="1"/>
  <c r="G41" i="8"/>
  <c r="F41" i="8"/>
  <c r="H40" i="8"/>
  <c r="I40" i="8" s="1"/>
  <c r="G40" i="8"/>
  <c r="F40" i="8"/>
  <c r="H39" i="8"/>
  <c r="I39" i="8" s="1"/>
  <c r="G39" i="8"/>
  <c r="F39" i="8"/>
  <c r="H38" i="8"/>
  <c r="I38" i="8" s="1"/>
  <c r="G38" i="8"/>
  <c r="F38" i="8"/>
  <c r="H37" i="8"/>
  <c r="I37" i="8" s="1"/>
  <c r="G37" i="8"/>
  <c r="F37" i="8"/>
  <c r="H36" i="8"/>
  <c r="I36" i="8" s="1"/>
  <c r="G36" i="8"/>
  <c r="F36" i="8"/>
  <c r="H35" i="8"/>
  <c r="I35" i="8" s="1"/>
  <c r="G35" i="8"/>
  <c r="F35" i="8"/>
  <c r="H34" i="8"/>
  <c r="I34" i="8" s="1"/>
  <c r="G34" i="8"/>
  <c r="F34" i="8"/>
  <c r="H33" i="8"/>
  <c r="I33" i="8" s="1"/>
  <c r="G33" i="8"/>
  <c r="F33" i="8"/>
  <c r="H32" i="8"/>
  <c r="I32" i="8" s="1"/>
  <c r="G32" i="8"/>
  <c r="F32" i="8"/>
  <c r="H31" i="8"/>
  <c r="I31" i="8" s="1"/>
  <c r="G31" i="8"/>
  <c r="F31" i="8"/>
  <c r="H30" i="8"/>
  <c r="I30" i="8" s="1"/>
  <c r="G30" i="8"/>
  <c r="F30" i="8"/>
  <c r="H29" i="8"/>
  <c r="I29" i="8" s="1"/>
  <c r="G29" i="8"/>
  <c r="F29" i="8"/>
  <c r="H28" i="8"/>
  <c r="I28" i="8" s="1"/>
  <c r="G28" i="8"/>
  <c r="F28" i="8"/>
  <c r="H27" i="8"/>
  <c r="I27" i="8" s="1"/>
  <c r="G27" i="8"/>
  <c r="F27" i="8"/>
  <c r="H26" i="8"/>
  <c r="I26" i="8" s="1"/>
  <c r="G26" i="8"/>
  <c r="F26" i="8"/>
  <c r="H25" i="8"/>
  <c r="I25" i="8" s="1"/>
  <c r="G25" i="8"/>
  <c r="F25" i="8"/>
  <c r="H24" i="8"/>
  <c r="G24" i="8"/>
  <c r="F24" i="8"/>
  <c r="H23" i="8"/>
  <c r="G23" i="8"/>
  <c r="I23" i="8" s="1"/>
  <c r="F23" i="8"/>
  <c r="H22" i="8"/>
  <c r="G22" i="8"/>
  <c r="I22" i="8" s="1"/>
  <c r="F22" i="8"/>
  <c r="H21" i="8"/>
  <c r="G21" i="8"/>
  <c r="I21" i="8" s="1"/>
  <c r="F21" i="8"/>
  <c r="H20" i="8"/>
  <c r="G20" i="8"/>
  <c r="I20" i="8" s="1"/>
  <c r="F20" i="8"/>
  <c r="H19" i="8"/>
  <c r="G19" i="8"/>
  <c r="I19" i="8" s="1"/>
  <c r="F19" i="8"/>
  <c r="H18" i="8"/>
  <c r="G18" i="8"/>
  <c r="I18" i="8" s="1"/>
  <c r="F18" i="8"/>
  <c r="H17" i="8"/>
  <c r="G17" i="8"/>
  <c r="I17" i="8" s="1"/>
  <c r="F17" i="8"/>
  <c r="H16" i="8"/>
  <c r="G16" i="8"/>
  <c r="I16" i="8" s="1"/>
  <c r="F16" i="8"/>
  <c r="H15" i="8"/>
  <c r="G15" i="8"/>
  <c r="I15" i="8" s="1"/>
  <c r="F15" i="8"/>
  <c r="H14" i="8"/>
  <c r="G14" i="8"/>
  <c r="I14" i="8" s="1"/>
  <c r="F14" i="8"/>
  <c r="H13" i="8"/>
  <c r="G13" i="8"/>
  <c r="I13" i="8" s="1"/>
  <c r="F13" i="8"/>
  <c r="H12" i="8"/>
  <c r="G12" i="8"/>
  <c r="I12" i="8" s="1"/>
  <c r="F12" i="8"/>
  <c r="H11" i="8"/>
  <c r="G11" i="8"/>
  <c r="I11" i="8" s="1"/>
  <c r="F11" i="8"/>
  <c r="H10" i="8"/>
  <c r="G10" i="8"/>
  <c r="I10" i="8" s="1"/>
  <c r="F10" i="8"/>
  <c r="H9" i="8"/>
  <c r="G9" i="8"/>
  <c r="I9" i="8" s="1"/>
  <c r="F9" i="8"/>
  <c r="D9" i="8"/>
  <c r="H8" i="8"/>
  <c r="G8" i="8"/>
  <c r="F8" i="8"/>
  <c r="H7" i="8"/>
  <c r="F7" i="8"/>
  <c r="E7" i="8"/>
  <c r="D7" i="8"/>
  <c r="G7" i="8" s="1"/>
  <c r="I7" i="8" s="1"/>
  <c r="C7" i="8"/>
  <c r="H6" i="8"/>
  <c r="G6" i="8"/>
  <c r="I6" i="8" s="1"/>
  <c r="F6" i="8"/>
  <c r="H5" i="8"/>
  <c r="G5" i="8"/>
  <c r="I5" i="8" s="1"/>
  <c r="F5" i="8"/>
  <c r="H4" i="8"/>
  <c r="G4" i="8"/>
  <c r="I4" i="8" s="1"/>
  <c r="F4" i="8"/>
  <c r="H3" i="8"/>
  <c r="G3" i="8"/>
  <c r="I3" i="8" s="1"/>
  <c r="F3" i="8"/>
  <c r="H2" i="8"/>
  <c r="I849" i="7" s="1"/>
  <c r="G2" i="8"/>
  <c r="F2" i="8"/>
  <c r="I851" i="7"/>
  <c r="H851" i="7"/>
  <c r="G851" i="7"/>
  <c r="F851" i="7"/>
  <c r="E851" i="7"/>
  <c r="D851" i="7"/>
  <c r="I850" i="7"/>
  <c r="G850" i="7"/>
  <c r="F850" i="7"/>
  <c r="E850" i="7"/>
  <c r="D850" i="7"/>
  <c r="G849" i="7"/>
  <c r="F849" i="7"/>
  <c r="E849" i="7"/>
  <c r="D849" i="7"/>
  <c r="I848" i="7"/>
  <c r="G848" i="7"/>
  <c r="F848" i="7"/>
  <c r="E848" i="7"/>
  <c r="D848" i="7"/>
  <c r="I847" i="7"/>
  <c r="H847" i="7"/>
  <c r="G847" i="7"/>
  <c r="F847" i="7"/>
  <c r="E847" i="7"/>
  <c r="D847" i="7"/>
  <c r="I846" i="7"/>
  <c r="G846" i="7"/>
  <c r="F846" i="7"/>
  <c r="E846" i="7"/>
  <c r="D846" i="7"/>
  <c r="I845" i="7"/>
  <c r="G845" i="7"/>
  <c r="G852" i="7" s="1"/>
  <c r="F845" i="7"/>
  <c r="E845" i="7"/>
  <c r="D845" i="7"/>
  <c r="J844" i="7"/>
  <c r="I844" i="7"/>
  <c r="H844" i="7"/>
  <c r="G844" i="7"/>
  <c r="F844" i="7"/>
  <c r="E844" i="7"/>
  <c r="D844" i="7"/>
  <c r="I839" i="7"/>
  <c r="G839" i="7"/>
  <c r="F839" i="7"/>
  <c r="E839" i="7"/>
  <c r="D839" i="7"/>
  <c r="I838" i="7"/>
  <c r="H838" i="7"/>
  <c r="G838" i="7"/>
  <c r="F838" i="7"/>
  <c r="E838" i="7"/>
  <c r="D838" i="7"/>
  <c r="I837" i="7"/>
  <c r="G837" i="7"/>
  <c r="F837" i="7"/>
  <c r="E837" i="7"/>
  <c r="D837" i="7"/>
  <c r="I836" i="7"/>
  <c r="G836" i="7"/>
  <c r="F836" i="7"/>
  <c r="E836" i="7"/>
  <c r="D836" i="7"/>
  <c r="I835" i="7"/>
  <c r="I840" i="7" s="1"/>
  <c r="G835" i="7"/>
  <c r="F835" i="7"/>
  <c r="E835" i="7"/>
  <c r="D835" i="7"/>
  <c r="I834" i="7"/>
  <c r="H834" i="7"/>
  <c r="G834" i="7"/>
  <c r="F834" i="7"/>
  <c r="E834" i="7"/>
  <c r="D834" i="7"/>
  <c r="I833" i="7"/>
  <c r="G833" i="7"/>
  <c r="F833" i="7"/>
  <c r="E833" i="7"/>
  <c r="D833" i="7"/>
  <c r="J832" i="7"/>
  <c r="I832" i="7"/>
  <c r="H832" i="7"/>
  <c r="G832" i="7"/>
  <c r="F832" i="7"/>
  <c r="E832" i="7"/>
  <c r="D832" i="7"/>
  <c r="I827" i="7"/>
  <c r="G827" i="7"/>
  <c r="F827" i="7"/>
  <c r="E827" i="7"/>
  <c r="D827" i="7"/>
  <c r="I826" i="7"/>
  <c r="G826" i="7"/>
  <c r="F826" i="7"/>
  <c r="E826" i="7"/>
  <c r="D826" i="7"/>
  <c r="I825" i="7"/>
  <c r="H825" i="7"/>
  <c r="G825" i="7"/>
  <c r="F825" i="7"/>
  <c r="E825" i="7"/>
  <c r="D825" i="7"/>
  <c r="I824" i="7"/>
  <c r="G824" i="7"/>
  <c r="F824" i="7"/>
  <c r="E824" i="7"/>
  <c r="D824" i="7"/>
  <c r="I823" i="7"/>
  <c r="G823" i="7"/>
  <c r="F823" i="7"/>
  <c r="E823" i="7"/>
  <c r="D823" i="7"/>
  <c r="I822" i="7"/>
  <c r="G822" i="7"/>
  <c r="G828" i="7" s="1"/>
  <c r="F822" i="7"/>
  <c r="E822" i="7"/>
  <c r="D822" i="7"/>
  <c r="I821" i="7"/>
  <c r="H821" i="7"/>
  <c r="G821" i="7"/>
  <c r="L821" i="7" s="1"/>
  <c r="F821" i="7"/>
  <c r="E821" i="7"/>
  <c r="D821" i="7"/>
  <c r="J820" i="7"/>
  <c r="I820" i="7"/>
  <c r="H820" i="7"/>
  <c r="G820" i="7"/>
  <c r="F820" i="7"/>
  <c r="E820" i="7"/>
  <c r="D820" i="7"/>
  <c r="I815" i="7"/>
  <c r="H815" i="7"/>
  <c r="G815" i="7"/>
  <c r="F815" i="7"/>
  <c r="E815" i="7"/>
  <c r="D815" i="7"/>
  <c r="I814" i="7"/>
  <c r="H814" i="7"/>
  <c r="G814" i="7"/>
  <c r="F814" i="7"/>
  <c r="E814" i="7"/>
  <c r="D814" i="7"/>
  <c r="I813" i="7"/>
  <c r="G813" i="7"/>
  <c r="F813" i="7"/>
  <c r="E813" i="7"/>
  <c r="D813" i="7"/>
  <c r="I812" i="7"/>
  <c r="H812" i="7"/>
  <c r="G812" i="7"/>
  <c r="F812" i="7"/>
  <c r="E812" i="7"/>
  <c r="D812" i="7"/>
  <c r="I811" i="7"/>
  <c r="H811" i="7"/>
  <c r="G811" i="7"/>
  <c r="F811" i="7"/>
  <c r="E811" i="7"/>
  <c r="D811" i="7"/>
  <c r="I810" i="7"/>
  <c r="H810" i="7"/>
  <c r="G810" i="7"/>
  <c r="F810" i="7"/>
  <c r="E810" i="7"/>
  <c r="D810" i="7"/>
  <c r="N809" i="7"/>
  <c r="I809" i="7"/>
  <c r="I816" i="7" s="1"/>
  <c r="G809" i="7"/>
  <c r="L809" i="7" s="1"/>
  <c r="F809" i="7"/>
  <c r="E809" i="7"/>
  <c r="D809" i="7"/>
  <c r="J808" i="7"/>
  <c r="I808" i="7"/>
  <c r="H808" i="7"/>
  <c r="G808" i="7"/>
  <c r="F808" i="7"/>
  <c r="E808" i="7"/>
  <c r="D808" i="7"/>
  <c r="I803" i="7"/>
  <c r="H803" i="7"/>
  <c r="G803" i="7"/>
  <c r="F803" i="7"/>
  <c r="E803" i="7"/>
  <c r="D803" i="7"/>
  <c r="I802" i="7"/>
  <c r="H802" i="7"/>
  <c r="G802" i="7"/>
  <c r="F802" i="7"/>
  <c r="E802" i="7"/>
  <c r="D802" i="7"/>
  <c r="I801" i="7"/>
  <c r="H801" i="7"/>
  <c r="G801" i="7"/>
  <c r="F801" i="7"/>
  <c r="E801" i="7"/>
  <c r="D801" i="7"/>
  <c r="I800" i="7"/>
  <c r="G800" i="7"/>
  <c r="F800" i="7"/>
  <c r="E800" i="7"/>
  <c r="D800" i="7"/>
  <c r="I799" i="7"/>
  <c r="H799" i="7"/>
  <c r="G799" i="7"/>
  <c r="F799" i="7"/>
  <c r="E799" i="7"/>
  <c r="D799" i="7"/>
  <c r="I798" i="7"/>
  <c r="I804" i="7" s="1"/>
  <c r="H798" i="7"/>
  <c r="G798" i="7"/>
  <c r="F798" i="7"/>
  <c r="E798" i="7"/>
  <c r="D798" i="7"/>
  <c r="I797" i="7"/>
  <c r="H797" i="7"/>
  <c r="G797" i="7"/>
  <c r="F797" i="7"/>
  <c r="E797" i="7"/>
  <c r="D797" i="7"/>
  <c r="J796" i="7"/>
  <c r="I796" i="7"/>
  <c r="H796" i="7"/>
  <c r="G796" i="7"/>
  <c r="F796" i="7"/>
  <c r="E796" i="7"/>
  <c r="D796" i="7"/>
  <c r="I791" i="7"/>
  <c r="G791" i="7"/>
  <c r="F791" i="7"/>
  <c r="E791" i="7"/>
  <c r="D791" i="7"/>
  <c r="I790" i="7"/>
  <c r="H790" i="7"/>
  <c r="G790" i="7"/>
  <c r="F790" i="7"/>
  <c r="E790" i="7"/>
  <c r="D790" i="7"/>
  <c r="I789" i="7"/>
  <c r="H789" i="7"/>
  <c r="G789" i="7"/>
  <c r="F789" i="7"/>
  <c r="E789" i="7"/>
  <c r="D789" i="7"/>
  <c r="I788" i="7"/>
  <c r="H788" i="7"/>
  <c r="G788" i="7"/>
  <c r="F788" i="7"/>
  <c r="E788" i="7"/>
  <c r="D788" i="7"/>
  <c r="I787" i="7"/>
  <c r="H787" i="7"/>
  <c r="G787" i="7"/>
  <c r="F787" i="7"/>
  <c r="E787" i="7"/>
  <c r="D787" i="7"/>
  <c r="I786" i="7"/>
  <c r="H786" i="7"/>
  <c r="G786" i="7"/>
  <c r="F786" i="7"/>
  <c r="E786" i="7"/>
  <c r="D786" i="7"/>
  <c r="I785" i="7"/>
  <c r="N785" i="7" s="1"/>
  <c r="H785" i="7"/>
  <c r="G785" i="7"/>
  <c r="G792" i="7" s="1"/>
  <c r="F785" i="7"/>
  <c r="E785" i="7"/>
  <c r="D785" i="7"/>
  <c r="J784" i="7"/>
  <c r="I784" i="7"/>
  <c r="H784" i="7"/>
  <c r="G784" i="7"/>
  <c r="F784" i="7"/>
  <c r="E784" i="7"/>
  <c r="D784" i="7"/>
  <c r="I779" i="7"/>
  <c r="H779" i="7"/>
  <c r="G779" i="7"/>
  <c r="F779" i="7"/>
  <c r="E779" i="7"/>
  <c r="D779" i="7"/>
  <c r="I778" i="7"/>
  <c r="H778" i="7"/>
  <c r="G778" i="7"/>
  <c r="F778" i="7"/>
  <c r="E778" i="7"/>
  <c r="D778" i="7"/>
  <c r="I777" i="7"/>
  <c r="H777" i="7"/>
  <c r="G777" i="7"/>
  <c r="F777" i="7"/>
  <c r="E777" i="7"/>
  <c r="D777" i="7"/>
  <c r="I776" i="7"/>
  <c r="H776" i="7"/>
  <c r="G776" i="7"/>
  <c r="F776" i="7"/>
  <c r="E776" i="7"/>
  <c r="D776" i="7"/>
  <c r="I775" i="7"/>
  <c r="H775" i="7"/>
  <c r="H780" i="7" s="1"/>
  <c r="G775" i="7"/>
  <c r="F775" i="7"/>
  <c r="E775" i="7"/>
  <c r="D775" i="7"/>
  <c r="I774" i="7"/>
  <c r="H774" i="7"/>
  <c r="G774" i="7"/>
  <c r="F774" i="7"/>
  <c r="E774" i="7"/>
  <c r="D774" i="7"/>
  <c r="I773" i="7"/>
  <c r="N773" i="7" s="1"/>
  <c r="H773" i="7"/>
  <c r="G773" i="7"/>
  <c r="L773" i="7" s="1"/>
  <c r="F773" i="7"/>
  <c r="E773" i="7"/>
  <c r="D773" i="7"/>
  <c r="J772" i="7"/>
  <c r="I772" i="7"/>
  <c r="H772" i="7"/>
  <c r="G772" i="7"/>
  <c r="F772" i="7"/>
  <c r="E772" i="7"/>
  <c r="D772" i="7"/>
  <c r="I767" i="7"/>
  <c r="H767" i="7"/>
  <c r="G767" i="7"/>
  <c r="F767" i="7"/>
  <c r="E767" i="7"/>
  <c r="D767" i="7"/>
  <c r="I766" i="7"/>
  <c r="H766" i="7"/>
  <c r="G766" i="7"/>
  <c r="F766" i="7"/>
  <c r="E766" i="7"/>
  <c r="D766" i="7"/>
  <c r="I765" i="7"/>
  <c r="H765" i="7"/>
  <c r="G765" i="7"/>
  <c r="F765" i="7"/>
  <c r="E765" i="7"/>
  <c r="D765" i="7"/>
  <c r="I764" i="7"/>
  <c r="H764" i="7"/>
  <c r="G764" i="7"/>
  <c r="F764" i="7"/>
  <c r="E764" i="7"/>
  <c r="D764" i="7"/>
  <c r="I763" i="7"/>
  <c r="I768" i="7" s="1"/>
  <c r="H763" i="7"/>
  <c r="G763" i="7"/>
  <c r="F763" i="7"/>
  <c r="E763" i="7"/>
  <c r="D763" i="7"/>
  <c r="I762" i="7"/>
  <c r="H762" i="7"/>
  <c r="H768" i="7" s="1"/>
  <c r="G762" i="7"/>
  <c r="F762" i="7"/>
  <c r="E762" i="7"/>
  <c r="D762" i="7"/>
  <c r="L761" i="7"/>
  <c r="I761" i="7"/>
  <c r="H761" i="7"/>
  <c r="M761" i="7" s="1"/>
  <c r="G761" i="7"/>
  <c r="F761" i="7"/>
  <c r="E761" i="7"/>
  <c r="D761" i="7"/>
  <c r="J760" i="7"/>
  <c r="I760" i="7"/>
  <c r="H760" i="7"/>
  <c r="G760" i="7"/>
  <c r="F760" i="7"/>
  <c r="E760" i="7"/>
  <c r="D760" i="7"/>
  <c r="I755" i="7"/>
  <c r="H755" i="7"/>
  <c r="G755" i="7"/>
  <c r="F755" i="7"/>
  <c r="E755" i="7"/>
  <c r="D755" i="7"/>
  <c r="I754" i="7"/>
  <c r="H754" i="7"/>
  <c r="G754" i="7"/>
  <c r="F754" i="7"/>
  <c r="E754" i="7"/>
  <c r="D754" i="7"/>
  <c r="I753" i="7"/>
  <c r="H753" i="7"/>
  <c r="G753" i="7"/>
  <c r="F753" i="7"/>
  <c r="E753" i="7"/>
  <c r="D753" i="7"/>
  <c r="I752" i="7"/>
  <c r="H752" i="7"/>
  <c r="G752" i="7"/>
  <c r="F752" i="7"/>
  <c r="E752" i="7"/>
  <c r="D752" i="7"/>
  <c r="I751" i="7"/>
  <c r="H751" i="7"/>
  <c r="G751" i="7"/>
  <c r="F751" i="7"/>
  <c r="E751" i="7"/>
  <c r="D751" i="7"/>
  <c r="I750" i="7"/>
  <c r="I756" i="7" s="1"/>
  <c r="H750" i="7"/>
  <c r="G750" i="7"/>
  <c r="F750" i="7"/>
  <c r="E750" i="7"/>
  <c r="D750" i="7"/>
  <c r="I749" i="7"/>
  <c r="N749" i="7" s="1"/>
  <c r="H749" i="7"/>
  <c r="G749" i="7"/>
  <c r="L749" i="7" s="1"/>
  <c r="F749" i="7"/>
  <c r="E749" i="7"/>
  <c r="D749" i="7"/>
  <c r="J748" i="7"/>
  <c r="I748" i="7"/>
  <c r="H748" i="7"/>
  <c r="G748" i="7"/>
  <c r="F748" i="7"/>
  <c r="E748" i="7"/>
  <c r="D748" i="7"/>
  <c r="I743" i="7"/>
  <c r="H743" i="7"/>
  <c r="G743" i="7"/>
  <c r="F743" i="7"/>
  <c r="E743" i="7"/>
  <c r="D743" i="7"/>
  <c r="I742" i="7"/>
  <c r="H742" i="7"/>
  <c r="G742" i="7"/>
  <c r="F742" i="7"/>
  <c r="E742" i="7"/>
  <c r="D742" i="7"/>
  <c r="I741" i="7"/>
  <c r="H741" i="7"/>
  <c r="G741" i="7"/>
  <c r="F741" i="7"/>
  <c r="E741" i="7"/>
  <c r="D741" i="7"/>
  <c r="I740" i="7"/>
  <c r="H740" i="7"/>
  <c r="G740" i="7"/>
  <c r="F740" i="7"/>
  <c r="E740" i="7"/>
  <c r="D740" i="7"/>
  <c r="I739" i="7"/>
  <c r="H739" i="7"/>
  <c r="G739" i="7"/>
  <c r="F739" i="7"/>
  <c r="E739" i="7"/>
  <c r="D739" i="7"/>
  <c r="I738" i="7"/>
  <c r="H738" i="7"/>
  <c r="G738" i="7"/>
  <c r="F738" i="7"/>
  <c r="E738" i="7"/>
  <c r="D738" i="7"/>
  <c r="I737" i="7"/>
  <c r="I744" i="7" s="1"/>
  <c r="H737" i="7"/>
  <c r="G737" i="7"/>
  <c r="F737" i="7"/>
  <c r="E737" i="7"/>
  <c r="D737" i="7"/>
  <c r="J736" i="7"/>
  <c r="I736" i="7"/>
  <c r="H736" i="7"/>
  <c r="G736" i="7"/>
  <c r="F736" i="7"/>
  <c r="E736" i="7"/>
  <c r="D736" i="7"/>
  <c r="I731" i="7"/>
  <c r="H731" i="7"/>
  <c r="G731" i="7"/>
  <c r="F731" i="7"/>
  <c r="E731" i="7"/>
  <c r="D731" i="7"/>
  <c r="I730" i="7"/>
  <c r="H730" i="7"/>
  <c r="G730" i="7"/>
  <c r="F730" i="7"/>
  <c r="E730" i="7"/>
  <c r="D730" i="7"/>
  <c r="I729" i="7"/>
  <c r="H729" i="7"/>
  <c r="G729" i="7"/>
  <c r="F729" i="7"/>
  <c r="E729" i="7"/>
  <c r="D729" i="7"/>
  <c r="I728" i="7"/>
  <c r="H728" i="7"/>
  <c r="G728" i="7"/>
  <c r="F728" i="7"/>
  <c r="E728" i="7"/>
  <c r="D728" i="7"/>
  <c r="I727" i="7"/>
  <c r="H727" i="7"/>
  <c r="G727" i="7"/>
  <c r="F727" i="7"/>
  <c r="E727" i="7"/>
  <c r="D727" i="7"/>
  <c r="I726" i="7"/>
  <c r="N725" i="7" s="1"/>
  <c r="H726" i="7"/>
  <c r="G726" i="7"/>
  <c r="F726" i="7"/>
  <c r="E726" i="7"/>
  <c r="D726" i="7"/>
  <c r="I725" i="7"/>
  <c r="H725" i="7"/>
  <c r="H732" i="7" s="1"/>
  <c r="G725" i="7"/>
  <c r="F725" i="7"/>
  <c r="E725" i="7"/>
  <c r="D725" i="7"/>
  <c r="J724" i="7"/>
  <c r="I724" i="7"/>
  <c r="H724" i="7"/>
  <c r="G724" i="7"/>
  <c r="F724" i="7"/>
  <c r="E724" i="7"/>
  <c r="D724" i="7"/>
  <c r="I719" i="7"/>
  <c r="H719" i="7"/>
  <c r="G719" i="7"/>
  <c r="F719" i="7"/>
  <c r="E719" i="7"/>
  <c r="D719" i="7"/>
  <c r="I718" i="7"/>
  <c r="H718" i="7"/>
  <c r="G718" i="7"/>
  <c r="F718" i="7"/>
  <c r="E718" i="7"/>
  <c r="D718" i="7"/>
  <c r="I717" i="7"/>
  <c r="H717" i="7"/>
  <c r="G717" i="7"/>
  <c r="F717" i="7"/>
  <c r="E717" i="7"/>
  <c r="D717" i="7"/>
  <c r="I716" i="7"/>
  <c r="I720" i="7" s="1"/>
  <c r="H716" i="7"/>
  <c r="G716" i="7"/>
  <c r="F716" i="7"/>
  <c r="E716" i="7"/>
  <c r="D716" i="7"/>
  <c r="I715" i="7"/>
  <c r="H715" i="7"/>
  <c r="G715" i="7"/>
  <c r="F715" i="7"/>
  <c r="E715" i="7"/>
  <c r="D715" i="7"/>
  <c r="I714" i="7"/>
  <c r="H714" i="7"/>
  <c r="G714" i="7"/>
  <c r="F714" i="7"/>
  <c r="E714" i="7"/>
  <c r="D714" i="7"/>
  <c r="I713" i="7"/>
  <c r="H713" i="7"/>
  <c r="G713" i="7"/>
  <c r="G720" i="7" s="1"/>
  <c r="F713" i="7"/>
  <c r="E713" i="7"/>
  <c r="D713" i="7"/>
  <c r="J712" i="7"/>
  <c r="I712" i="7"/>
  <c r="H712" i="7"/>
  <c r="G712" i="7"/>
  <c r="F712" i="7"/>
  <c r="E712" i="7"/>
  <c r="D712" i="7"/>
  <c r="I707" i="7"/>
  <c r="H707" i="7"/>
  <c r="G707" i="7"/>
  <c r="F707" i="7"/>
  <c r="E707" i="7"/>
  <c r="D707" i="7"/>
  <c r="I706" i="7"/>
  <c r="H706" i="7"/>
  <c r="G706" i="7"/>
  <c r="F706" i="7"/>
  <c r="E706" i="7"/>
  <c r="D706" i="7"/>
  <c r="I705" i="7"/>
  <c r="H705" i="7"/>
  <c r="G705" i="7"/>
  <c r="F705" i="7"/>
  <c r="E705" i="7"/>
  <c r="D705" i="7"/>
  <c r="I704" i="7"/>
  <c r="H704" i="7"/>
  <c r="G704" i="7"/>
  <c r="F704" i="7"/>
  <c r="E704" i="7"/>
  <c r="D704" i="7"/>
  <c r="I703" i="7"/>
  <c r="H703" i="7"/>
  <c r="G703" i="7"/>
  <c r="F703" i="7"/>
  <c r="E703" i="7"/>
  <c r="D703" i="7"/>
  <c r="I702" i="7"/>
  <c r="H702" i="7"/>
  <c r="H708" i="7" s="1"/>
  <c r="G702" i="7"/>
  <c r="F702" i="7"/>
  <c r="E702" i="7"/>
  <c r="D702" i="7"/>
  <c r="I701" i="7"/>
  <c r="N701" i="7" s="1"/>
  <c r="H701" i="7"/>
  <c r="G701" i="7"/>
  <c r="F701" i="7"/>
  <c r="E701" i="7"/>
  <c r="D701" i="7"/>
  <c r="J700" i="7"/>
  <c r="I700" i="7"/>
  <c r="H700" i="7"/>
  <c r="G700" i="7"/>
  <c r="F700" i="7"/>
  <c r="E700" i="7"/>
  <c r="D700" i="7"/>
  <c r="I695" i="7"/>
  <c r="H695" i="7"/>
  <c r="G695" i="7"/>
  <c r="F695" i="7"/>
  <c r="E695" i="7"/>
  <c r="D695" i="7"/>
  <c r="I694" i="7"/>
  <c r="H694" i="7"/>
  <c r="M689" i="7" s="1"/>
  <c r="G694" i="7"/>
  <c r="F694" i="7"/>
  <c r="E694" i="7"/>
  <c r="D694" i="7"/>
  <c r="I693" i="7"/>
  <c r="H693" i="7"/>
  <c r="G693" i="7"/>
  <c r="F693" i="7"/>
  <c r="E693" i="7"/>
  <c r="D693" i="7"/>
  <c r="I692" i="7"/>
  <c r="H692" i="7"/>
  <c r="G692" i="7"/>
  <c r="F692" i="7"/>
  <c r="E692" i="7"/>
  <c r="D692" i="7"/>
  <c r="I691" i="7"/>
  <c r="H691" i="7"/>
  <c r="G691" i="7"/>
  <c r="F691" i="7"/>
  <c r="E691" i="7"/>
  <c r="D691" i="7"/>
  <c r="I690" i="7"/>
  <c r="H690" i="7"/>
  <c r="G690" i="7"/>
  <c r="F690" i="7"/>
  <c r="E690" i="7"/>
  <c r="D690" i="7"/>
  <c r="I689" i="7"/>
  <c r="H689" i="7"/>
  <c r="G689" i="7"/>
  <c r="F689" i="7"/>
  <c r="E689" i="7"/>
  <c r="D689" i="7"/>
  <c r="J688" i="7"/>
  <c r="I688" i="7"/>
  <c r="H688" i="7"/>
  <c r="G688" i="7"/>
  <c r="F688" i="7"/>
  <c r="E688" i="7"/>
  <c r="D688" i="7"/>
  <c r="I683" i="7"/>
  <c r="H683" i="7"/>
  <c r="G683" i="7"/>
  <c r="F683" i="7"/>
  <c r="E683" i="7"/>
  <c r="D683" i="7"/>
  <c r="I682" i="7"/>
  <c r="H682" i="7"/>
  <c r="G682" i="7"/>
  <c r="F682" i="7"/>
  <c r="E682" i="7"/>
  <c r="D682" i="7"/>
  <c r="I681" i="7"/>
  <c r="H681" i="7"/>
  <c r="G681" i="7"/>
  <c r="F681" i="7"/>
  <c r="E681" i="7"/>
  <c r="D681" i="7"/>
  <c r="I680" i="7"/>
  <c r="H680" i="7"/>
  <c r="G680" i="7"/>
  <c r="F680" i="7"/>
  <c r="E680" i="7"/>
  <c r="D680" i="7"/>
  <c r="I679" i="7"/>
  <c r="H679" i="7"/>
  <c r="G679" i="7"/>
  <c r="G684" i="7" s="1"/>
  <c r="F679" i="7"/>
  <c r="E679" i="7"/>
  <c r="D679" i="7"/>
  <c r="I678" i="7"/>
  <c r="H678" i="7"/>
  <c r="G678" i="7"/>
  <c r="F678" i="7"/>
  <c r="E678" i="7"/>
  <c r="D678" i="7"/>
  <c r="I677" i="7"/>
  <c r="H677" i="7"/>
  <c r="G677" i="7"/>
  <c r="L677" i="7" s="1"/>
  <c r="F677" i="7"/>
  <c r="E677" i="7"/>
  <c r="D677" i="7"/>
  <c r="J676" i="7"/>
  <c r="I676" i="7"/>
  <c r="H676" i="7"/>
  <c r="G676" i="7"/>
  <c r="F676" i="7"/>
  <c r="E676" i="7"/>
  <c r="D676" i="7"/>
  <c r="I671" i="7"/>
  <c r="H671" i="7"/>
  <c r="G671" i="7"/>
  <c r="F671" i="7"/>
  <c r="E671" i="7"/>
  <c r="D671" i="7"/>
  <c r="I670" i="7"/>
  <c r="H670" i="7"/>
  <c r="G670" i="7"/>
  <c r="F670" i="7"/>
  <c r="E670" i="7"/>
  <c r="D670" i="7"/>
  <c r="I669" i="7"/>
  <c r="H669" i="7"/>
  <c r="G669" i="7"/>
  <c r="F669" i="7"/>
  <c r="E669" i="7"/>
  <c r="D669" i="7"/>
  <c r="I668" i="7"/>
  <c r="H668" i="7"/>
  <c r="G668" i="7"/>
  <c r="F668" i="7"/>
  <c r="E668" i="7"/>
  <c r="D668" i="7"/>
  <c r="I667" i="7"/>
  <c r="H667" i="7"/>
  <c r="H672" i="7" s="1"/>
  <c r="G667" i="7"/>
  <c r="F667" i="7"/>
  <c r="E667" i="7"/>
  <c r="D667" i="7"/>
  <c r="I666" i="7"/>
  <c r="I672" i="7" s="1"/>
  <c r="H666" i="7"/>
  <c r="G666" i="7"/>
  <c r="F666" i="7"/>
  <c r="E666" i="7"/>
  <c r="D666" i="7"/>
  <c r="I665" i="7"/>
  <c r="N665" i="7" s="1"/>
  <c r="H665" i="7"/>
  <c r="M665" i="7" s="1"/>
  <c r="G665" i="7"/>
  <c r="F665" i="7"/>
  <c r="E665" i="7"/>
  <c r="D665" i="7"/>
  <c r="J664" i="7"/>
  <c r="I664" i="7"/>
  <c r="H664" i="7"/>
  <c r="G664" i="7"/>
  <c r="F664" i="7"/>
  <c r="E664" i="7"/>
  <c r="D664" i="7"/>
  <c r="I659" i="7"/>
  <c r="H659" i="7"/>
  <c r="G659" i="7"/>
  <c r="F659" i="7"/>
  <c r="E659" i="7"/>
  <c r="D659" i="7"/>
  <c r="I658" i="7"/>
  <c r="H658" i="7"/>
  <c r="G658" i="7"/>
  <c r="F658" i="7"/>
  <c r="E658" i="7"/>
  <c r="D658" i="7"/>
  <c r="I657" i="7"/>
  <c r="H657" i="7"/>
  <c r="G657" i="7"/>
  <c r="F657" i="7"/>
  <c r="E657" i="7"/>
  <c r="D657" i="7"/>
  <c r="I656" i="7"/>
  <c r="H656" i="7"/>
  <c r="G656" i="7"/>
  <c r="F656" i="7"/>
  <c r="E656" i="7"/>
  <c r="D656" i="7"/>
  <c r="I655" i="7"/>
  <c r="I660" i="7" s="1"/>
  <c r="H655" i="7"/>
  <c r="G655" i="7"/>
  <c r="F655" i="7"/>
  <c r="E655" i="7"/>
  <c r="D655" i="7"/>
  <c r="I654" i="7"/>
  <c r="H654" i="7"/>
  <c r="G654" i="7"/>
  <c r="F654" i="7"/>
  <c r="E654" i="7"/>
  <c r="D654" i="7"/>
  <c r="I653" i="7"/>
  <c r="H653" i="7"/>
  <c r="H660" i="7" s="1"/>
  <c r="G653" i="7"/>
  <c r="G660" i="7" s="1"/>
  <c r="F653" i="7"/>
  <c r="E653" i="7"/>
  <c r="D653" i="7"/>
  <c r="J652" i="7"/>
  <c r="I652" i="7"/>
  <c r="H652" i="7"/>
  <c r="G652" i="7"/>
  <c r="F652" i="7"/>
  <c r="E652" i="7"/>
  <c r="D652" i="7"/>
  <c r="I647" i="7"/>
  <c r="H647" i="7"/>
  <c r="G647" i="7"/>
  <c r="F647" i="7"/>
  <c r="E647" i="7"/>
  <c r="D647" i="7"/>
  <c r="I646" i="7"/>
  <c r="H646" i="7"/>
  <c r="G646" i="7"/>
  <c r="F646" i="7"/>
  <c r="E646" i="7"/>
  <c r="D646" i="7"/>
  <c r="I645" i="7"/>
  <c r="H645" i="7"/>
  <c r="G645" i="7"/>
  <c r="F645" i="7"/>
  <c r="E645" i="7"/>
  <c r="D645" i="7"/>
  <c r="I644" i="7"/>
  <c r="H644" i="7"/>
  <c r="G644" i="7"/>
  <c r="F644" i="7"/>
  <c r="E644" i="7"/>
  <c r="D644" i="7"/>
  <c r="I643" i="7"/>
  <c r="H643" i="7"/>
  <c r="G643" i="7"/>
  <c r="F643" i="7"/>
  <c r="E643" i="7"/>
  <c r="D643" i="7"/>
  <c r="I642" i="7"/>
  <c r="H642" i="7"/>
  <c r="G642" i="7"/>
  <c r="F642" i="7"/>
  <c r="E642" i="7"/>
  <c r="D642" i="7"/>
  <c r="I641" i="7"/>
  <c r="H641" i="7"/>
  <c r="H648" i="7" s="1"/>
  <c r="G641" i="7"/>
  <c r="F641" i="7"/>
  <c r="E641" i="7"/>
  <c r="D641" i="7"/>
  <c r="J640" i="7"/>
  <c r="I640" i="7"/>
  <c r="H640" i="7"/>
  <c r="G640" i="7"/>
  <c r="F640" i="7"/>
  <c r="E640" i="7"/>
  <c r="D640" i="7"/>
  <c r="I635" i="7"/>
  <c r="H635" i="7"/>
  <c r="G635" i="7"/>
  <c r="F635" i="7"/>
  <c r="E635" i="7"/>
  <c r="D635" i="7"/>
  <c r="I634" i="7"/>
  <c r="H634" i="7"/>
  <c r="G634" i="7"/>
  <c r="F634" i="7"/>
  <c r="E634" i="7"/>
  <c r="D634" i="7"/>
  <c r="I633" i="7"/>
  <c r="H633" i="7"/>
  <c r="G633" i="7"/>
  <c r="F633" i="7"/>
  <c r="E633" i="7"/>
  <c r="D633" i="7"/>
  <c r="I632" i="7"/>
  <c r="H632" i="7"/>
  <c r="G632" i="7"/>
  <c r="F632" i="7"/>
  <c r="E632" i="7"/>
  <c r="D632" i="7"/>
  <c r="I631" i="7"/>
  <c r="H631" i="7"/>
  <c r="G631" i="7"/>
  <c r="G636" i="7" s="1"/>
  <c r="F631" i="7"/>
  <c r="E631" i="7"/>
  <c r="D631" i="7"/>
  <c r="I630" i="7"/>
  <c r="H630" i="7"/>
  <c r="G630" i="7"/>
  <c r="F630" i="7"/>
  <c r="E630" i="7"/>
  <c r="D630" i="7"/>
  <c r="I629" i="7"/>
  <c r="H629" i="7"/>
  <c r="G629" i="7"/>
  <c r="L629" i="7" s="1"/>
  <c r="F629" i="7"/>
  <c r="E629" i="7"/>
  <c r="D629" i="7"/>
  <c r="J628" i="7"/>
  <c r="I628" i="7"/>
  <c r="H628" i="7"/>
  <c r="G628" i="7"/>
  <c r="F628" i="7"/>
  <c r="E628" i="7"/>
  <c r="D628" i="7"/>
  <c r="I623" i="7"/>
  <c r="H623" i="7"/>
  <c r="G623" i="7"/>
  <c r="F623" i="7"/>
  <c r="E623" i="7"/>
  <c r="D623" i="7"/>
  <c r="I622" i="7"/>
  <c r="H622" i="7"/>
  <c r="G622" i="7"/>
  <c r="F622" i="7"/>
  <c r="E622" i="7"/>
  <c r="D622" i="7"/>
  <c r="I621" i="7"/>
  <c r="H621" i="7"/>
  <c r="G621" i="7"/>
  <c r="F621" i="7"/>
  <c r="E621" i="7"/>
  <c r="D621" i="7"/>
  <c r="I620" i="7"/>
  <c r="H620" i="7"/>
  <c r="G620" i="7"/>
  <c r="F620" i="7"/>
  <c r="E620" i="7"/>
  <c r="D620" i="7"/>
  <c r="I619" i="7"/>
  <c r="H619" i="7"/>
  <c r="H624" i="7" s="1"/>
  <c r="G619" i="7"/>
  <c r="F619" i="7"/>
  <c r="E619" i="7"/>
  <c r="D619" i="7"/>
  <c r="I618" i="7"/>
  <c r="I624" i="7" s="1"/>
  <c r="H618" i="7"/>
  <c r="G618" i="7"/>
  <c r="F618" i="7"/>
  <c r="E618" i="7"/>
  <c r="D618" i="7"/>
  <c r="I617" i="7"/>
  <c r="N617" i="7" s="1"/>
  <c r="H617" i="7"/>
  <c r="M617" i="7" s="1"/>
  <c r="G617" i="7"/>
  <c r="F617" i="7"/>
  <c r="E617" i="7"/>
  <c r="D617" i="7"/>
  <c r="J616" i="7"/>
  <c r="I616" i="7"/>
  <c r="H616" i="7"/>
  <c r="G616" i="7"/>
  <c r="F616" i="7"/>
  <c r="E616" i="7"/>
  <c r="D616" i="7"/>
  <c r="I611" i="7"/>
  <c r="H611" i="7"/>
  <c r="G611" i="7"/>
  <c r="F611" i="7"/>
  <c r="E611" i="7"/>
  <c r="D611" i="7"/>
  <c r="I610" i="7"/>
  <c r="H610" i="7"/>
  <c r="G610" i="7"/>
  <c r="F610" i="7"/>
  <c r="E610" i="7"/>
  <c r="D610" i="7"/>
  <c r="I609" i="7"/>
  <c r="H609" i="7"/>
  <c r="G609" i="7"/>
  <c r="F609" i="7"/>
  <c r="E609" i="7"/>
  <c r="D609" i="7"/>
  <c r="I608" i="7"/>
  <c r="H608" i="7"/>
  <c r="G608" i="7"/>
  <c r="F608" i="7"/>
  <c r="E608" i="7"/>
  <c r="D608" i="7"/>
  <c r="I607" i="7"/>
  <c r="I612" i="7" s="1"/>
  <c r="H607" i="7"/>
  <c r="G607" i="7"/>
  <c r="F607" i="7"/>
  <c r="E607" i="7"/>
  <c r="D607" i="7"/>
  <c r="I606" i="7"/>
  <c r="H606" i="7"/>
  <c r="G606" i="7"/>
  <c r="F606" i="7"/>
  <c r="E606" i="7"/>
  <c r="D606" i="7"/>
  <c r="I605" i="7"/>
  <c r="H605" i="7"/>
  <c r="G605" i="7"/>
  <c r="G612" i="7" s="1"/>
  <c r="F605" i="7"/>
  <c r="E605" i="7"/>
  <c r="D605" i="7"/>
  <c r="J604" i="7"/>
  <c r="I604" i="7"/>
  <c r="H604" i="7"/>
  <c r="G604" i="7"/>
  <c r="F604" i="7"/>
  <c r="E604" i="7"/>
  <c r="D604" i="7"/>
  <c r="I599" i="7"/>
  <c r="H599" i="7"/>
  <c r="M593" i="7" s="1"/>
  <c r="G599" i="7"/>
  <c r="F599" i="7"/>
  <c r="E599" i="7"/>
  <c r="D599" i="7"/>
  <c r="I598" i="7"/>
  <c r="H598" i="7"/>
  <c r="G598" i="7"/>
  <c r="F598" i="7"/>
  <c r="E598" i="7"/>
  <c r="D598" i="7"/>
  <c r="I597" i="7"/>
  <c r="H597" i="7"/>
  <c r="H600" i="7" s="1"/>
  <c r="G597" i="7"/>
  <c r="F597" i="7"/>
  <c r="E597" i="7"/>
  <c r="D597" i="7"/>
  <c r="I596" i="7"/>
  <c r="H596" i="7"/>
  <c r="G596" i="7"/>
  <c r="F596" i="7"/>
  <c r="E596" i="7"/>
  <c r="D596" i="7"/>
  <c r="I595" i="7"/>
  <c r="H595" i="7"/>
  <c r="G595" i="7"/>
  <c r="F595" i="7"/>
  <c r="E595" i="7"/>
  <c r="D595" i="7"/>
  <c r="I594" i="7"/>
  <c r="H594" i="7"/>
  <c r="G594" i="7"/>
  <c r="F594" i="7"/>
  <c r="E594" i="7"/>
  <c r="D594" i="7"/>
  <c r="I593" i="7"/>
  <c r="H593" i="7"/>
  <c r="G593" i="7"/>
  <c r="L593" i="7" s="1"/>
  <c r="F593" i="7"/>
  <c r="E593" i="7"/>
  <c r="D593" i="7"/>
  <c r="J592" i="7"/>
  <c r="I592" i="7"/>
  <c r="H592" i="7"/>
  <c r="G592" i="7"/>
  <c r="F592" i="7"/>
  <c r="E592" i="7"/>
  <c r="D592" i="7"/>
  <c r="I587" i="7"/>
  <c r="N581" i="7" s="1"/>
  <c r="H587" i="7"/>
  <c r="G587" i="7"/>
  <c r="F587" i="7"/>
  <c r="E587" i="7"/>
  <c r="D587" i="7"/>
  <c r="I586" i="7"/>
  <c r="H586" i="7"/>
  <c r="G586" i="7"/>
  <c r="F586" i="7"/>
  <c r="E586" i="7"/>
  <c r="D586" i="7"/>
  <c r="I585" i="7"/>
  <c r="H585" i="7"/>
  <c r="G585" i="7"/>
  <c r="F585" i="7"/>
  <c r="E585" i="7"/>
  <c r="D585" i="7"/>
  <c r="I584" i="7"/>
  <c r="H584" i="7"/>
  <c r="G584" i="7"/>
  <c r="F584" i="7"/>
  <c r="E584" i="7"/>
  <c r="D584" i="7"/>
  <c r="I583" i="7"/>
  <c r="H583" i="7"/>
  <c r="G583" i="7"/>
  <c r="F583" i="7"/>
  <c r="E583" i="7"/>
  <c r="D583" i="7"/>
  <c r="I582" i="7"/>
  <c r="H582" i="7"/>
  <c r="G582" i="7"/>
  <c r="F582" i="7"/>
  <c r="E582" i="7"/>
  <c r="D582" i="7"/>
  <c r="I581" i="7"/>
  <c r="H581" i="7"/>
  <c r="M581" i="7" s="1"/>
  <c r="G581" i="7"/>
  <c r="F581" i="7"/>
  <c r="E581" i="7"/>
  <c r="D581" i="7"/>
  <c r="J580" i="7"/>
  <c r="I580" i="7"/>
  <c r="H580" i="7"/>
  <c r="G580" i="7"/>
  <c r="F580" i="7"/>
  <c r="E580" i="7"/>
  <c r="D580" i="7"/>
  <c r="I575" i="7"/>
  <c r="H575" i="7"/>
  <c r="G575" i="7"/>
  <c r="F575" i="7"/>
  <c r="E575" i="7"/>
  <c r="D575" i="7"/>
  <c r="I574" i="7"/>
  <c r="H574" i="7"/>
  <c r="G574" i="7"/>
  <c r="F574" i="7"/>
  <c r="E574" i="7"/>
  <c r="D574" i="7"/>
  <c r="I573" i="7"/>
  <c r="H573" i="7"/>
  <c r="G573" i="7"/>
  <c r="F573" i="7"/>
  <c r="E573" i="7"/>
  <c r="D573" i="7"/>
  <c r="I572" i="7"/>
  <c r="H572" i="7"/>
  <c r="G572" i="7"/>
  <c r="F572" i="7"/>
  <c r="E572" i="7"/>
  <c r="D572" i="7"/>
  <c r="I571" i="7"/>
  <c r="H571" i="7"/>
  <c r="G571" i="7"/>
  <c r="F571" i="7"/>
  <c r="E571" i="7"/>
  <c r="D571" i="7"/>
  <c r="I570" i="7"/>
  <c r="I576" i="7" s="1"/>
  <c r="H570" i="7"/>
  <c r="G570" i="7"/>
  <c r="F570" i="7"/>
  <c r="E570" i="7"/>
  <c r="D570" i="7"/>
  <c r="I569" i="7"/>
  <c r="H569" i="7"/>
  <c r="G569" i="7"/>
  <c r="F569" i="7"/>
  <c r="E569" i="7"/>
  <c r="D569" i="7"/>
  <c r="J568" i="7"/>
  <c r="I568" i="7"/>
  <c r="H568" i="7"/>
  <c r="G568" i="7"/>
  <c r="F568" i="7"/>
  <c r="E568" i="7"/>
  <c r="D568" i="7"/>
  <c r="I563" i="7"/>
  <c r="H563" i="7"/>
  <c r="G563" i="7"/>
  <c r="F563" i="7"/>
  <c r="E563" i="7"/>
  <c r="D563" i="7"/>
  <c r="I562" i="7"/>
  <c r="N557" i="7" s="1"/>
  <c r="H562" i="7"/>
  <c r="G562" i="7"/>
  <c r="F562" i="7"/>
  <c r="E562" i="7"/>
  <c r="D562" i="7"/>
  <c r="I561" i="7"/>
  <c r="H561" i="7"/>
  <c r="G561" i="7"/>
  <c r="L557" i="7" s="1"/>
  <c r="F561" i="7"/>
  <c r="E561" i="7"/>
  <c r="D561" i="7"/>
  <c r="I560" i="7"/>
  <c r="H560" i="7"/>
  <c r="G560" i="7"/>
  <c r="F560" i="7"/>
  <c r="E560" i="7"/>
  <c r="D560" i="7"/>
  <c r="I559" i="7"/>
  <c r="H559" i="7"/>
  <c r="G559" i="7"/>
  <c r="F559" i="7"/>
  <c r="E559" i="7"/>
  <c r="D559" i="7"/>
  <c r="I558" i="7"/>
  <c r="H558" i="7"/>
  <c r="G558" i="7"/>
  <c r="F558" i="7"/>
  <c r="E558" i="7"/>
  <c r="D558" i="7"/>
  <c r="I557" i="7"/>
  <c r="H557" i="7"/>
  <c r="G557" i="7"/>
  <c r="G564" i="7" s="1"/>
  <c r="F557" i="7"/>
  <c r="E557" i="7"/>
  <c r="D557" i="7"/>
  <c r="J556" i="7"/>
  <c r="I556" i="7"/>
  <c r="H556" i="7"/>
  <c r="G556" i="7"/>
  <c r="F556" i="7"/>
  <c r="E556" i="7"/>
  <c r="D556" i="7"/>
  <c r="H552" i="7"/>
  <c r="I551" i="7"/>
  <c r="H551" i="7"/>
  <c r="G551" i="7"/>
  <c r="F551" i="7"/>
  <c r="E551" i="7"/>
  <c r="D551" i="7"/>
  <c r="I550" i="7"/>
  <c r="H550" i="7"/>
  <c r="G550" i="7"/>
  <c r="F550" i="7"/>
  <c r="E550" i="7"/>
  <c r="D550" i="7"/>
  <c r="I549" i="7"/>
  <c r="H549" i="7"/>
  <c r="G549" i="7"/>
  <c r="F549" i="7"/>
  <c r="E549" i="7"/>
  <c r="D549" i="7"/>
  <c r="I548" i="7"/>
  <c r="H548" i="7"/>
  <c r="G548" i="7"/>
  <c r="F548" i="7"/>
  <c r="E548" i="7"/>
  <c r="D548" i="7"/>
  <c r="I547" i="7"/>
  <c r="H547" i="7"/>
  <c r="G547" i="7"/>
  <c r="G552" i="7" s="1"/>
  <c r="F547" i="7"/>
  <c r="E547" i="7"/>
  <c r="D547" i="7"/>
  <c r="I546" i="7"/>
  <c r="H546" i="7"/>
  <c r="G546" i="7"/>
  <c r="F546" i="7"/>
  <c r="E546" i="7"/>
  <c r="D546" i="7"/>
  <c r="M545" i="7"/>
  <c r="I545" i="7"/>
  <c r="N545" i="7" s="1"/>
  <c r="H545" i="7"/>
  <c r="G545" i="7"/>
  <c r="F545" i="7"/>
  <c r="E545" i="7"/>
  <c r="D545" i="7"/>
  <c r="J544" i="7"/>
  <c r="I544" i="7"/>
  <c r="H544" i="7"/>
  <c r="G544" i="7"/>
  <c r="F544" i="7"/>
  <c r="E544" i="7"/>
  <c r="D544" i="7"/>
  <c r="I539" i="7"/>
  <c r="N533" i="7" s="1"/>
  <c r="H539" i="7"/>
  <c r="G539" i="7"/>
  <c r="F539" i="7"/>
  <c r="E539" i="7"/>
  <c r="D539" i="7"/>
  <c r="I538" i="7"/>
  <c r="H538" i="7"/>
  <c r="G538" i="7"/>
  <c r="F538" i="7"/>
  <c r="E538" i="7"/>
  <c r="D538" i="7"/>
  <c r="I537" i="7"/>
  <c r="H537" i="7"/>
  <c r="G537" i="7"/>
  <c r="F537" i="7"/>
  <c r="E537" i="7"/>
  <c r="D537" i="7"/>
  <c r="I536" i="7"/>
  <c r="H536" i="7"/>
  <c r="G536" i="7"/>
  <c r="F536" i="7"/>
  <c r="E536" i="7"/>
  <c r="D536" i="7"/>
  <c r="I535" i="7"/>
  <c r="H535" i="7"/>
  <c r="H540" i="7" s="1"/>
  <c r="G535" i="7"/>
  <c r="F535" i="7"/>
  <c r="E535" i="7"/>
  <c r="D535" i="7"/>
  <c r="I534" i="7"/>
  <c r="H534" i="7"/>
  <c r="G534" i="7"/>
  <c r="F534" i="7"/>
  <c r="E534" i="7"/>
  <c r="D534" i="7"/>
  <c r="I533" i="7"/>
  <c r="H533" i="7"/>
  <c r="M533" i="7" s="1"/>
  <c r="G533" i="7"/>
  <c r="F533" i="7"/>
  <c r="E533" i="7"/>
  <c r="D533" i="7"/>
  <c r="J532" i="7"/>
  <c r="I532" i="7"/>
  <c r="H532" i="7"/>
  <c r="G532" i="7"/>
  <c r="F532" i="7"/>
  <c r="E532" i="7"/>
  <c r="D532" i="7"/>
  <c r="I527" i="7"/>
  <c r="H527" i="7"/>
  <c r="G527" i="7"/>
  <c r="F527" i="7"/>
  <c r="E527" i="7"/>
  <c r="D527" i="7"/>
  <c r="I526" i="7"/>
  <c r="H526" i="7"/>
  <c r="G526" i="7"/>
  <c r="F526" i="7"/>
  <c r="E526" i="7"/>
  <c r="D526" i="7"/>
  <c r="I525" i="7"/>
  <c r="H525" i="7"/>
  <c r="G525" i="7"/>
  <c r="F525" i="7"/>
  <c r="E525" i="7"/>
  <c r="D525" i="7"/>
  <c r="I524" i="7"/>
  <c r="H524" i="7"/>
  <c r="G524" i="7"/>
  <c r="F524" i="7"/>
  <c r="E524" i="7"/>
  <c r="D524" i="7"/>
  <c r="I523" i="7"/>
  <c r="H523" i="7"/>
  <c r="G523" i="7"/>
  <c r="F523" i="7"/>
  <c r="E523" i="7"/>
  <c r="D523" i="7"/>
  <c r="I522" i="7"/>
  <c r="I528" i="7" s="1"/>
  <c r="H522" i="7"/>
  <c r="G522" i="7"/>
  <c r="F522" i="7"/>
  <c r="E522" i="7"/>
  <c r="D522" i="7"/>
  <c r="I521" i="7"/>
  <c r="H521" i="7"/>
  <c r="G521" i="7"/>
  <c r="F521" i="7"/>
  <c r="E521" i="7"/>
  <c r="D521" i="7"/>
  <c r="J520" i="7"/>
  <c r="I520" i="7"/>
  <c r="H520" i="7"/>
  <c r="G520" i="7"/>
  <c r="F520" i="7"/>
  <c r="E520" i="7"/>
  <c r="D520" i="7"/>
  <c r="I515" i="7"/>
  <c r="H515" i="7"/>
  <c r="G515" i="7"/>
  <c r="F515" i="7"/>
  <c r="E515" i="7"/>
  <c r="D515" i="7"/>
  <c r="I514" i="7"/>
  <c r="N509" i="7" s="1"/>
  <c r="H514" i="7"/>
  <c r="G514" i="7"/>
  <c r="F514" i="7"/>
  <c r="E514" i="7"/>
  <c r="D514" i="7"/>
  <c r="I513" i="7"/>
  <c r="H513" i="7"/>
  <c r="G513" i="7"/>
  <c r="L509" i="7" s="1"/>
  <c r="F513" i="7"/>
  <c r="E513" i="7"/>
  <c r="D513" i="7"/>
  <c r="I512" i="7"/>
  <c r="H512" i="7"/>
  <c r="G512" i="7"/>
  <c r="F512" i="7"/>
  <c r="E512" i="7"/>
  <c r="D512" i="7"/>
  <c r="I511" i="7"/>
  <c r="H511" i="7"/>
  <c r="G511" i="7"/>
  <c r="F511" i="7"/>
  <c r="E511" i="7"/>
  <c r="D511" i="7"/>
  <c r="I510" i="7"/>
  <c r="H510" i="7"/>
  <c r="G510" i="7"/>
  <c r="F510" i="7"/>
  <c r="E510" i="7"/>
  <c r="D510" i="7"/>
  <c r="I509" i="7"/>
  <c r="H509" i="7"/>
  <c r="G509" i="7"/>
  <c r="G516" i="7" s="1"/>
  <c r="F509" i="7"/>
  <c r="E509" i="7"/>
  <c r="D509" i="7"/>
  <c r="J508" i="7"/>
  <c r="I508" i="7"/>
  <c r="H508" i="7"/>
  <c r="G508" i="7"/>
  <c r="F508" i="7"/>
  <c r="E508" i="7"/>
  <c r="D508" i="7"/>
  <c r="H504" i="7"/>
  <c r="I503" i="7"/>
  <c r="H503" i="7"/>
  <c r="G503" i="7"/>
  <c r="F503" i="7"/>
  <c r="E503" i="7"/>
  <c r="D503" i="7"/>
  <c r="I502" i="7"/>
  <c r="H502" i="7"/>
  <c r="G502" i="7"/>
  <c r="F502" i="7"/>
  <c r="E502" i="7"/>
  <c r="D502" i="7"/>
  <c r="I501" i="7"/>
  <c r="H501" i="7"/>
  <c r="G501" i="7"/>
  <c r="F501" i="7"/>
  <c r="E501" i="7"/>
  <c r="D501" i="7"/>
  <c r="I500" i="7"/>
  <c r="H500" i="7"/>
  <c r="G500" i="7"/>
  <c r="F500" i="7"/>
  <c r="E500" i="7"/>
  <c r="D500" i="7"/>
  <c r="I499" i="7"/>
  <c r="H499" i="7"/>
  <c r="G499" i="7"/>
  <c r="G504" i="7" s="1"/>
  <c r="F499" i="7"/>
  <c r="E499" i="7"/>
  <c r="D499" i="7"/>
  <c r="I498" i="7"/>
  <c r="H498" i="7"/>
  <c r="G498" i="7"/>
  <c r="F498" i="7"/>
  <c r="E498" i="7"/>
  <c r="D498" i="7"/>
  <c r="M497" i="7"/>
  <c r="I497" i="7"/>
  <c r="I504" i="7" s="1"/>
  <c r="H497" i="7"/>
  <c r="G497" i="7"/>
  <c r="F497" i="7"/>
  <c r="E497" i="7"/>
  <c r="D497" i="7"/>
  <c r="J496" i="7"/>
  <c r="I496" i="7"/>
  <c r="H496" i="7"/>
  <c r="G496" i="7"/>
  <c r="F496" i="7"/>
  <c r="E496" i="7"/>
  <c r="D496" i="7"/>
  <c r="I491" i="7"/>
  <c r="H491" i="7"/>
  <c r="G491" i="7"/>
  <c r="F491" i="7"/>
  <c r="E491" i="7"/>
  <c r="D491" i="7"/>
  <c r="I490" i="7"/>
  <c r="H490" i="7"/>
  <c r="G490" i="7"/>
  <c r="F490" i="7"/>
  <c r="E490" i="7"/>
  <c r="D490" i="7"/>
  <c r="I489" i="7"/>
  <c r="H489" i="7"/>
  <c r="G489" i="7"/>
  <c r="F489" i="7"/>
  <c r="E489" i="7"/>
  <c r="D489" i="7"/>
  <c r="I488" i="7"/>
  <c r="H488" i="7"/>
  <c r="G488" i="7"/>
  <c r="F488" i="7"/>
  <c r="E488" i="7"/>
  <c r="D488" i="7"/>
  <c r="I487" i="7"/>
  <c r="H487" i="7"/>
  <c r="G487" i="7"/>
  <c r="F487" i="7"/>
  <c r="E487" i="7"/>
  <c r="D487" i="7"/>
  <c r="I486" i="7"/>
  <c r="H486" i="7"/>
  <c r="G486" i="7"/>
  <c r="F486" i="7"/>
  <c r="E486" i="7"/>
  <c r="D486" i="7"/>
  <c r="I485" i="7"/>
  <c r="I492" i="7" s="1"/>
  <c r="H485" i="7"/>
  <c r="G485" i="7"/>
  <c r="G492" i="7" s="1"/>
  <c r="F485" i="7"/>
  <c r="E485" i="7"/>
  <c r="D485" i="7"/>
  <c r="J484" i="7"/>
  <c r="I484" i="7"/>
  <c r="H484" i="7"/>
  <c r="G484" i="7"/>
  <c r="F484" i="7"/>
  <c r="E484" i="7"/>
  <c r="D484" i="7"/>
  <c r="I479" i="7"/>
  <c r="I480" i="7" s="1"/>
  <c r="H479" i="7"/>
  <c r="G479" i="7"/>
  <c r="F479" i="7"/>
  <c r="E479" i="7"/>
  <c r="D479" i="7"/>
  <c r="I478" i="7"/>
  <c r="H478" i="7"/>
  <c r="G478" i="7"/>
  <c r="F478" i="7"/>
  <c r="E478" i="7"/>
  <c r="D478" i="7"/>
  <c r="I477" i="7"/>
  <c r="H477" i="7"/>
  <c r="G477" i="7"/>
  <c r="F477" i="7"/>
  <c r="E477" i="7"/>
  <c r="D477" i="7"/>
  <c r="I476" i="7"/>
  <c r="H476" i="7"/>
  <c r="G476" i="7"/>
  <c r="F476" i="7"/>
  <c r="E476" i="7"/>
  <c r="D476" i="7"/>
  <c r="I475" i="7"/>
  <c r="H475" i="7"/>
  <c r="G475" i="7"/>
  <c r="F475" i="7"/>
  <c r="E475" i="7"/>
  <c r="D475" i="7"/>
  <c r="I474" i="7"/>
  <c r="H474" i="7"/>
  <c r="H480" i="7" s="1"/>
  <c r="G474" i="7"/>
  <c r="F474" i="7"/>
  <c r="E474" i="7"/>
  <c r="D474" i="7"/>
  <c r="L473" i="7"/>
  <c r="I473" i="7"/>
  <c r="H473" i="7"/>
  <c r="G473" i="7"/>
  <c r="F473" i="7"/>
  <c r="E473" i="7"/>
  <c r="D473" i="7"/>
  <c r="J472" i="7"/>
  <c r="I472" i="7"/>
  <c r="H472" i="7"/>
  <c r="G472" i="7"/>
  <c r="F472" i="7"/>
  <c r="E472" i="7"/>
  <c r="D472" i="7"/>
  <c r="I467" i="7"/>
  <c r="H467" i="7"/>
  <c r="G467" i="7"/>
  <c r="F467" i="7"/>
  <c r="E467" i="7"/>
  <c r="D467" i="7"/>
  <c r="I466" i="7"/>
  <c r="H466" i="7"/>
  <c r="G466" i="7"/>
  <c r="F466" i="7"/>
  <c r="E466" i="7"/>
  <c r="D466" i="7"/>
  <c r="I465" i="7"/>
  <c r="H465" i="7"/>
  <c r="M461" i="7" s="1"/>
  <c r="G465" i="7"/>
  <c r="F465" i="7"/>
  <c r="E465" i="7"/>
  <c r="D465" i="7"/>
  <c r="I464" i="7"/>
  <c r="H464" i="7"/>
  <c r="G464" i="7"/>
  <c r="F464" i="7"/>
  <c r="E464" i="7"/>
  <c r="D464" i="7"/>
  <c r="I463" i="7"/>
  <c r="H463" i="7"/>
  <c r="G463" i="7"/>
  <c r="F463" i="7"/>
  <c r="E463" i="7"/>
  <c r="D463" i="7"/>
  <c r="I462" i="7"/>
  <c r="I468" i="7" s="1"/>
  <c r="H462" i="7"/>
  <c r="G462" i="7"/>
  <c r="F462" i="7"/>
  <c r="E462" i="7"/>
  <c r="D462" i="7"/>
  <c r="I461" i="7"/>
  <c r="N461" i="7" s="1"/>
  <c r="H461" i="7"/>
  <c r="G461" i="7"/>
  <c r="L461" i="7" s="1"/>
  <c r="F461" i="7"/>
  <c r="E461" i="7"/>
  <c r="D461" i="7"/>
  <c r="J460" i="7"/>
  <c r="I460" i="7"/>
  <c r="H460" i="7"/>
  <c r="G460" i="7"/>
  <c r="F460" i="7"/>
  <c r="E460" i="7"/>
  <c r="D460" i="7"/>
  <c r="I455" i="7"/>
  <c r="H455" i="7"/>
  <c r="G455" i="7"/>
  <c r="F455" i="7"/>
  <c r="E455" i="7"/>
  <c r="D455" i="7"/>
  <c r="I454" i="7"/>
  <c r="H454" i="7"/>
  <c r="G454" i="7"/>
  <c r="F454" i="7"/>
  <c r="E454" i="7"/>
  <c r="D454" i="7"/>
  <c r="I453" i="7"/>
  <c r="N449" i="7" s="1"/>
  <c r="H453" i="7"/>
  <c r="G453" i="7"/>
  <c r="F453" i="7"/>
  <c r="E453" i="7"/>
  <c r="D453" i="7"/>
  <c r="I452" i="7"/>
  <c r="H452" i="7"/>
  <c r="G452" i="7"/>
  <c r="F452" i="7"/>
  <c r="E452" i="7"/>
  <c r="D452" i="7"/>
  <c r="I451" i="7"/>
  <c r="H451" i="7"/>
  <c r="G451" i="7"/>
  <c r="F451" i="7"/>
  <c r="E451" i="7"/>
  <c r="D451" i="7"/>
  <c r="I450" i="7"/>
  <c r="H450" i="7"/>
  <c r="G450" i="7"/>
  <c r="F450" i="7"/>
  <c r="E450" i="7"/>
  <c r="D450" i="7"/>
  <c r="L449" i="7"/>
  <c r="O449" i="7" s="1"/>
  <c r="I449" i="7"/>
  <c r="H449" i="7"/>
  <c r="M449" i="7" s="1"/>
  <c r="G449" i="7"/>
  <c r="F449" i="7"/>
  <c r="E449" i="7"/>
  <c r="D449" i="7"/>
  <c r="J448" i="7"/>
  <c r="I448" i="7"/>
  <c r="H448" i="7"/>
  <c r="G448" i="7"/>
  <c r="F448" i="7"/>
  <c r="E448" i="7"/>
  <c r="D448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M437" i="7" s="1"/>
  <c r="G441" i="7"/>
  <c r="F441" i="7"/>
  <c r="E441" i="7"/>
  <c r="D441" i="7"/>
  <c r="I440" i="7"/>
  <c r="H440" i="7"/>
  <c r="H444" i="7" s="1"/>
  <c r="G440" i="7"/>
  <c r="F440" i="7"/>
  <c r="E440" i="7"/>
  <c r="D440" i="7"/>
  <c r="I439" i="7"/>
  <c r="H439" i="7"/>
  <c r="G439" i="7"/>
  <c r="G444" i="7" s="1"/>
  <c r="F439" i="7"/>
  <c r="E439" i="7"/>
  <c r="D439" i="7"/>
  <c r="I438" i="7"/>
  <c r="H438" i="7"/>
  <c r="G438" i="7"/>
  <c r="F438" i="7"/>
  <c r="E438" i="7"/>
  <c r="D438" i="7"/>
  <c r="I437" i="7"/>
  <c r="H437" i="7"/>
  <c r="G437" i="7"/>
  <c r="L437" i="7" s="1"/>
  <c r="F437" i="7"/>
  <c r="E437" i="7"/>
  <c r="D437" i="7"/>
  <c r="J436" i="7"/>
  <c r="I436" i="7"/>
  <c r="H436" i="7"/>
  <c r="G436" i="7"/>
  <c r="F436" i="7"/>
  <c r="E436" i="7"/>
  <c r="D436" i="7"/>
  <c r="H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I429" i="7"/>
  <c r="N425" i="7" s="1"/>
  <c r="H429" i="7"/>
  <c r="G429" i="7"/>
  <c r="F429" i="7"/>
  <c r="E429" i="7"/>
  <c r="D429" i="7"/>
  <c r="I428" i="7"/>
  <c r="I432" i="7" s="1"/>
  <c r="H428" i="7"/>
  <c r="G428" i="7"/>
  <c r="F428" i="7"/>
  <c r="E428" i="7"/>
  <c r="D428" i="7"/>
  <c r="I427" i="7"/>
  <c r="H427" i="7"/>
  <c r="G427" i="7"/>
  <c r="F427" i="7"/>
  <c r="E427" i="7"/>
  <c r="D427" i="7"/>
  <c r="I426" i="7"/>
  <c r="H426" i="7"/>
  <c r="G426" i="7"/>
  <c r="F426" i="7"/>
  <c r="E426" i="7"/>
  <c r="D426" i="7"/>
  <c r="I425" i="7"/>
  <c r="H425" i="7"/>
  <c r="G425" i="7"/>
  <c r="F425" i="7"/>
  <c r="E425" i="7"/>
  <c r="D425" i="7"/>
  <c r="J424" i="7"/>
  <c r="I424" i="7"/>
  <c r="H424" i="7"/>
  <c r="G424" i="7"/>
  <c r="F424" i="7"/>
  <c r="E424" i="7"/>
  <c r="D424" i="7"/>
  <c r="I419" i="7"/>
  <c r="H419" i="7"/>
  <c r="G419" i="7"/>
  <c r="F419" i="7"/>
  <c r="E419" i="7"/>
  <c r="D419" i="7"/>
  <c r="I418" i="7"/>
  <c r="H418" i="7"/>
  <c r="G418" i="7"/>
  <c r="F418" i="7"/>
  <c r="E418" i="7"/>
  <c r="D418" i="7"/>
  <c r="I417" i="7"/>
  <c r="H417" i="7"/>
  <c r="G417" i="7"/>
  <c r="F417" i="7"/>
  <c r="E417" i="7"/>
  <c r="D417" i="7"/>
  <c r="I416" i="7"/>
  <c r="H416" i="7"/>
  <c r="G416" i="7"/>
  <c r="F416" i="7"/>
  <c r="E416" i="7"/>
  <c r="D416" i="7"/>
  <c r="I415" i="7"/>
  <c r="H415" i="7"/>
  <c r="G415" i="7"/>
  <c r="F415" i="7"/>
  <c r="E415" i="7"/>
  <c r="D415" i="7"/>
  <c r="I414" i="7"/>
  <c r="I420" i="7" s="1"/>
  <c r="H414" i="7"/>
  <c r="G414" i="7"/>
  <c r="F414" i="7"/>
  <c r="E414" i="7"/>
  <c r="D414" i="7"/>
  <c r="I413" i="7"/>
  <c r="H413" i="7"/>
  <c r="G413" i="7"/>
  <c r="F413" i="7"/>
  <c r="E413" i="7"/>
  <c r="D413" i="7"/>
  <c r="J412" i="7"/>
  <c r="I412" i="7"/>
  <c r="H412" i="7"/>
  <c r="G412" i="7"/>
  <c r="F412" i="7"/>
  <c r="E412" i="7"/>
  <c r="D412" i="7"/>
  <c r="I407" i="7"/>
  <c r="H407" i="7"/>
  <c r="G407" i="7"/>
  <c r="F407" i="7"/>
  <c r="E407" i="7"/>
  <c r="D407" i="7"/>
  <c r="I406" i="7"/>
  <c r="H406" i="7"/>
  <c r="G406" i="7"/>
  <c r="F406" i="7"/>
  <c r="E406" i="7"/>
  <c r="D406" i="7"/>
  <c r="I405" i="7"/>
  <c r="N401" i="7" s="1"/>
  <c r="H405" i="7"/>
  <c r="G405" i="7"/>
  <c r="F405" i="7"/>
  <c r="E405" i="7"/>
  <c r="D405" i="7"/>
  <c r="I404" i="7"/>
  <c r="H404" i="7"/>
  <c r="G404" i="7"/>
  <c r="F404" i="7"/>
  <c r="E404" i="7"/>
  <c r="D404" i="7"/>
  <c r="I403" i="7"/>
  <c r="H403" i="7"/>
  <c r="G403" i="7"/>
  <c r="L401" i="7" s="1"/>
  <c r="O401" i="7" s="1"/>
  <c r="F403" i="7"/>
  <c r="E403" i="7"/>
  <c r="D403" i="7"/>
  <c r="I402" i="7"/>
  <c r="H402" i="7"/>
  <c r="G402" i="7"/>
  <c r="F402" i="7"/>
  <c r="E402" i="7"/>
  <c r="D402" i="7"/>
  <c r="I401" i="7"/>
  <c r="H401" i="7"/>
  <c r="M401" i="7" s="1"/>
  <c r="G401" i="7"/>
  <c r="F401" i="7"/>
  <c r="E401" i="7"/>
  <c r="D401" i="7"/>
  <c r="J400" i="7"/>
  <c r="I400" i="7"/>
  <c r="H400" i="7"/>
  <c r="G400" i="7"/>
  <c r="F400" i="7"/>
  <c r="E400" i="7"/>
  <c r="D400" i="7"/>
  <c r="I395" i="7"/>
  <c r="H395" i="7"/>
  <c r="G395" i="7"/>
  <c r="F395" i="7"/>
  <c r="E395" i="7"/>
  <c r="D395" i="7"/>
  <c r="I394" i="7"/>
  <c r="H394" i="7"/>
  <c r="G394" i="7"/>
  <c r="F394" i="7"/>
  <c r="E394" i="7"/>
  <c r="D394" i="7"/>
  <c r="I393" i="7"/>
  <c r="H393" i="7"/>
  <c r="M389" i="7" s="1"/>
  <c r="G393" i="7"/>
  <c r="F393" i="7"/>
  <c r="E393" i="7"/>
  <c r="D393" i="7"/>
  <c r="I392" i="7"/>
  <c r="H392" i="7"/>
  <c r="H396" i="7" s="1"/>
  <c r="G392" i="7"/>
  <c r="F392" i="7"/>
  <c r="E392" i="7"/>
  <c r="D392" i="7"/>
  <c r="I391" i="7"/>
  <c r="H391" i="7"/>
  <c r="G391" i="7"/>
  <c r="G396" i="7" s="1"/>
  <c r="F391" i="7"/>
  <c r="E391" i="7"/>
  <c r="D391" i="7"/>
  <c r="I390" i="7"/>
  <c r="H390" i="7"/>
  <c r="G390" i="7"/>
  <c r="F390" i="7"/>
  <c r="E390" i="7"/>
  <c r="D390" i="7"/>
  <c r="I389" i="7"/>
  <c r="H389" i="7"/>
  <c r="G389" i="7"/>
  <c r="L389" i="7" s="1"/>
  <c r="F389" i="7"/>
  <c r="E389" i="7"/>
  <c r="D389" i="7"/>
  <c r="J388" i="7"/>
  <c r="I388" i="7"/>
  <c r="H388" i="7"/>
  <c r="G388" i="7"/>
  <c r="F388" i="7"/>
  <c r="E388" i="7"/>
  <c r="D388" i="7"/>
  <c r="H384" i="7"/>
  <c r="I383" i="7"/>
  <c r="H383" i="7"/>
  <c r="G383" i="7"/>
  <c r="F383" i="7"/>
  <c r="E383" i="7"/>
  <c r="D383" i="7"/>
  <c r="I382" i="7"/>
  <c r="H382" i="7"/>
  <c r="G382" i="7"/>
  <c r="F382" i="7"/>
  <c r="E382" i="7"/>
  <c r="D382" i="7"/>
  <c r="I381" i="7"/>
  <c r="N377" i="7" s="1"/>
  <c r="H381" i="7"/>
  <c r="G381" i="7"/>
  <c r="F381" i="7"/>
  <c r="E381" i="7"/>
  <c r="D381" i="7"/>
  <c r="I380" i="7"/>
  <c r="I384" i="7" s="1"/>
  <c r="H380" i="7"/>
  <c r="G380" i="7"/>
  <c r="F380" i="7"/>
  <c r="E380" i="7"/>
  <c r="D380" i="7"/>
  <c r="I379" i="7"/>
  <c r="H379" i="7"/>
  <c r="G379" i="7"/>
  <c r="F379" i="7"/>
  <c r="E379" i="7"/>
  <c r="D379" i="7"/>
  <c r="I378" i="7"/>
  <c r="H378" i="7"/>
  <c r="G378" i="7"/>
  <c r="F378" i="7"/>
  <c r="E378" i="7"/>
  <c r="D378" i="7"/>
  <c r="I377" i="7"/>
  <c r="H377" i="7"/>
  <c r="G377" i="7"/>
  <c r="G384" i="7" s="1"/>
  <c r="F377" i="7"/>
  <c r="E377" i="7"/>
  <c r="D377" i="7"/>
  <c r="J376" i="7"/>
  <c r="I376" i="7"/>
  <c r="H376" i="7"/>
  <c r="G376" i="7"/>
  <c r="F376" i="7"/>
  <c r="E376" i="7"/>
  <c r="D376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G367" i="7"/>
  <c r="F367" i="7"/>
  <c r="E367" i="7"/>
  <c r="D367" i="7"/>
  <c r="I366" i="7"/>
  <c r="I372" i="7" s="1"/>
  <c r="H366" i="7"/>
  <c r="G366" i="7"/>
  <c r="F366" i="7"/>
  <c r="E366" i="7"/>
  <c r="D366" i="7"/>
  <c r="I365" i="7"/>
  <c r="H365" i="7"/>
  <c r="G365" i="7"/>
  <c r="F365" i="7"/>
  <c r="E365" i="7"/>
  <c r="D365" i="7"/>
  <c r="J364" i="7"/>
  <c r="I364" i="7"/>
  <c r="H364" i="7"/>
  <c r="G364" i="7"/>
  <c r="F364" i="7"/>
  <c r="E364" i="7"/>
  <c r="D364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N353" i="7" s="1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L353" i="7"/>
  <c r="O353" i="7" s="1"/>
  <c r="I353" i="7"/>
  <c r="H353" i="7"/>
  <c r="M353" i="7" s="1"/>
  <c r="G353" i="7"/>
  <c r="F353" i="7"/>
  <c r="E353" i="7"/>
  <c r="D353" i="7"/>
  <c r="J352" i="7"/>
  <c r="I352" i="7"/>
  <c r="H352" i="7"/>
  <c r="G352" i="7"/>
  <c r="F352" i="7"/>
  <c r="E352" i="7"/>
  <c r="D352" i="7"/>
  <c r="I347" i="7"/>
  <c r="H347" i="7"/>
  <c r="G347" i="7"/>
  <c r="F347" i="7"/>
  <c r="E347" i="7"/>
  <c r="D347" i="7"/>
  <c r="I346" i="7"/>
  <c r="H346" i="7"/>
  <c r="G346" i="7"/>
  <c r="F346" i="7"/>
  <c r="E346" i="7"/>
  <c r="D346" i="7"/>
  <c r="I345" i="7"/>
  <c r="H345" i="7"/>
  <c r="M341" i="7" s="1"/>
  <c r="G345" i="7"/>
  <c r="F345" i="7"/>
  <c r="E345" i="7"/>
  <c r="D345" i="7"/>
  <c r="I344" i="7"/>
  <c r="H344" i="7"/>
  <c r="H348" i="7" s="1"/>
  <c r="G344" i="7"/>
  <c r="F344" i="7"/>
  <c r="E344" i="7"/>
  <c r="D344" i="7"/>
  <c r="I343" i="7"/>
  <c r="H343" i="7"/>
  <c r="G343" i="7"/>
  <c r="G348" i="7" s="1"/>
  <c r="F343" i="7"/>
  <c r="E343" i="7"/>
  <c r="D343" i="7"/>
  <c r="I342" i="7"/>
  <c r="H342" i="7"/>
  <c r="G342" i="7"/>
  <c r="F342" i="7"/>
  <c r="E342" i="7"/>
  <c r="D342" i="7"/>
  <c r="I341" i="7"/>
  <c r="H341" i="7"/>
  <c r="G341" i="7"/>
  <c r="L341" i="7" s="1"/>
  <c r="F341" i="7"/>
  <c r="E341" i="7"/>
  <c r="D341" i="7"/>
  <c r="J340" i="7"/>
  <c r="I340" i="7"/>
  <c r="H340" i="7"/>
  <c r="G340" i="7"/>
  <c r="F340" i="7"/>
  <c r="E340" i="7"/>
  <c r="D340" i="7"/>
  <c r="H336" i="7"/>
  <c r="I335" i="7"/>
  <c r="H335" i="7"/>
  <c r="G335" i="7"/>
  <c r="F335" i="7"/>
  <c r="E335" i="7"/>
  <c r="D335" i="7"/>
  <c r="I334" i="7"/>
  <c r="H334" i="7"/>
  <c r="G334" i="7"/>
  <c r="F334" i="7"/>
  <c r="E334" i="7"/>
  <c r="D334" i="7"/>
  <c r="I333" i="7"/>
  <c r="H333" i="7"/>
  <c r="G333" i="7"/>
  <c r="F333" i="7"/>
  <c r="E333" i="7"/>
  <c r="D333" i="7"/>
  <c r="I332" i="7"/>
  <c r="H332" i="7"/>
  <c r="G332" i="7"/>
  <c r="F332" i="7"/>
  <c r="E332" i="7"/>
  <c r="D332" i="7"/>
  <c r="I331" i="7"/>
  <c r="H331" i="7"/>
  <c r="M329" i="7" s="1"/>
  <c r="G331" i="7"/>
  <c r="F331" i="7"/>
  <c r="E331" i="7"/>
  <c r="D331" i="7"/>
  <c r="I330" i="7"/>
  <c r="H330" i="7"/>
  <c r="G330" i="7"/>
  <c r="F330" i="7"/>
  <c r="E330" i="7"/>
  <c r="D330" i="7"/>
  <c r="I329" i="7"/>
  <c r="N329" i="7" s="1"/>
  <c r="H329" i="7"/>
  <c r="G329" i="7"/>
  <c r="G336" i="7" s="1"/>
  <c r="F329" i="7"/>
  <c r="E329" i="7"/>
  <c r="D329" i="7"/>
  <c r="J328" i="7"/>
  <c r="I328" i="7"/>
  <c r="H328" i="7"/>
  <c r="G328" i="7"/>
  <c r="F328" i="7"/>
  <c r="E328" i="7"/>
  <c r="D328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N317" i="7" s="1"/>
  <c r="H321" i="7"/>
  <c r="G321" i="7"/>
  <c r="F321" i="7"/>
  <c r="E321" i="7"/>
  <c r="D321" i="7"/>
  <c r="I320" i="7"/>
  <c r="H320" i="7"/>
  <c r="G320" i="7"/>
  <c r="F320" i="7"/>
  <c r="E320" i="7"/>
  <c r="D320" i="7"/>
  <c r="I319" i="7"/>
  <c r="H319" i="7"/>
  <c r="G319" i="7"/>
  <c r="F319" i="7"/>
  <c r="E319" i="7"/>
  <c r="D319" i="7"/>
  <c r="I318" i="7"/>
  <c r="H318" i="7"/>
  <c r="G318" i="7"/>
  <c r="F318" i="7"/>
  <c r="E318" i="7"/>
  <c r="D318" i="7"/>
  <c r="L317" i="7"/>
  <c r="I317" i="7"/>
  <c r="H317" i="7"/>
  <c r="M317" i="7" s="1"/>
  <c r="G317" i="7"/>
  <c r="F317" i="7"/>
  <c r="E317" i="7"/>
  <c r="D317" i="7"/>
  <c r="J316" i="7"/>
  <c r="I316" i="7"/>
  <c r="H316" i="7"/>
  <c r="G316" i="7"/>
  <c r="F316" i="7"/>
  <c r="E316" i="7"/>
  <c r="D316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M305" i="7" s="1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G312" i="7" s="1"/>
  <c r="F307" i="7"/>
  <c r="E307" i="7"/>
  <c r="D307" i="7"/>
  <c r="I306" i="7"/>
  <c r="H306" i="7"/>
  <c r="G306" i="7"/>
  <c r="F306" i="7"/>
  <c r="E306" i="7"/>
  <c r="D306" i="7"/>
  <c r="I305" i="7"/>
  <c r="H305" i="7"/>
  <c r="G305" i="7"/>
  <c r="L305" i="7" s="1"/>
  <c r="F305" i="7"/>
  <c r="E305" i="7"/>
  <c r="D305" i="7"/>
  <c r="J304" i="7"/>
  <c r="I304" i="7"/>
  <c r="H304" i="7"/>
  <c r="G304" i="7"/>
  <c r="F304" i="7"/>
  <c r="E304" i="7"/>
  <c r="D304" i="7"/>
  <c r="H300" i="7"/>
  <c r="I299" i="7"/>
  <c r="H299" i="7"/>
  <c r="G299" i="7"/>
  <c r="F299" i="7"/>
  <c r="E299" i="7"/>
  <c r="D299" i="7"/>
  <c r="I298" i="7"/>
  <c r="H298" i="7"/>
  <c r="G298" i="7"/>
  <c r="F298" i="7"/>
  <c r="E298" i="7"/>
  <c r="D298" i="7"/>
  <c r="I297" i="7"/>
  <c r="N293" i="7" s="1"/>
  <c r="H297" i="7"/>
  <c r="G297" i="7"/>
  <c r="F297" i="7"/>
  <c r="E297" i="7"/>
  <c r="D297" i="7"/>
  <c r="I296" i="7"/>
  <c r="H296" i="7"/>
  <c r="G296" i="7"/>
  <c r="F296" i="7"/>
  <c r="E296" i="7"/>
  <c r="D296" i="7"/>
  <c r="I295" i="7"/>
  <c r="H295" i="7"/>
  <c r="G295" i="7"/>
  <c r="F295" i="7"/>
  <c r="E295" i="7"/>
  <c r="D295" i="7"/>
  <c r="I294" i="7"/>
  <c r="H294" i="7"/>
  <c r="G294" i="7"/>
  <c r="F294" i="7"/>
  <c r="E294" i="7"/>
  <c r="D294" i="7"/>
  <c r="I293" i="7"/>
  <c r="H293" i="7"/>
  <c r="G293" i="7"/>
  <c r="G300" i="7" s="1"/>
  <c r="F293" i="7"/>
  <c r="E293" i="7"/>
  <c r="D293" i="7"/>
  <c r="J292" i="7"/>
  <c r="I292" i="7"/>
  <c r="H292" i="7"/>
  <c r="G292" i="7"/>
  <c r="F292" i="7"/>
  <c r="E292" i="7"/>
  <c r="D292" i="7"/>
  <c r="I287" i="7"/>
  <c r="H287" i="7"/>
  <c r="G287" i="7"/>
  <c r="F287" i="7"/>
  <c r="E287" i="7"/>
  <c r="D287" i="7"/>
  <c r="I286" i="7"/>
  <c r="H286" i="7"/>
  <c r="G286" i="7"/>
  <c r="F286" i="7"/>
  <c r="E286" i="7"/>
  <c r="D286" i="7"/>
  <c r="I285" i="7"/>
  <c r="H285" i="7"/>
  <c r="G285" i="7"/>
  <c r="F285" i="7"/>
  <c r="E285" i="7"/>
  <c r="D285" i="7"/>
  <c r="I284" i="7"/>
  <c r="H284" i="7"/>
  <c r="G284" i="7"/>
  <c r="F284" i="7"/>
  <c r="E284" i="7"/>
  <c r="D284" i="7"/>
  <c r="I283" i="7"/>
  <c r="H283" i="7"/>
  <c r="G283" i="7"/>
  <c r="F283" i="7"/>
  <c r="E283" i="7"/>
  <c r="D283" i="7"/>
  <c r="I282" i="7"/>
  <c r="H282" i="7"/>
  <c r="G282" i="7"/>
  <c r="F282" i="7"/>
  <c r="E282" i="7"/>
  <c r="D282" i="7"/>
  <c r="M281" i="7"/>
  <c r="I281" i="7"/>
  <c r="H281" i="7"/>
  <c r="H288" i="7" s="1"/>
  <c r="G281" i="7"/>
  <c r="F281" i="7"/>
  <c r="E281" i="7"/>
  <c r="D281" i="7"/>
  <c r="J280" i="7"/>
  <c r="I280" i="7"/>
  <c r="H280" i="7"/>
  <c r="G280" i="7"/>
  <c r="F280" i="7"/>
  <c r="E280" i="7"/>
  <c r="D280" i="7"/>
  <c r="I275" i="7"/>
  <c r="H275" i="7"/>
  <c r="G275" i="7"/>
  <c r="F275" i="7"/>
  <c r="E275" i="7"/>
  <c r="D275" i="7"/>
  <c r="I274" i="7"/>
  <c r="H274" i="7"/>
  <c r="G274" i="7"/>
  <c r="F274" i="7"/>
  <c r="E274" i="7"/>
  <c r="D274" i="7"/>
  <c r="I273" i="7"/>
  <c r="H273" i="7"/>
  <c r="G273" i="7"/>
  <c r="F273" i="7"/>
  <c r="E273" i="7"/>
  <c r="D273" i="7"/>
  <c r="I272" i="7"/>
  <c r="H272" i="7"/>
  <c r="G272" i="7"/>
  <c r="F272" i="7"/>
  <c r="E272" i="7"/>
  <c r="D272" i="7"/>
  <c r="I271" i="7"/>
  <c r="H271" i="7"/>
  <c r="G271" i="7"/>
  <c r="F271" i="7"/>
  <c r="E271" i="7"/>
  <c r="D271" i="7"/>
  <c r="I270" i="7"/>
  <c r="H270" i="7"/>
  <c r="G270" i="7"/>
  <c r="F270" i="7"/>
  <c r="E270" i="7"/>
  <c r="D270" i="7"/>
  <c r="L269" i="7"/>
  <c r="I269" i="7"/>
  <c r="H269" i="7"/>
  <c r="M269" i="7" s="1"/>
  <c r="G269" i="7"/>
  <c r="F269" i="7"/>
  <c r="E269" i="7"/>
  <c r="D269" i="7"/>
  <c r="J268" i="7"/>
  <c r="I268" i="7"/>
  <c r="H268" i="7"/>
  <c r="G268" i="7"/>
  <c r="F268" i="7"/>
  <c r="E268" i="7"/>
  <c r="D268" i="7"/>
  <c r="I263" i="7"/>
  <c r="H263" i="7"/>
  <c r="G263" i="7"/>
  <c r="F263" i="7"/>
  <c r="E263" i="7"/>
  <c r="D263" i="7"/>
  <c r="I262" i="7"/>
  <c r="H262" i="7"/>
  <c r="G262" i="7"/>
  <c r="F262" i="7"/>
  <c r="E262" i="7"/>
  <c r="D262" i="7"/>
  <c r="I261" i="7"/>
  <c r="H261" i="7"/>
  <c r="M257" i="7" s="1"/>
  <c r="G261" i="7"/>
  <c r="F261" i="7"/>
  <c r="E261" i="7"/>
  <c r="D261" i="7"/>
  <c r="I260" i="7"/>
  <c r="H260" i="7"/>
  <c r="G260" i="7"/>
  <c r="F260" i="7"/>
  <c r="E260" i="7"/>
  <c r="D260" i="7"/>
  <c r="I259" i="7"/>
  <c r="H259" i="7"/>
  <c r="G259" i="7"/>
  <c r="G264" i="7" s="1"/>
  <c r="F259" i="7"/>
  <c r="E259" i="7"/>
  <c r="D259" i="7"/>
  <c r="I258" i="7"/>
  <c r="H258" i="7"/>
  <c r="G258" i="7"/>
  <c r="F258" i="7"/>
  <c r="E258" i="7"/>
  <c r="D258" i="7"/>
  <c r="I257" i="7"/>
  <c r="H257" i="7"/>
  <c r="G257" i="7"/>
  <c r="L257" i="7" s="1"/>
  <c r="F257" i="7"/>
  <c r="E257" i="7"/>
  <c r="D257" i="7"/>
  <c r="J256" i="7"/>
  <c r="I256" i="7"/>
  <c r="H256" i="7"/>
  <c r="G256" i="7"/>
  <c r="F256" i="7"/>
  <c r="E256" i="7"/>
  <c r="D256" i="7"/>
  <c r="H252" i="7"/>
  <c r="I251" i="7"/>
  <c r="H251" i="7"/>
  <c r="G251" i="7"/>
  <c r="F251" i="7"/>
  <c r="E251" i="7"/>
  <c r="D251" i="7"/>
  <c r="I250" i="7"/>
  <c r="H250" i="7"/>
  <c r="G250" i="7"/>
  <c r="F250" i="7"/>
  <c r="E250" i="7"/>
  <c r="D250" i="7"/>
  <c r="I249" i="7"/>
  <c r="N245" i="7" s="1"/>
  <c r="H249" i="7"/>
  <c r="G249" i="7"/>
  <c r="F249" i="7"/>
  <c r="E249" i="7"/>
  <c r="D249" i="7"/>
  <c r="I248" i="7"/>
  <c r="H248" i="7"/>
  <c r="G248" i="7"/>
  <c r="F248" i="7"/>
  <c r="E248" i="7"/>
  <c r="D248" i="7"/>
  <c r="I247" i="7"/>
  <c r="H247" i="7"/>
  <c r="G247" i="7"/>
  <c r="F247" i="7"/>
  <c r="E247" i="7"/>
  <c r="D247" i="7"/>
  <c r="I246" i="7"/>
  <c r="H246" i="7"/>
  <c r="G246" i="7"/>
  <c r="F246" i="7"/>
  <c r="E246" i="7"/>
  <c r="D246" i="7"/>
  <c r="I245" i="7"/>
  <c r="H245" i="7"/>
  <c r="G245" i="7"/>
  <c r="G252" i="7" s="1"/>
  <c r="F245" i="7"/>
  <c r="E245" i="7"/>
  <c r="D245" i="7"/>
  <c r="J244" i="7"/>
  <c r="I244" i="7"/>
  <c r="H244" i="7"/>
  <c r="G244" i="7"/>
  <c r="F244" i="7"/>
  <c r="E244" i="7"/>
  <c r="D244" i="7"/>
  <c r="I239" i="7"/>
  <c r="H239" i="7"/>
  <c r="G239" i="7"/>
  <c r="F239" i="7"/>
  <c r="E239" i="7"/>
  <c r="D239" i="7"/>
  <c r="I238" i="7"/>
  <c r="H238" i="7"/>
  <c r="G238" i="7"/>
  <c r="F238" i="7"/>
  <c r="E238" i="7"/>
  <c r="D238" i="7"/>
  <c r="I237" i="7"/>
  <c r="H237" i="7"/>
  <c r="G237" i="7"/>
  <c r="F237" i="7"/>
  <c r="E237" i="7"/>
  <c r="D237" i="7"/>
  <c r="I236" i="7"/>
  <c r="H236" i="7"/>
  <c r="G236" i="7"/>
  <c r="F236" i="7"/>
  <c r="E236" i="7"/>
  <c r="D236" i="7"/>
  <c r="I235" i="7"/>
  <c r="H235" i="7"/>
  <c r="G235" i="7"/>
  <c r="F235" i="7"/>
  <c r="E235" i="7"/>
  <c r="D235" i="7"/>
  <c r="I234" i="7"/>
  <c r="H234" i="7"/>
  <c r="G234" i="7"/>
  <c r="F234" i="7"/>
  <c r="E234" i="7"/>
  <c r="D234" i="7"/>
  <c r="M233" i="7"/>
  <c r="I233" i="7"/>
  <c r="H233" i="7"/>
  <c r="H240" i="7" s="1"/>
  <c r="G233" i="7"/>
  <c r="F233" i="7"/>
  <c r="E233" i="7"/>
  <c r="D233" i="7"/>
  <c r="J232" i="7"/>
  <c r="I232" i="7"/>
  <c r="H232" i="7"/>
  <c r="G232" i="7"/>
  <c r="F232" i="7"/>
  <c r="E232" i="7"/>
  <c r="D232" i="7"/>
  <c r="I227" i="7"/>
  <c r="H227" i="7"/>
  <c r="G227" i="7"/>
  <c r="F227" i="7"/>
  <c r="E227" i="7"/>
  <c r="D227" i="7"/>
  <c r="I226" i="7"/>
  <c r="H226" i="7"/>
  <c r="G226" i="7"/>
  <c r="F226" i="7"/>
  <c r="E226" i="7"/>
  <c r="D226" i="7"/>
  <c r="I225" i="7"/>
  <c r="H225" i="7"/>
  <c r="G225" i="7"/>
  <c r="F225" i="7"/>
  <c r="E225" i="7"/>
  <c r="D225" i="7"/>
  <c r="I224" i="7"/>
  <c r="H224" i="7"/>
  <c r="G224" i="7"/>
  <c r="F224" i="7"/>
  <c r="E224" i="7"/>
  <c r="D224" i="7"/>
  <c r="I223" i="7"/>
  <c r="H223" i="7"/>
  <c r="G223" i="7"/>
  <c r="F223" i="7"/>
  <c r="E223" i="7"/>
  <c r="D223" i="7"/>
  <c r="I222" i="7"/>
  <c r="H222" i="7"/>
  <c r="G222" i="7"/>
  <c r="F222" i="7"/>
  <c r="E222" i="7"/>
  <c r="D222" i="7"/>
  <c r="L221" i="7"/>
  <c r="I221" i="7"/>
  <c r="H221" i="7"/>
  <c r="M221" i="7" s="1"/>
  <c r="G221" i="7"/>
  <c r="F221" i="7"/>
  <c r="E221" i="7"/>
  <c r="D221" i="7"/>
  <c r="J220" i="7"/>
  <c r="I220" i="7"/>
  <c r="H220" i="7"/>
  <c r="G220" i="7"/>
  <c r="F220" i="7"/>
  <c r="E220" i="7"/>
  <c r="D220" i="7"/>
  <c r="I215" i="7"/>
  <c r="H215" i="7"/>
  <c r="G215" i="7"/>
  <c r="F215" i="7"/>
  <c r="E215" i="7"/>
  <c r="D215" i="7"/>
  <c r="I214" i="7"/>
  <c r="H214" i="7"/>
  <c r="G214" i="7"/>
  <c r="F214" i="7"/>
  <c r="E214" i="7"/>
  <c r="D214" i="7"/>
  <c r="I213" i="7"/>
  <c r="H213" i="7"/>
  <c r="M209" i="7" s="1"/>
  <c r="G213" i="7"/>
  <c r="F213" i="7"/>
  <c r="E213" i="7"/>
  <c r="D213" i="7"/>
  <c r="I212" i="7"/>
  <c r="H212" i="7"/>
  <c r="G212" i="7"/>
  <c r="F212" i="7"/>
  <c r="E212" i="7"/>
  <c r="D212" i="7"/>
  <c r="I211" i="7"/>
  <c r="H211" i="7"/>
  <c r="G211" i="7"/>
  <c r="G216" i="7" s="1"/>
  <c r="F211" i="7"/>
  <c r="E211" i="7"/>
  <c r="D211" i="7"/>
  <c r="I210" i="7"/>
  <c r="H210" i="7"/>
  <c r="G210" i="7"/>
  <c r="F210" i="7"/>
  <c r="E210" i="7"/>
  <c r="D210" i="7"/>
  <c r="I209" i="7"/>
  <c r="H209" i="7"/>
  <c r="G209" i="7"/>
  <c r="L209" i="7" s="1"/>
  <c r="F209" i="7"/>
  <c r="E209" i="7"/>
  <c r="D209" i="7"/>
  <c r="J208" i="7"/>
  <c r="I208" i="7"/>
  <c r="H208" i="7"/>
  <c r="G208" i="7"/>
  <c r="F208" i="7"/>
  <c r="E208" i="7"/>
  <c r="D208" i="7"/>
  <c r="H204" i="7"/>
  <c r="I203" i="7"/>
  <c r="H203" i="7"/>
  <c r="G203" i="7"/>
  <c r="F203" i="7"/>
  <c r="E203" i="7"/>
  <c r="D203" i="7"/>
  <c r="I202" i="7"/>
  <c r="H202" i="7"/>
  <c r="G202" i="7"/>
  <c r="F202" i="7"/>
  <c r="E202" i="7"/>
  <c r="D202" i="7"/>
  <c r="I201" i="7"/>
  <c r="N197" i="7" s="1"/>
  <c r="H201" i="7"/>
  <c r="G201" i="7"/>
  <c r="F201" i="7"/>
  <c r="E201" i="7"/>
  <c r="D201" i="7"/>
  <c r="I200" i="7"/>
  <c r="H200" i="7"/>
  <c r="G200" i="7"/>
  <c r="F200" i="7"/>
  <c r="E200" i="7"/>
  <c r="D200" i="7"/>
  <c r="I199" i="7"/>
  <c r="H199" i="7"/>
  <c r="G199" i="7"/>
  <c r="F199" i="7"/>
  <c r="E199" i="7"/>
  <c r="D199" i="7"/>
  <c r="I198" i="7"/>
  <c r="H198" i="7"/>
  <c r="G198" i="7"/>
  <c r="F198" i="7"/>
  <c r="E198" i="7"/>
  <c r="D198" i="7"/>
  <c r="I197" i="7"/>
  <c r="H197" i="7"/>
  <c r="G197" i="7"/>
  <c r="G204" i="7" s="1"/>
  <c r="F197" i="7"/>
  <c r="E197" i="7"/>
  <c r="D197" i="7"/>
  <c r="J196" i="7"/>
  <c r="I196" i="7"/>
  <c r="H196" i="7"/>
  <c r="G196" i="7"/>
  <c r="F196" i="7"/>
  <c r="E196" i="7"/>
  <c r="D196" i="7"/>
  <c r="I191" i="7"/>
  <c r="H191" i="7"/>
  <c r="G191" i="7"/>
  <c r="F191" i="7"/>
  <c r="E191" i="7"/>
  <c r="D191" i="7"/>
  <c r="I190" i="7"/>
  <c r="H190" i="7"/>
  <c r="G190" i="7"/>
  <c r="F190" i="7"/>
  <c r="E190" i="7"/>
  <c r="D190" i="7"/>
  <c r="I189" i="7"/>
  <c r="H189" i="7"/>
  <c r="G189" i="7"/>
  <c r="F189" i="7"/>
  <c r="E189" i="7"/>
  <c r="D189" i="7"/>
  <c r="I188" i="7"/>
  <c r="H188" i="7"/>
  <c r="G188" i="7"/>
  <c r="F188" i="7"/>
  <c r="E188" i="7"/>
  <c r="D188" i="7"/>
  <c r="I187" i="7"/>
  <c r="H187" i="7"/>
  <c r="G187" i="7"/>
  <c r="F187" i="7"/>
  <c r="E187" i="7"/>
  <c r="D187" i="7"/>
  <c r="I186" i="7"/>
  <c r="H186" i="7"/>
  <c r="G186" i="7"/>
  <c r="F186" i="7"/>
  <c r="E186" i="7"/>
  <c r="D186" i="7"/>
  <c r="I185" i="7"/>
  <c r="N185" i="7" s="1"/>
  <c r="H185" i="7"/>
  <c r="M185" i="7" s="1"/>
  <c r="G185" i="7"/>
  <c r="F185" i="7"/>
  <c r="E185" i="7"/>
  <c r="D185" i="7"/>
  <c r="J184" i="7"/>
  <c r="I184" i="7"/>
  <c r="H184" i="7"/>
  <c r="G184" i="7"/>
  <c r="F184" i="7"/>
  <c r="E184" i="7"/>
  <c r="D184" i="7"/>
  <c r="I179" i="7"/>
  <c r="H179" i="7"/>
  <c r="G179" i="7"/>
  <c r="F179" i="7"/>
  <c r="E179" i="7"/>
  <c r="D179" i="7"/>
  <c r="I178" i="7"/>
  <c r="H178" i="7"/>
  <c r="G178" i="7"/>
  <c r="F178" i="7"/>
  <c r="E178" i="7"/>
  <c r="D178" i="7"/>
  <c r="I177" i="7"/>
  <c r="H177" i="7"/>
  <c r="G177" i="7"/>
  <c r="F177" i="7"/>
  <c r="E177" i="7"/>
  <c r="D177" i="7"/>
  <c r="I176" i="7"/>
  <c r="H176" i="7"/>
  <c r="G176" i="7"/>
  <c r="F176" i="7"/>
  <c r="E176" i="7"/>
  <c r="D176" i="7"/>
  <c r="I175" i="7"/>
  <c r="I180" i="7" s="1"/>
  <c r="H175" i="7"/>
  <c r="G175" i="7"/>
  <c r="F175" i="7"/>
  <c r="E175" i="7"/>
  <c r="D175" i="7"/>
  <c r="I174" i="7"/>
  <c r="H174" i="7"/>
  <c r="G174" i="7"/>
  <c r="F174" i="7"/>
  <c r="E174" i="7"/>
  <c r="D174" i="7"/>
  <c r="L173" i="7"/>
  <c r="I173" i="7"/>
  <c r="H173" i="7"/>
  <c r="H180" i="7" s="1"/>
  <c r="G173" i="7"/>
  <c r="F173" i="7"/>
  <c r="E173" i="7"/>
  <c r="D173" i="7"/>
  <c r="J172" i="7"/>
  <c r="I172" i="7"/>
  <c r="H172" i="7"/>
  <c r="G172" i="7"/>
  <c r="F172" i="7"/>
  <c r="E172" i="7"/>
  <c r="D172" i="7"/>
  <c r="I167" i="7"/>
  <c r="H167" i="7"/>
  <c r="G167" i="7"/>
  <c r="F167" i="7"/>
  <c r="E167" i="7"/>
  <c r="D167" i="7"/>
  <c r="I166" i="7"/>
  <c r="H166" i="7"/>
  <c r="G166" i="7"/>
  <c r="F166" i="7"/>
  <c r="E166" i="7"/>
  <c r="D166" i="7"/>
  <c r="I165" i="7"/>
  <c r="H165" i="7"/>
  <c r="G165" i="7"/>
  <c r="F165" i="7"/>
  <c r="E165" i="7"/>
  <c r="D165" i="7"/>
  <c r="I164" i="7"/>
  <c r="H164" i="7"/>
  <c r="G164" i="7"/>
  <c r="F164" i="7"/>
  <c r="E164" i="7"/>
  <c r="D164" i="7"/>
  <c r="I163" i="7"/>
  <c r="H163" i="7"/>
  <c r="G163" i="7"/>
  <c r="F163" i="7"/>
  <c r="E163" i="7"/>
  <c r="D163" i="7"/>
  <c r="I162" i="7"/>
  <c r="H162" i="7"/>
  <c r="G162" i="7"/>
  <c r="G168" i="7" s="1"/>
  <c r="F162" i="7"/>
  <c r="E162" i="7"/>
  <c r="D162" i="7"/>
  <c r="I161" i="7"/>
  <c r="I168" i="7" s="1"/>
  <c r="H161" i="7"/>
  <c r="G161" i="7"/>
  <c r="L161" i="7" s="1"/>
  <c r="F161" i="7"/>
  <c r="E161" i="7"/>
  <c r="D161" i="7"/>
  <c r="J160" i="7"/>
  <c r="I160" i="7"/>
  <c r="H160" i="7"/>
  <c r="G160" i="7"/>
  <c r="F160" i="7"/>
  <c r="E160" i="7"/>
  <c r="D160" i="7"/>
  <c r="I155" i="7"/>
  <c r="H155" i="7"/>
  <c r="G155" i="7"/>
  <c r="F155" i="7"/>
  <c r="E155" i="7"/>
  <c r="D155" i="7"/>
  <c r="I154" i="7"/>
  <c r="H154" i="7"/>
  <c r="G154" i="7"/>
  <c r="F154" i="7"/>
  <c r="E154" i="7"/>
  <c r="D154" i="7"/>
  <c r="I153" i="7"/>
  <c r="H153" i="7"/>
  <c r="G153" i="7"/>
  <c r="F153" i="7"/>
  <c r="E153" i="7"/>
  <c r="D153" i="7"/>
  <c r="I152" i="7"/>
  <c r="H152" i="7"/>
  <c r="G152" i="7"/>
  <c r="F152" i="7"/>
  <c r="E152" i="7"/>
  <c r="D152" i="7"/>
  <c r="I151" i="7"/>
  <c r="H151" i="7"/>
  <c r="G151" i="7"/>
  <c r="F151" i="7"/>
  <c r="E151" i="7"/>
  <c r="D151" i="7"/>
  <c r="I150" i="7"/>
  <c r="H150" i="7"/>
  <c r="G150" i="7"/>
  <c r="F150" i="7"/>
  <c r="E150" i="7"/>
  <c r="D150" i="7"/>
  <c r="I149" i="7"/>
  <c r="I156" i="7" s="1"/>
  <c r="H149" i="7"/>
  <c r="G149" i="7"/>
  <c r="L149" i="7" s="1"/>
  <c r="F149" i="7"/>
  <c r="E149" i="7"/>
  <c r="D149" i="7"/>
  <c r="J148" i="7"/>
  <c r="I148" i="7"/>
  <c r="H148" i="7"/>
  <c r="G148" i="7"/>
  <c r="F148" i="7"/>
  <c r="E148" i="7"/>
  <c r="D148" i="7"/>
  <c r="I143" i="7"/>
  <c r="H143" i="7"/>
  <c r="G143" i="7"/>
  <c r="F143" i="7"/>
  <c r="E143" i="7"/>
  <c r="D143" i="7"/>
  <c r="I142" i="7"/>
  <c r="H142" i="7"/>
  <c r="G142" i="7"/>
  <c r="F142" i="7"/>
  <c r="E142" i="7"/>
  <c r="D142" i="7"/>
  <c r="I141" i="7"/>
  <c r="H141" i="7"/>
  <c r="G141" i="7"/>
  <c r="F141" i="7"/>
  <c r="E141" i="7"/>
  <c r="D141" i="7"/>
  <c r="I140" i="7"/>
  <c r="H140" i="7"/>
  <c r="G140" i="7"/>
  <c r="F140" i="7"/>
  <c r="E140" i="7"/>
  <c r="D140" i="7"/>
  <c r="I139" i="7"/>
  <c r="H139" i="7"/>
  <c r="H144" i="7" s="1"/>
  <c r="G139" i="7"/>
  <c r="F139" i="7"/>
  <c r="E139" i="7"/>
  <c r="D139" i="7"/>
  <c r="I138" i="7"/>
  <c r="I144" i="7" s="1"/>
  <c r="H138" i="7"/>
  <c r="G138" i="7"/>
  <c r="F138" i="7"/>
  <c r="E138" i="7"/>
  <c r="D138" i="7"/>
  <c r="I137" i="7"/>
  <c r="N137" i="7" s="1"/>
  <c r="H137" i="7"/>
  <c r="G137" i="7"/>
  <c r="G144" i="7" s="1"/>
  <c r="J144" i="7" s="1"/>
  <c r="F137" i="7"/>
  <c r="E137" i="7"/>
  <c r="D137" i="7"/>
  <c r="J136" i="7"/>
  <c r="I136" i="7"/>
  <c r="H136" i="7"/>
  <c r="G136" i="7"/>
  <c r="F136" i="7"/>
  <c r="E136" i="7"/>
  <c r="D136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I129" i="7"/>
  <c r="H129" i="7"/>
  <c r="G129" i="7"/>
  <c r="F129" i="7"/>
  <c r="E129" i="7"/>
  <c r="D129" i="7"/>
  <c r="I128" i="7"/>
  <c r="H128" i="7"/>
  <c r="G128" i="7"/>
  <c r="F128" i="7"/>
  <c r="E128" i="7"/>
  <c r="D128" i="7"/>
  <c r="I127" i="7"/>
  <c r="I132" i="7" s="1"/>
  <c r="H127" i="7"/>
  <c r="G127" i="7"/>
  <c r="F127" i="7"/>
  <c r="E127" i="7"/>
  <c r="D127" i="7"/>
  <c r="I126" i="7"/>
  <c r="H126" i="7"/>
  <c r="G126" i="7"/>
  <c r="F126" i="7"/>
  <c r="E126" i="7"/>
  <c r="D126" i="7"/>
  <c r="L125" i="7"/>
  <c r="I125" i="7"/>
  <c r="H125" i="7"/>
  <c r="H132" i="7" s="1"/>
  <c r="G125" i="7"/>
  <c r="F125" i="7"/>
  <c r="E125" i="7"/>
  <c r="D125" i="7"/>
  <c r="J124" i="7"/>
  <c r="I124" i="7"/>
  <c r="H124" i="7"/>
  <c r="G124" i="7"/>
  <c r="F124" i="7"/>
  <c r="E124" i="7"/>
  <c r="D124" i="7"/>
  <c r="I119" i="7"/>
  <c r="H119" i="7"/>
  <c r="G119" i="7"/>
  <c r="F119" i="7"/>
  <c r="E119" i="7"/>
  <c r="D119" i="7"/>
  <c r="I118" i="7"/>
  <c r="H118" i="7"/>
  <c r="G118" i="7"/>
  <c r="F118" i="7"/>
  <c r="E118" i="7"/>
  <c r="D118" i="7"/>
  <c r="I117" i="7"/>
  <c r="H117" i="7"/>
  <c r="M113" i="7" s="1"/>
  <c r="G117" i="7"/>
  <c r="F117" i="7"/>
  <c r="E117" i="7"/>
  <c r="D117" i="7"/>
  <c r="I116" i="7"/>
  <c r="H116" i="7"/>
  <c r="G116" i="7"/>
  <c r="F116" i="7"/>
  <c r="E116" i="7"/>
  <c r="D116" i="7"/>
  <c r="I115" i="7"/>
  <c r="H115" i="7"/>
  <c r="G115" i="7"/>
  <c r="F115" i="7"/>
  <c r="E115" i="7"/>
  <c r="D115" i="7"/>
  <c r="I114" i="7"/>
  <c r="H114" i="7"/>
  <c r="G114" i="7"/>
  <c r="F114" i="7"/>
  <c r="E114" i="7"/>
  <c r="D114" i="7"/>
  <c r="I113" i="7"/>
  <c r="H113" i="7"/>
  <c r="G113" i="7"/>
  <c r="L113" i="7" s="1"/>
  <c r="F113" i="7"/>
  <c r="E113" i="7"/>
  <c r="D113" i="7"/>
  <c r="J112" i="7"/>
  <c r="I112" i="7"/>
  <c r="H112" i="7"/>
  <c r="G112" i="7"/>
  <c r="F112" i="7"/>
  <c r="E112" i="7"/>
  <c r="D112" i="7"/>
  <c r="I107" i="7"/>
  <c r="H107" i="7"/>
  <c r="G107" i="7"/>
  <c r="F107" i="7"/>
  <c r="E107" i="7"/>
  <c r="D107" i="7"/>
  <c r="I106" i="7"/>
  <c r="H106" i="7"/>
  <c r="G106" i="7"/>
  <c r="F106" i="7"/>
  <c r="E106" i="7"/>
  <c r="D106" i="7"/>
  <c r="I105" i="7"/>
  <c r="N101" i="7" s="1"/>
  <c r="H105" i="7"/>
  <c r="G105" i="7"/>
  <c r="F105" i="7"/>
  <c r="E105" i="7"/>
  <c r="D105" i="7"/>
  <c r="I104" i="7"/>
  <c r="H104" i="7"/>
  <c r="H108" i="7" s="1"/>
  <c r="G104" i="7"/>
  <c r="F104" i="7"/>
  <c r="E104" i="7"/>
  <c r="D104" i="7"/>
  <c r="I103" i="7"/>
  <c r="H103" i="7"/>
  <c r="G103" i="7"/>
  <c r="F103" i="7"/>
  <c r="E103" i="7"/>
  <c r="D103" i="7"/>
  <c r="I102" i="7"/>
  <c r="H102" i="7"/>
  <c r="G102" i="7"/>
  <c r="F102" i="7"/>
  <c r="E102" i="7"/>
  <c r="D102" i="7"/>
  <c r="I101" i="7"/>
  <c r="H101" i="7"/>
  <c r="G101" i="7"/>
  <c r="G108" i="7" s="1"/>
  <c r="F101" i="7"/>
  <c r="E101" i="7"/>
  <c r="D101" i="7"/>
  <c r="J100" i="7"/>
  <c r="I100" i="7"/>
  <c r="H100" i="7"/>
  <c r="G100" i="7"/>
  <c r="F100" i="7"/>
  <c r="E100" i="7"/>
  <c r="D100" i="7"/>
  <c r="I95" i="7"/>
  <c r="H95" i="7"/>
  <c r="G95" i="7"/>
  <c r="F95" i="7"/>
  <c r="E95" i="7"/>
  <c r="D95" i="7"/>
  <c r="I94" i="7"/>
  <c r="H94" i="7"/>
  <c r="G94" i="7"/>
  <c r="F94" i="7"/>
  <c r="E94" i="7"/>
  <c r="D94" i="7"/>
  <c r="I93" i="7"/>
  <c r="H93" i="7"/>
  <c r="G93" i="7"/>
  <c r="F93" i="7"/>
  <c r="E93" i="7"/>
  <c r="D93" i="7"/>
  <c r="I92" i="7"/>
  <c r="H92" i="7"/>
  <c r="G92" i="7"/>
  <c r="F92" i="7"/>
  <c r="E92" i="7"/>
  <c r="D92" i="7"/>
  <c r="I91" i="7"/>
  <c r="H91" i="7"/>
  <c r="G91" i="7"/>
  <c r="F91" i="7"/>
  <c r="E91" i="7"/>
  <c r="D91" i="7"/>
  <c r="I90" i="7"/>
  <c r="H90" i="7"/>
  <c r="G90" i="7"/>
  <c r="F90" i="7"/>
  <c r="E90" i="7"/>
  <c r="D90" i="7"/>
  <c r="M89" i="7"/>
  <c r="I89" i="7"/>
  <c r="H89" i="7"/>
  <c r="H96" i="7" s="1"/>
  <c r="G89" i="7"/>
  <c r="F89" i="7"/>
  <c r="E89" i="7"/>
  <c r="D89" i="7"/>
  <c r="J88" i="7"/>
  <c r="I88" i="7"/>
  <c r="H88" i="7"/>
  <c r="G88" i="7"/>
  <c r="F88" i="7"/>
  <c r="E88" i="7"/>
  <c r="D88" i="7"/>
  <c r="I83" i="7"/>
  <c r="H83" i="7"/>
  <c r="G83" i="7"/>
  <c r="F83" i="7"/>
  <c r="E83" i="7"/>
  <c r="D83" i="7"/>
  <c r="I82" i="7"/>
  <c r="H82" i="7"/>
  <c r="G82" i="7"/>
  <c r="F82" i="7"/>
  <c r="E82" i="7"/>
  <c r="D82" i="7"/>
  <c r="I81" i="7"/>
  <c r="N77" i="7" s="1"/>
  <c r="H81" i="7"/>
  <c r="G81" i="7"/>
  <c r="F81" i="7"/>
  <c r="E81" i="7"/>
  <c r="D81" i="7"/>
  <c r="I80" i="7"/>
  <c r="H80" i="7"/>
  <c r="G80" i="7"/>
  <c r="F80" i="7"/>
  <c r="E80" i="7"/>
  <c r="D80" i="7"/>
  <c r="I79" i="7"/>
  <c r="H79" i="7"/>
  <c r="G79" i="7"/>
  <c r="F79" i="7"/>
  <c r="E79" i="7"/>
  <c r="D79" i="7"/>
  <c r="I78" i="7"/>
  <c r="H78" i="7"/>
  <c r="G78" i="7"/>
  <c r="F78" i="7"/>
  <c r="E78" i="7"/>
  <c r="D78" i="7"/>
  <c r="L77" i="7"/>
  <c r="I77" i="7"/>
  <c r="H77" i="7"/>
  <c r="M77" i="7" s="1"/>
  <c r="G77" i="7"/>
  <c r="F77" i="7"/>
  <c r="E77" i="7"/>
  <c r="D77" i="7"/>
  <c r="J76" i="7"/>
  <c r="I76" i="7"/>
  <c r="H76" i="7"/>
  <c r="G76" i="7"/>
  <c r="F76" i="7"/>
  <c r="E76" i="7"/>
  <c r="D76" i="7"/>
  <c r="I71" i="7"/>
  <c r="H71" i="7"/>
  <c r="G71" i="7"/>
  <c r="F71" i="7"/>
  <c r="E71" i="7"/>
  <c r="D71" i="7"/>
  <c r="I70" i="7"/>
  <c r="H70" i="7"/>
  <c r="G70" i="7"/>
  <c r="F70" i="7"/>
  <c r="E70" i="7"/>
  <c r="D70" i="7"/>
  <c r="I69" i="7"/>
  <c r="H69" i="7"/>
  <c r="M65" i="7" s="1"/>
  <c r="G69" i="7"/>
  <c r="F69" i="7"/>
  <c r="E69" i="7"/>
  <c r="D69" i="7"/>
  <c r="I68" i="7"/>
  <c r="H68" i="7"/>
  <c r="G68" i="7"/>
  <c r="F68" i="7"/>
  <c r="E68" i="7"/>
  <c r="D68" i="7"/>
  <c r="I67" i="7"/>
  <c r="H67" i="7"/>
  <c r="G67" i="7"/>
  <c r="G72" i="7" s="1"/>
  <c r="F67" i="7"/>
  <c r="E67" i="7"/>
  <c r="D67" i="7"/>
  <c r="I66" i="7"/>
  <c r="H66" i="7"/>
  <c r="G66" i="7"/>
  <c r="F66" i="7"/>
  <c r="E66" i="7"/>
  <c r="D66" i="7"/>
  <c r="I65" i="7"/>
  <c r="H65" i="7"/>
  <c r="G65" i="7"/>
  <c r="L65" i="7" s="1"/>
  <c r="F65" i="7"/>
  <c r="E65" i="7"/>
  <c r="D65" i="7"/>
  <c r="J64" i="7"/>
  <c r="I64" i="7"/>
  <c r="H64" i="7"/>
  <c r="G64" i="7"/>
  <c r="F64" i="7"/>
  <c r="E64" i="7"/>
  <c r="D64" i="7"/>
  <c r="H60" i="7"/>
  <c r="I59" i="7"/>
  <c r="H59" i="7"/>
  <c r="G59" i="7"/>
  <c r="F59" i="7"/>
  <c r="E59" i="7"/>
  <c r="D59" i="7"/>
  <c r="I58" i="7"/>
  <c r="H58" i="7"/>
  <c r="G58" i="7"/>
  <c r="F58" i="7"/>
  <c r="E58" i="7"/>
  <c r="D58" i="7"/>
  <c r="I57" i="7"/>
  <c r="N53" i="7" s="1"/>
  <c r="H57" i="7"/>
  <c r="G57" i="7"/>
  <c r="F57" i="7"/>
  <c r="E57" i="7"/>
  <c r="D57" i="7"/>
  <c r="I56" i="7"/>
  <c r="H56" i="7"/>
  <c r="G56" i="7"/>
  <c r="F56" i="7"/>
  <c r="E56" i="7"/>
  <c r="D56" i="7"/>
  <c r="I55" i="7"/>
  <c r="H55" i="7"/>
  <c r="G55" i="7"/>
  <c r="F55" i="7"/>
  <c r="E55" i="7"/>
  <c r="D55" i="7"/>
  <c r="I54" i="7"/>
  <c r="H54" i="7"/>
  <c r="G54" i="7"/>
  <c r="F54" i="7"/>
  <c r="E54" i="7"/>
  <c r="D54" i="7"/>
  <c r="I53" i="7"/>
  <c r="H53" i="7"/>
  <c r="G53" i="7"/>
  <c r="G60" i="7" s="1"/>
  <c r="F53" i="7"/>
  <c r="E53" i="7"/>
  <c r="D53" i="7"/>
  <c r="J52" i="7"/>
  <c r="I52" i="7"/>
  <c r="H52" i="7"/>
  <c r="G52" i="7"/>
  <c r="F52" i="7"/>
  <c r="E52" i="7"/>
  <c r="D52" i="7"/>
  <c r="I47" i="7"/>
  <c r="H47" i="7"/>
  <c r="G47" i="7"/>
  <c r="F47" i="7"/>
  <c r="E47" i="7"/>
  <c r="D47" i="7"/>
  <c r="I46" i="7"/>
  <c r="H46" i="7"/>
  <c r="G46" i="7"/>
  <c r="F46" i="7"/>
  <c r="E46" i="7"/>
  <c r="D46" i="7"/>
  <c r="I45" i="7"/>
  <c r="H45" i="7"/>
  <c r="G45" i="7"/>
  <c r="F45" i="7"/>
  <c r="E45" i="7"/>
  <c r="D45" i="7"/>
  <c r="I44" i="7"/>
  <c r="H44" i="7"/>
  <c r="G44" i="7"/>
  <c r="F44" i="7"/>
  <c r="E44" i="7"/>
  <c r="D44" i="7"/>
  <c r="I43" i="7"/>
  <c r="H43" i="7"/>
  <c r="G43" i="7"/>
  <c r="F43" i="7"/>
  <c r="E43" i="7"/>
  <c r="D43" i="7"/>
  <c r="I42" i="7"/>
  <c r="H42" i="7"/>
  <c r="G42" i="7"/>
  <c r="F42" i="7"/>
  <c r="E42" i="7"/>
  <c r="D42" i="7"/>
  <c r="M41" i="7"/>
  <c r="I41" i="7"/>
  <c r="H41" i="7"/>
  <c r="H48" i="7" s="1"/>
  <c r="G41" i="7"/>
  <c r="F41" i="7"/>
  <c r="E41" i="7"/>
  <c r="D41" i="7"/>
  <c r="J40" i="7"/>
  <c r="I40" i="7"/>
  <c r="H40" i="7"/>
  <c r="G40" i="7"/>
  <c r="F40" i="7"/>
  <c r="E40" i="7"/>
  <c r="D40" i="7"/>
  <c r="I35" i="7"/>
  <c r="H35" i="7"/>
  <c r="G35" i="7"/>
  <c r="F35" i="7"/>
  <c r="E35" i="7"/>
  <c r="D35" i="7"/>
  <c r="I34" i="7"/>
  <c r="H34" i="7"/>
  <c r="G34" i="7"/>
  <c r="F34" i="7"/>
  <c r="E34" i="7"/>
  <c r="D34" i="7"/>
  <c r="I33" i="7"/>
  <c r="I36" i="7" s="1"/>
  <c r="H33" i="7"/>
  <c r="G33" i="7"/>
  <c r="F33" i="7"/>
  <c r="E33" i="7"/>
  <c r="D33" i="7"/>
  <c r="I32" i="7"/>
  <c r="H32" i="7"/>
  <c r="G32" i="7"/>
  <c r="F32" i="7"/>
  <c r="E32" i="7"/>
  <c r="D32" i="7"/>
  <c r="J31" i="7"/>
  <c r="I31" i="7"/>
  <c r="H31" i="7"/>
  <c r="G31" i="7"/>
  <c r="F31" i="7"/>
  <c r="E31" i="7"/>
  <c r="D31" i="7"/>
  <c r="J30" i="7"/>
  <c r="I30" i="7"/>
  <c r="H30" i="7"/>
  <c r="G30" i="7"/>
  <c r="F30" i="7"/>
  <c r="E30" i="7"/>
  <c r="D30" i="7"/>
  <c r="J29" i="7"/>
  <c r="I29" i="7"/>
  <c r="H29" i="7"/>
  <c r="G29" i="7"/>
  <c r="G36" i="7" s="1"/>
  <c r="F29" i="7"/>
  <c r="E29" i="7"/>
  <c r="D29" i="7"/>
  <c r="A29" i="7"/>
  <c r="J28" i="7"/>
  <c r="I28" i="7"/>
  <c r="H28" i="7"/>
  <c r="G28" i="7"/>
  <c r="F28" i="7"/>
  <c r="E28" i="7"/>
  <c r="D28" i="7"/>
  <c r="H25" i="7"/>
  <c r="H26" i="7" s="1"/>
  <c r="J23" i="7"/>
  <c r="I23" i="7"/>
  <c r="H23" i="7"/>
  <c r="G23" i="7"/>
  <c r="F23" i="7"/>
  <c r="E23" i="7"/>
  <c r="D23" i="7"/>
  <c r="J22" i="7"/>
  <c r="I22" i="7"/>
  <c r="H22" i="7"/>
  <c r="G22" i="7"/>
  <c r="F22" i="7"/>
  <c r="E22" i="7"/>
  <c r="D22" i="7"/>
  <c r="J21" i="7"/>
  <c r="I21" i="7"/>
  <c r="N17" i="7" s="1"/>
  <c r="H21" i="7"/>
  <c r="G21" i="7"/>
  <c r="F21" i="7"/>
  <c r="E21" i="7"/>
  <c r="D21" i="7"/>
  <c r="J20" i="7"/>
  <c r="I20" i="7"/>
  <c r="H20" i="7"/>
  <c r="G20" i="7"/>
  <c r="F20" i="7"/>
  <c r="E20" i="7"/>
  <c r="D20" i="7"/>
  <c r="J19" i="7"/>
  <c r="I19" i="7"/>
  <c r="H19" i="7"/>
  <c r="G19" i="7"/>
  <c r="G24" i="7" s="1"/>
  <c r="F19" i="7"/>
  <c r="E19" i="7"/>
  <c r="D19" i="7"/>
  <c r="J18" i="7"/>
  <c r="I18" i="7"/>
  <c r="H18" i="7"/>
  <c r="G18" i="7"/>
  <c r="F18" i="7"/>
  <c r="E18" i="7"/>
  <c r="D18" i="7"/>
  <c r="M17" i="7"/>
  <c r="Q17" i="7" s="1"/>
  <c r="J17" i="7"/>
  <c r="I17" i="7"/>
  <c r="H17" i="7"/>
  <c r="H24" i="7" s="1"/>
  <c r="G17" i="7"/>
  <c r="L17" i="7" s="1"/>
  <c r="O17" i="7" s="1"/>
  <c r="F17" i="7"/>
  <c r="E17" i="7"/>
  <c r="D17" i="7"/>
  <c r="A17" i="7"/>
  <c r="J16" i="7"/>
  <c r="I16" i="7"/>
  <c r="H16" i="7"/>
  <c r="G16" i="7"/>
  <c r="F16" i="7"/>
  <c r="E16" i="7"/>
  <c r="D16" i="7"/>
  <c r="I11" i="7"/>
  <c r="H11" i="7"/>
  <c r="G11" i="7"/>
  <c r="F11" i="7"/>
  <c r="E11" i="7"/>
  <c r="D11" i="7"/>
  <c r="J10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J8" i="7"/>
  <c r="I8" i="7"/>
  <c r="H8" i="7"/>
  <c r="G8" i="7"/>
  <c r="F8" i="7"/>
  <c r="E8" i="7"/>
  <c r="D8" i="7"/>
  <c r="I7" i="7"/>
  <c r="H7" i="7"/>
  <c r="G7" i="7"/>
  <c r="F7" i="7"/>
  <c r="E7" i="7"/>
  <c r="D7" i="7"/>
  <c r="J6" i="7"/>
  <c r="I6" i="7"/>
  <c r="H6" i="7"/>
  <c r="G6" i="7"/>
  <c r="F6" i="7"/>
  <c r="E6" i="7"/>
  <c r="D6" i="7"/>
  <c r="J5" i="7"/>
  <c r="I5" i="7"/>
  <c r="H5" i="7"/>
  <c r="G5" i="7"/>
  <c r="G12" i="7" s="1"/>
  <c r="F5" i="7"/>
  <c r="E5" i="7"/>
  <c r="D5" i="7"/>
  <c r="J4" i="7"/>
  <c r="I4" i="7"/>
  <c r="H4" i="7"/>
  <c r="G4" i="7"/>
  <c r="F4" i="7"/>
  <c r="E4" i="7"/>
  <c r="D4" i="7"/>
  <c r="J3" i="7"/>
  <c r="I3" i="7"/>
  <c r="I12" i="7" s="1"/>
  <c r="H3" i="7"/>
  <c r="G3" i="7"/>
  <c r="F3" i="7"/>
  <c r="E3" i="7"/>
  <c r="D3" i="7"/>
  <c r="J2" i="7"/>
  <c r="I2" i="7"/>
  <c r="H2" i="7"/>
  <c r="M2" i="7" s="1"/>
  <c r="G2" i="7"/>
  <c r="F2" i="7"/>
  <c r="E2" i="7"/>
  <c r="D2" i="7"/>
  <c r="J1" i="7"/>
  <c r="I1" i="7"/>
  <c r="H1" i="7"/>
  <c r="G1" i="7"/>
  <c r="F1" i="7"/>
  <c r="E1" i="7"/>
  <c r="D1" i="7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AB7" i="6"/>
  <c r="O7" i="6"/>
  <c r="AB6" i="6"/>
  <c r="O6" i="6"/>
  <c r="AB5" i="6"/>
  <c r="O5" i="6"/>
  <c r="A5" i="6"/>
  <c r="AB4" i="6"/>
  <c r="V4" i="6"/>
  <c r="U4" i="6"/>
  <c r="S4" i="6"/>
  <c r="O4" i="6"/>
  <c r="B4" i="6"/>
  <c r="A4" i="6"/>
  <c r="A4" i="9" s="1"/>
  <c r="AB3" i="6"/>
  <c r="O3" i="6"/>
  <c r="H13" i="7" s="1"/>
  <c r="C3" i="6"/>
  <c r="Z2" i="6"/>
  <c r="Y2" i="6"/>
  <c r="X2" i="6"/>
  <c r="W2" i="6"/>
  <c r="V2" i="6"/>
  <c r="U2" i="6"/>
  <c r="T2" i="6"/>
  <c r="S2" i="6"/>
  <c r="B10" i="5"/>
  <c r="B9" i="5"/>
  <c r="B8" i="5"/>
  <c r="B7" i="5"/>
  <c r="B4" i="5"/>
  <c r="B5" i="5" s="1"/>
  <c r="C12" i="4"/>
  <c r="D12" i="4" s="1"/>
  <c r="C11" i="4"/>
  <c r="D11" i="4" s="1"/>
  <c r="C10" i="4"/>
  <c r="D10" i="4" s="1"/>
  <c r="D9" i="4"/>
  <c r="C9" i="4"/>
  <c r="C8" i="4"/>
  <c r="D8" i="4" s="1"/>
  <c r="G15" i="3"/>
  <c r="B11" i="3"/>
  <c r="B10" i="3"/>
  <c r="B9" i="3"/>
  <c r="B8" i="3"/>
  <c r="B5" i="3"/>
  <c r="B17" i="2"/>
  <c r="D17" i="2" s="1"/>
  <c r="D16" i="2"/>
  <c r="B16" i="2"/>
  <c r="B15" i="2"/>
  <c r="D15" i="2" s="1"/>
  <c r="D14" i="2"/>
  <c r="B14" i="2"/>
  <c r="B13" i="2"/>
  <c r="D13" i="2" s="1"/>
  <c r="D18" i="2" s="1"/>
  <c r="B8" i="2"/>
  <c r="B7" i="2"/>
  <c r="O65" i="7" l="1"/>
  <c r="G14" i="3"/>
  <c r="B14" i="3"/>
  <c r="B4" i="9"/>
  <c r="B5" i="6"/>
  <c r="A5" i="9"/>
  <c r="A6" i="6"/>
  <c r="O161" i="7"/>
  <c r="H37" i="7"/>
  <c r="A41" i="7"/>
  <c r="J36" i="7"/>
  <c r="L29" i="7"/>
  <c r="S5" i="6" s="1"/>
  <c r="I84" i="7"/>
  <c r="G156" i="7"/>
  <c r="J300" i="7"/>
  <c r="I72" i="7"/>
  <c r="N65" i="7"/>
  <c r="C10" i="2"/>
  <c r="B10" i="2"/>
  <c r="B11" i="2" s="1"/>
  <c r="B4" i="2" s="1"/>
  <c r="B5" i="2" s="1"/>
  <c r="G3" i="6" s="1"/>
  <c r="I60" i="7"/>
  <c r="H72" i="7"/>
  <c r="O77" i="7"/>
  <c r="I108" i="7"/>
  <c r="J108" i="7" s="1"/>
  <c r="N269" i="7"/>
  <c r="I276" i="7"/>
  <c r="I312" i="7"/>
  <c r="N305" i="7"/>
  <c r="O305" i="7" s="1"/>
  <c r="Q2" i="7"/>
  <c r="X3" i="6" s="1"/>
  <c r="J60" i="7"/>
  <c r="I120" i="7"/>
  <c r="N113" i="7"/>
  <c r="O113" i="7" s="1"/>
  <c r="I216" i="7"/>
  <c r="N209" i="7"/>
  <c r="O209" i="7" s="1"/>
  <c r="B4" i="4"/>
  <c r="B13" i="3"/>
  <c r="B4" i="3" s="1"/>
  <c r="B6" i="3" s="1"/>
  <c r="T3" i="6"/>
  <c r="L2" i="7"/>
  <c r="N29" i="7"/>
  <c r="U5" i="6" s="1"/>
  <c r="I48" i="7"/>
  <c r="J72" i="7"/>
  <c r="G84" i="7"/>
  <c r="I96" i="7"/>
  <c r="J204" i="7"/>
  <c r="N221" i="7"/>
  <c r="I228" i="7"/>
  <c r="I264" i="7"/>
  <c r="N257" i="7"/>
  <c r="O257" i="7" s="1"/>
  <c r="H12" i="7"/>
  <c r="H14" i="7" s="1"/>
  <c r="H36" i="7"/>
  <c r="M29" i="7"/>
  <c r="T5" i="6" s="1"/>
  <c r="N41" i="7"/>
  <c r="L53" i="7"/>
  <c r="N89" i="7"/>
  <c r="L101" i="7"/>
  <c r="G132" i="7"/>
  <c r="J132" i="7" s="1"/>
  <c r="M137" i="7"/>
  <c r="M149" i="7"/>
  <c r="O149" i="7" s="1"/>
  <c r="H156" i="7"/>
  <c r="H168" i="7"/>
  <c r="J168" i="7" s="1"/>
  <c r="G180" i="7"/>
  <c r="J180" i="7" s="1"/>
  <c r="I324" i="7"/>
  <c r="I24" i="7"/>
  <c r="J24" i="7" s="1"/>
  <c r="M53" i="7"/>
  <c r="H84" i="7"/>
  <c r="M101" i="7"/>
  <c r="I204" i="7"/>
  <c r="H216" i="7"/>
  <c r="J216" i="7" s="1"/>
  <c r="O221" i="7"/>
  <c r="I252" i="7"/>
  <c r="J252" i="7" s="1"/>
  <c r="H264" i="7"/>
  <c r="J264" i="7" s="1"/>
  <c r="O269" i="7"/>
  <c r="I300" i="7"/>
  <c r="H312" i="7"/>
  <c r="O317" i="7"/>
  <c r="H372" i="7"/>
  <c r="M365" i="7"/>
  <c r="T4" i="6"/>
  <c r="X4" i="6"/>
  <c r="N2" i="7"/>
  <c r="G48" i="7"/>
  <c r="J48" i="7" s="1"/>
  <c r="L41" i="7"/>
  <c r="O41" i="7" s="1"/>
  <c r="G96" i="7"/>
  <c r="J96" i="7" s="1"/>
  <c r="L89" i="7"/>
  <c r="O89" i="7" s="1"/>
  <c r="H120" i="7"/>
  <c r="G120" i="7"/>
  <c r="J120" i="7" s="1"/>
  <c r="N125" i="7"/>
  <c r="N149" i="7"/>
  <c r="M161" i="7"/>
  <c r="N173" i="7"/>
  <c r="O173" i="7" s="1"/>
  <c r="I192" i="7"/>
  <c r="G228" i="7"/>
  <c r="I240" i="7"/>
  <c r="G276" i="7"/>
  <c r="I288" i="7"/>
  <c r="J312" i="7"/>
  <c r="G324" i="7"/>
  <c r="H420" i="7"/>
  <c r="M413" i="7"/>
  <c r="M125" i="7"/>
  <c r="O125" i="7" s="1"/>
  <c r="L137" i="7"/>
  <c r="N161" i="7"/>
  <c r="M173" i="7"/>
  <c r="G192" i="7"/>
  <c r="J192" i="7" s="1"/>
  <c r="L185" i="7"/>
  <c r="O185" i="7" s="1"/>
  <c r="H192" i="7"/>
  <c r="L197" i="7"/>
  <c r="O197" i="7" s="1"/>
  <c r="N233" i="7"/>
  <c r="L245" i="7"/>
  <c r="N281" i="7"/>
  <c r="L293" i="7"/>
  <c r="O293" i="7" s="1"/>
  <c r="G360" i="7"/>
  <c r="G408" i="7"/>
  <c r="J444" i="7"/>
  <c r="G456" i="7"/>
  <c r="M473" i="7"/>
  <c r="J504" i="7"/>
  <c r="J552" i="7"/>
  <c r="M197" i="7"/>
  <c r="H228" i="7"/>
  <c r="M245" i="7"/>
  <c r="H276" i="7"/>
  <c r="M293" i="7"/>
  <c r="H324" i="7"/>
  <c r="I348" i="7"/>
  <c r="J348" i="7" s="1"/>
  <c r="N341" i="7"/>
  <c r="O341" i="7" s="1"/>
  <c r="J384" i="7"/>
  <c r="I396" i="7"/>
  <c r="J396" i="7" s="1"/>
  <c r="N389" i="7"/>
  <c r="O389" i="7" s="1"/>
  <c r="G432" i="7"/>
  <c r="J432" i="7" s="1"/>
  <c r="I444" i="7"/>
  <c r="N437" i="7"/>
  <c r="O437" i="7" s="1"/>
  <c r="I684" i="7"/>
  <c r="N677" i="7"/>
  <c r="G240" i="7"/>
  <c r="J240" i="7" s="1"/>
  <c r="L233" i="7"/>
  <c r="G288" i="7"/>
  <c r="J288" i="7" s="1"/>
  <c r="L281" i="7"/>
  <c r="O281" i="7" s="1"/>
  <c r="I336" i="7"/>
  <c r="J336" i="7" s="1"/>
  <c r="I360" i="7"/>
  <c r="I408" i="7"/>
  <c r="I456" i="7"/>
  <c r="J516" i="7"/>
  <c r="L329" i="7"/>
  <c r="O329" i="7" s="1"/>
  <c r="N365" i="7"/>
  <c r="L377" i="7"/>
  <c r="N413" i="7"/>
  <c r="L425" i="7"/>
  <c r="O425" i="7" s="1"/>
  <c r="N473" i="7"/>
  <c r="L497" i="7"/>
  <c r="H516" i="7"/>
  <c r="M509" i="7"/>
  <c r="O509" i="7" s="1"/>
  <c r="I540" i="7"/>
  <c r="L545" i="7"/>
  <c r="O545" i="7" s="1"/>
  <c r="H564" i="7"/>
  <c r="J564" i="7" s="1"/>
  <c r="M557" i="7"/>
  <c r="I588" i="7"/>
  <c r="H360" i="7"/>
  <c r="M377" i="7"/>
  <c r="H408" i="7"/>
  <c r="M425" i="7"/>
  <c r="H456" i="7"/>
  <c r="O461" i="7"/>
  <c r="O473" i="7"/>
  <c r="O557" i="7"/>
  <c r="H588" i="7"/>
  <c r="H612" i="7"/>
  <c r="I636" i="7"/>
  <c r="N629" i="7"/>
  <c r="J684" i="7"/>
  <c r="H720" i="7"/>
  <c r="G372" i="7"/>
  <c r="L365" i="7"/>
  <c r="G420" i="7"/>
  <c r="J420" i="7" s="1"/>
  <c r="L413" i="7"/>
  <c r="H468" i="7"/>
  <c r="G480" i="7"/>
  <c r="J480" i="7" s="1"/>
  <c r="H492" i="7"/>
  <c r="J492" i="7" s="1"/>
  <c r="I516" i="7"/>
  <c r="H528" i="7"/>
  <c r="L533" i="7"/>
  <c r="O533" i="7" s="1"/>
  <c r="I564" i="7"/>
  <c r="H576" i="7"/>
  <c r="L581" i="7"/>
  <c r="O581" i="7" s="1"/>
  <c r="I648" i="7"/>
  <c r="G468" i="7"/>
  <c r="J468" i="7" s="1"/>
  <c r="L485" i="7"/>
  <c r="N497" i="7"/>
  <c r="G528" i="7"/>
  <c r="J528" i="7" s="1"/>
  <c r="L521" i="7"/>
  <c r="G540" i="7"/>
  <c r="G576" i="7"/>
  <c r="J576" i="7" s="1"/>
  <c r="L569" i="7"/>
  <c r="G588" i="7"/>
  <c r="J588" i="7" s="1"/>
  <c r="N605" i="7"/>
  <c r="M641" i="7"/>
  <c r="N653" i="7"/>
  <c r="I696" i="7"/>
  <c r="M701" i="7"/>
  <c r="I708" i="7"/>
  <c r="N713" i="7"/>
  <c r="L737" i="7"/>
  <c r="G816" i="7"/>
  <c r="M485" i="7"/>
  <c r="M521" i="7"/>
  <c r="I552" i="7"/>
  <c r="M569" i="7"/>
  <c r="I600" i="7"/>
  <c r="L605" i="7"/>
  <c r="O605" i="7" s="1"/>
  <c r="G624" i="7"/>
  <c r="J624" i="7" s="1"/>
  <c r="L641" i="7"/>
  <c r="G648" i="7"/>
  <c r="J648" i="7" s="1"/>
  <c r="L653" i="7"/>
  <c r="G672" i="7"/>
  <c r="J672" i="7" s="1"/>
  <c r="O677" i="7"/>
  <c r="L713" i="7"/>
  <c r="O713" i="7" s="1"/>
  <c r="G744" i="7"/>
  <c r="N485" i="7"/>
  <c r="N521" i="7"/>
  <c r="N569" i="7"/>
  <c r="G600" i="7"/>
  <c r="J612" i="7"/>
  <c r="M629" i="7"/>
  <c r="O629" i="7" s="1"/>
  <c r="H636" i="7"/>
  <c r="J636" i="7" s="1"/>
  <c r="J660" i="7"/>
  <c r="M677" i="7"/>
  <c r="H684" i="7"/>
  <c r="L689" i="7"/>
  <c r="G696" i="7"/>
  <c r="J720" i="7"/>
  <c r="O761" i="7"/>
  <c r="G840" i="7"/>
  <c r="L833" i="7"/>
  <c r="N593" i="7"/>
  <c r="O593" i="7" s="1"/>
  <c r="M605" i="7"/>
  <c r="L617" i="7"/>
  <c r="O617" i="7" s="1"/>
  <c r="N641" i="7"/>
  <c r="M653" i="7"/>
  <c r="L665" i="7"/>
  <c r="O665" i="7" s="1"/>
  <c r="H696" i="7"/>
  <c r="N689" i="7"/>
  <c r="M713" i="7"/>
  <c r="L725" i="7"/>
  <c r="M725" i="7"/>
  <c r="M737" i="7"/>
  <c r="H756" i="7"/>
  <c r="G768" i="7"/>
  <c r="J768" i="7" s="1"/>
  <c r="M773" i="7"/>
  <c r="O773" i="7" s="1"/>
  <c r="G780" i="7"/>
  <c r="J780" i="7" s="1"/>
  <c r="G708" i="7"/>
  <c r="L701" i="7"/>
  <c r="O701" i="7" s="1"/>
  <c r="G732" i="7"/>
  <c r="J732" i="7" s="1"/>
  <c r="I792" i="7"/>
  <c r="J792" i="7" s="1"/>
  <c r="I732" i="7"/>
  <c r="N737" i="7"/>
  <c r="M749" i="7"/>
  <c r="O749" i="7" s="1"/>
  <c r="N761" i="7"/>
  <c r="H744" i="7"/>
  <c r="G756" i="7"/>
  <c r="J756" i="7" s="1"/>
  <c r="I780" i="7"/>
  <c r="N797" i="7"/>
  <c r="I828" i="7"/>
  <c r="N821" i="7"/>
  <c r="N833" i="7"/>
  <c r="O5" i="9"/>
  <c r="O4" i="9"/>
  <c r="L785" i="7"/>
  <c r="O785" i="7" s="1"/>
  <c r="I8" i="8"/>
  <c r="H792" i="7"/>
  <c r="M785" i="7"/>
  <c r="G804" i="7"/>
  <c r="L797" i="7"/>
  <c r="N845" i="7"/>
  <c r="H848" i="7"/>
  <c r="H839" i="7"/>
  <c r="H835" i="7"/>
  <c r="H826" i="7"/>
  <c r="H822" i="7"/>
  <c r="H828" i="7" s="1"/>
  <c r="J828" i="7" s="1"/>
  <c r="H813" i="7"/>
  <c r="H809" i="7"/>
  <c r="H800" i="7"/>
  <c r="H791" i="7"/>
  <c r="I2" i="8"/>
  <c r="H849" i="7"/>
  <c r="H845" i="7"/>
  <c r="H836" i="7"/>
  <c r="H827" i="7"/>
  <c r="H823" i="7"/>
  <c r="M821" i="7" s="1"/>
  <c r="O821" i="7" s="1"/>
  <c r="H850" i="7"/>
  <c r="H846" i="7"/>
  <c r="H837" i="7"/>
  <c r="H833" i="7"/>
  <c r="H824" i="7"/>
  <c r="L845" i="7"/>
  <c r="I852" i="7"/>
  <c r="H804" i="7" l="1"/>
  <c r="M797" i="7"/>
  <c r="O689" i="7"/>
  <c r="B5" i="9"/>
  <c r="B6" i="6"/>
  <c r="O641" i="7"/>
  <c r="O569" i="7"/>
  <c r="O365" i="7"/>
  <c r="J408" i="7"/>
  <c r="J228" i="7"/>
  <c r="O2" i="7"/>
  <c r="S3" i="6"/>
  <c r="J156" i="7"/>
  <c r="Q41" i="7"/>
  <c r="A53" i="7"/>
  <c r="H49" i="7"/>
  <c r="H50" i="7" s="1"/>
  <c r="J12" i="7"/>
  <c r="M845" i="7"/>
  <c r="H852" i="7"/>
  <c r="J852" i="7" s="1"/>
  <c r="O521" i="7"/>
  <c r="A6" i="9"/>
  <c r="V6" i="6"/>
  <c r="T6" i="6"/>
  <c r="A7" i="6"/>
  <c r="X6" i="6"/>
  <c r="S6" i="6"/>
  <c r="U6" i="6"/>
  <c r="M809" i="7"/>
  <c r="O809" i="7" s="1"/>
  <c r="H816" i="7"/>
  <c r="J816" i="7" s="1"/>
  <c r="J372" i="7"/>
  <c r="J276" i="7"/>
  <c r="O101" i="7"/>
  <c r="Q29" i="7"/>
  <c r="X5" i="6" s="1"/>
  <c r="O737" i="7"/>
  <c r="O53" i="7"/>
  <c r="H840" i="7"/>
  <c r="J840" i="7" s="1"/>
  <c r="M833" i="7"/>
  <c r="O833" i="7" s="1"/>
  <c r="J850" i="7"/>
  <c r="J846" i="7"/>
  <c r="J837" i="7"/>
  <c r="J833" i="7"/>
  <c r="J824" i="7"/>
  <c r="J815" i="7"/>
  <c r="J811" i="7"/>
  <c r="J802" i="7"/>
  <c r="J798" i="7"/>
  <c r="J851" i="7"/>
  <c r="J847" i="7"/>
  <c r="J838" i="7"/>
  <c r="J834" i="7"/>
  <c r="J825" i="7"/>
  <c r="J848" i="7"/>
  <c r="J839" i="7"/>
  <c r="J835" i="7"/>
  <c r="J826" i="7"/>
  <c r="J822" i="7"/>
  <c r="J849" i="7"/>
  <c r="J823" i="7"/>
  <c r="J810" i="7"/>
  <c r="J803" i="7"/>
  <c r="J800" i="7"/>
  <c r="J787" i="7"/>
  <c r="J778" i="7"/>
  <c r="J774" i="7"/>
  <c r="J765" i="7"/>
  <c r="J761" i="7"/>
  <c r="J752" i="7"/>
  <c r="J743" i="7"/>
  <c r="J739" i="7"/>
  <c r="J730" i="7"/>
  <c r="J821" i="7"/>
  <c r="J813" i="7"/>
  <c r="J809" i="7"/>
  <c r="J801" i="7"/>
  <c r="J797" i="7"/>
  <c r="J791" i="7"/>
  <c r="J788" i="7"/>
  <c r="J779" i="7"/>
  <c r="J775" i="7"/>
  <c r="J766" i="7"/>
  <c r="J762" i="7"/>
  <c r="J753" i="7"/>
  <c r="J749" i="7"/>
  <c r="J740" i="7"/>
  <c r="J827" i="7"/>
  <c r="J814" i="7"/>
  <c r="J799" i="7"/>
  <c r="J789" i="7"/>
  <c r="J785" i="7"/>
  <c r="J776" i="7"/>
  <c r="J767" i="7"/>
  <c r="J763" i="7"/>
  <c r="J754" i="7"/>
  <c r="J750" i="7"/>
  <c r="J741" i="7"/>
  <c r="J737" i="7"/>
  <c r="J728" i="7"/>
  <c r="J719" i="7"/>
  <c r="J715" i="7"/>
  <c r="J706" i="7"/>
  <c r="J702" i="7"/>
  <c r="J693" i="7"/>
  <c r="J689" i="7"/>
  <c r="J845" i="7"/>
  <c r="J786" i="7"/>
  <c r="J773" i="7"/>
  <c r="J738" i="7"/>
  <c r="J718" i="7"/>
  <c r="J713" i="7"/>
  <c r="J707" i="7"/>
  <c r="J704" i="7"/>
  <c r="J690" i="7"/>
  <c r="J683" i="7"/>
  <c r="J679" i="7"/>
  <c r="J670" i="7"/>
  <c r="J666" i="7"/>
  <c r="J657" i="7"/>
  <c r="J653" i="7"/>
  <c r="J644" i="7"/>
  <c r="J635" i="7"/>
  <c r="J631" i="7"/>
  <c r="J622" i="7"/>
  <c r="J618" i="7"/>
  <c r="J609" i="7"/>
  <c r="J605" i="7"/>
  <c r="J596" i="7"/>
  <c r="J587" i="7"/>
  <c r="J583" i="7"/>
  <c r="J574" i="7"/>
  <c r="J570" i="7"/>
  <c r="J561" i="7"/>
  <c r="J557" i="7"/>
  <c r="J548" i="7"/>
  <c r="J539" i="7"/>
  <c r="J535" i="7"/>
  <c r="J526" i="7"/>
  <c r="J522" i="7"/>
  <c r="J513" i="7"/>
  <c r="J509" i="7"/>
  <c r="J500" i="7"/>
  <c r="J491" i="7"/>
  <c r="J487" i="7"/>
  <c r="J836" i="7"/>
  <c r="J812" i="7"/>
  <c r="J777" i="7"/>
  <c r="J755" i="7"/>
  <c r="J731" i="7"/>
  <c r="J705" i="7"/>
  <c r="J694" i="7"/>
  <c r="J691" i="7"/>
  <c r="J680" i="7"/>
  <c r="J671" i="7"/>
  <c r="J667" i="7"/>
  <c r="J658" i="7"/>
  <c r="J654" i="7"/>
  <c r="J645" i="7"/>
  <c r="J641" i="7"/>
  <c r="J632" i="7"/>
  <c r="J623" i="7"/>
  <c r="J619" i="7"/>
  <c r="J610" i="7"/>
  <c r="J606" i="7"/>
  <c r="J751" i="7"/>
  <c r="J729" i="7"/>
  <c r="J726" i="7"/>
  <c r="J716" i="7"/>
  <c r="J701" i="7"/>
  <c r="J695" i="7"/>
  <c r="J692" i="7"/>
  <c r="J681" i="7"/>
  <c r="J677" i="7"/>
  <c r="J668" i="7"/>
  <c r="J659" i="7"/>
  <c r="J655" i="7"/>
  <c r="J646" i="7"/>
  <c r="J642" i="7"/>
  <c r="J633" i="7"/>
  <c r="J629" i="7"/>
  <c r="J620" i="7"/>
  <c r="J611" i="7"/>
  <c r="J607" i="7"/>
  <c r="J598" i="7"/>
  <c r="J594" i="7"/>
  <c r="J742" i="7"/>
  <c r="J727" i="7"/>
  <c r="J643" i="7"/>
  <c r="J593" i="7"/>
  <c r="J585" i="7"/>
  <c r="J582" i="7"/>
  <c r="J571" i="7"/>
  <c r="J550" i="7"/>
  <c r="J547" i="7"/>
  <c r="J545" i="7"/>
  <c r="J537" i="7"/>
  <c r="J534" i="7"/>
  <c r="J523" i="7"/>
  <c r="J502" i="7"/>
  <c r="J499" i="7"/>
  <c r="J497" i="7"/>
  <c r="J489" i="7"/>
  <c r="J486" i="7"/>
  <c r="J477" i="7"/>
  <c r="J473" i="7"/>
  <c r="J464" i="7"/>
  <c r="J455" i="7"/>
  <c r="J764" i="7"/>
  <c r="J714" i="7"/>
  <c r="J682" i="7"/>
  <c r="J656" i="7"/>
  <c r="J634" i="7"/>
  <c r="J608" i="7"/>
  <c r="J599" i="7"/>
  <c r="J586" i="7"/>
  <c r="J581" i="7"/>
  <c r="J575" i="7"/>
  <c r="J572" i="7"/>
  <c r="J558" i="7"/>
  <c r="J551" i="7"/>
  <c r="J538" i="7"/>
  <c r="J533" i="7"/>
  <c r="J527" i="7"/>
  <c r="J524" i="7"/>
  <c r="J510" i="7"/>
  <c r="J503" i="7"/>
  <c r="J490" i="7"/>
  <c r="J478" i="7"/>
  <c r="J474" i="7"/>
  <c r="J465" i="7"/>
  <c r="J461" i="7"/>
  <c r="J790" i="7"/>
  <c r="J725" i="7"/>
  <c r="J717" i="7"/>
  <c r="J678" i="7"/>
  <c r="J665" i="7"/>
  <c r="J630" i="7"/>
  <c r="J617" i="7"/>
  <c r="J597" i="7"/>
  <c r="J573" i="7"/>
  <c r="J562" i="7"/>
  <c r="J559" i="7"/>
  <c r="J525" i="7"/>
  <c r="J514" i="7"/>
  <c r="J511" i="7"/>
  <c r="J479" i="7"/>
  <c r="J475" i="7"/>
  <c r="J466" i="7"/>
  <c r="J462" i="7"/>
  <c r="J453" i="7"/>
  <c r="J449" i="7"/>
  <c r="J440" i="7"/>
  <c r="J431" i="7"/>
  <c r="J427" i="7"/>
  <c r="J418" i="7"/>
  <c r="J414" i="7"/>
  <c r="J405" i="7"/>
  <c r="J401" i="7"/>
  <c r="J392" i="7"/>
  <c r="J383" i="7"/>
  <c r="J379" i="7"/>
  <c r="J370" i="7"/>
  <c r="J366" i="7"/>
  <c r="J357" i="7"/>
  <c r="J353" i="7"/>
  <c r="J344" i="7"/>
  <c r="J669" i="7"/>
  <c r="J549" i="7"/>
  <c r="J501" i="7"/>
  <c r="J463" i="7"/>
  <c r="J454" i="7"/>
  <c r="J451" i="7"/>
  <c r="J417" i="7"/>
  <c r="J406" i="7"/>
  <c r="J403" i="7"/>
  <c r="J369" i="7"/>
  <c r="J358" i="7"/>
  <c r="J355" i="7"/>
  <c r="J334" i="7"/>
  <c r="J330" i="7"/>
  <c r="J321" i="7"/>
  <c r="J317" i="7"/>
  <c r="J308" i="7"/>
  <c r="J299" i="7"/>
  <c r="J295" i="7"/>
  <c r="J286" i="7"/>
  <c r="J282" i="7"/>
  <c r="J273" i="7"/>
  <c r="J269" i="7"/>
  <c r="J260" i="7"/>
  <c r="J251" i="7"/>
  <c r="J247" i="7"/>
  <c r="J238" i="7"/>
  <c r="J234" i="7"/>
  <c r="J225" i="7"/>
  <c r="J221" i="7"/>
  <c r="J212" i="7"/>
  <c r="J203" i="7"/>
  <c r="J199" i="7"/>
  <c r="J190" i="7"/>
  <c r="J186" i="7"/>
  <c r="J584" i="7"/>
  <c r="J560" i="7"/>
  <c r="J536" i="7"/>
  <c r="J512" i="7"/>
  <c r="J488" i="7"/>
  <c r="J476" i="7"/>
  <c r="J452" i="7"/>
  <c r="J441" i="7"/>
  <c r="J438" i="7"/>
  <c r="J428" i="7"/>
  <c r="J413" i="7"/>
  <c r="J407" i="7"/>
  <c r="J404" i="7"/>
  <c r="J393" i="7"/>
  <c r="J390" i="7"/>
  <c r="J380" i="7"/>
  <c r="J365" i="7"/>
  <c r="J359" i="7"/>
  <c r="J356" i="7"/>
  <c r="J345" i="7"/>
  <c r="J342" i="7"/>
  <c r="J335" i="7"/>
  <c r="J621" i="7"/>
  <c r="J595" i="7"/>
  <c r="J569" i="7"/>
  <c r="J563" i="7"/>
  <c r="J521" i="7"/>
  <c r="J515" i="7"/>
  <c r="J485" i="7"/>
  <c r="J442" i="7"/>
  <c r="J439" i="7"/>
  <c r="J437" i="7"/>
  <c r="J429" i="7"/>
  <c r="J426" i="7"/>
  <c r="J415" i="7"/>
  <c r="J394" i="7"/>
  <c r="J391" i="7"/>
  <c r="J389" i="7"/>
  <c r="J381" i="7"/>
  <c r="J378" i="7"/>
  <c r="J367" i="7"/>
  <c r="J346" i="7"/>
  <c r="J343" i="7"/>
  <c r="J341" i="7"/>
  <c r="J332" i="7"/>
  <c r="J323" i="7"/>
  <c r="J647" i="7"/>
  <c r="J333" i="7"/>
  <c r="J322" i="7"/>
  <c r="J319" i="7"/>
  <c r="J285" i="7"/>
  <c r="J274" i="7"/>
  <c r="J271" i="7"/>
  <c r="J237" i="7"/>
  <c r="J226" i="7"/>
  <c r="J223" i="7"/>
  <c r="J189" i="7"/>
  <c r="J177" i="7"/>
  <c r="J173" i="7"/>
  <c r="J164" i="7"/>
  <c r="J155" i="7"/>
  <c r="J151" i="7"/>
  <c r="J142" i="7"/>
  <c r="J138" i="7"/>
  <c r="J129" i="7"/>
  <c r="J125" i="7"/>
  <c r="J116" i="7"/>
  <c r="J107" i="7"/>
  <c r="J103" i="7"/>
  <c r="J94" i="7"/>
  <c r="J90" i="7"/>
  <c r="J81" i="7"/>
  <c r="J77" i="7"/>
  <c r="J68" i="7"/>
  <c r="J59" i="7"/>
  <c r="J55" i="7"/>
  <c r="J46" i="7"/>
  <c r="J42" i="7"/>
  <c r="J33" i="7"/>
  <c r="J11" i="7"/>
  <c r="J7" i="7"/>
  <c r="J416" i="7"/>
  <c r="J368" i="7"/>
  <c r="J331" i="7"/>
  <c r="J320" i="7"/>
  <c r="J309" i="7"/>
  <c r="J306" i="7"/>
  <c r="J296" i="7"/>
  <c r="J281" i="7"/>
  <c r="J275" i="7"/>
  <c r="J272" i="7"/>
  <c r="J261" i="7"/>
  <c r="J258" i="7"/>
  <c r="J248" i="7"/>
  <c r="J233" i="7"/>
  <c r="J227" i="7"/>
  <c r="J224" i="7"/>
  <c r="J213" i="7"/>
  <c r="J210" i="7"/>
  <c r="J200" i="7"/>
  <c r="J178" i="7"/>
  <c r="J174" i="7"/>
  <c r="J165" i="7"/>
  <c r="J161" i="7"/>
  <c r="J152" i="7"/>
  <c r="J143" i="7"/>
  <c r="J139" i="7"/>
  <c r="J130" i="7"/>
  <c r="J126" i="7"/>
  <c r="J117" i="7"/>
  <c r="J703" i="7"/>
  <c r="J546" i="7"/>
  <c r="J498" i="7"/>
  <c r="J467" i="7"/>
  <c r="J430" i="7"/>
  <c r="J425" i="7"/>
  <c r="J419" i="7"/>
  <c r="J382" i="7"/>
  <c r="J377" i="7"/>
  <c r="J371" i="7"/>
  <c r="J329" i="7"/>
  <c r="J310" i="7"/>
  <c r="J307" i="7"/>
  <c r="J305" i="7"/>
  <c r="J297" i="7"/>
  <c r="J294" i="7"/>
  <c r="J283" i="7"/>
  <c r="J262" i="7"/>
  <c r="J259" i="7"/>
  <c r="J257" i="7"/>
  <c r="J249" i="7"/>
  <c r="J246" i="7"/>
  <c r="J235" i="7"/>
  <c r="J214" i="7"/>
  <c r="J211" i="7"/>
  <c r="J209" i="7"/>
  <c r="J201" i="7"/>
  <c r="J198" i="7"/>
  <c r="J187" i="7"/>
  <c r="J179" i="7"/>
  <c r="J175" i="7"/>
  <c r="J166" i="7"/>
  <c r="J162" i="7"/>
  <c r="J153" i="7"/>
  <c r="J149" i="7"/>
  <c r="J140" i="7"/>
  <c r="J131" i="7"/>
  <c r="J127" i="7"/>
  <c r="J118" i="7"/>
  <c r="J395" i="7"/>
  <c r="J354" i="7"/>
  <c r="J298" i="7"/>
  <c r="J293" i="7"/>
  <c r="J287" i="7"/>
  <c r="J250" i="7"/>
  <c r="J245" i="7"/>
  <c r="J239" i="7"/>
  <c r="J202" i="7"/>
  <c r="J197" i="7"/>
  <c r="J191" i="7"/>
  <c r="J185" i="7"/>
  <c r="J150" i="7"/>
  <c r="J137" i="7"/>
  <c r="J93" i="7"/>
  <c r="J82" i="7"/>
  <c r="J79" i="7"/>
  <c r="J45" i="7"/>
  <c r="J34" i="7"/>
  <c r="J347" i="7"/>
  <c r="J318" i="7"/>
  <c r="J311" i="7"/>
  <c r="J270" i="7"/>
  <c r="J263" i="7"/>
  <c r="J222" i="7"/>
  <c r="J215" i="7"/>
  <c r="J167" i="7"/>
  <c r="J141" i="7"/>
  <c r="J119" i="7"/>
  <c r="J114" i="7"/>
  <c r="J104" i="7"/>
  <c r="J89" i="7"/>
  <c r="J83" i="7"/>
  <c r="J80" i="7"/>
  <c r="J69" i="7"/>
  <c r="J66" i="7"/>
  <c r="J56" i="7"/>
  <c r="J41" i="7"/>
  <c r="J35" i="7"/>
  <c r="J32" i="7"/>
  <c r="J450" i="7"/>
  <c r="J163" i="7"/>
  <c r="J115" i="7"/>
  <c r="J113" i="7"/>
  <c r="J105" i="7"/>
  <c r="J102" i="7"/>
  <c r="J91" i="7"/>
  <c r="J70" i="7"/>
  <c r="J67" i="7"/>
  <c r="J65" i="7"/>
  <c r="J57" i="7"/>
  <c r="J54" i="7"/>
  <c r="J43" i="7"/>
  <c r="J284" i="7"/>
  <c r="J128" i="7"/>
  <c r="J106" i="7"/>
  <c r="J101" i="7"/>
  <c r="J95" i="7"/>
  <c r="J58" i="7"/>
  <c r="J53" i="7"/>
  <c r="J47" i="7"/>
  <c r="J236" i="7"/>
  <c r="J44" i="7"/>
  <c r="J402" i="7"/>
  <c r="J154" i="7"/>
  <c r="J78" i="7"/>
  <c r="J71" i="7"/>
  <c r="J92" i="7"/>
  <c r="J443" i="7"/>
  <c r="J188" i="7"/>
  <c r="J176" i="7"/>
  <c r="O797" i="7"/>
  <c r="O725" i="7"/>
  <c r="O845" i="7"/>
  <c r="J804" i="7"/>
  <c r="J708" i="7"/>
  <c r="J696" i="7"/>
  <c r="J600" i="7"/>
  <c r="J744" i="7"/>
  <c r="O653" i="7"/>
  <c r="J540" i="7"/>
  <c r="O485" i="7"/>
  <c r="O413" i="7"/>
  <c r="O497" i="7"/>
  <c r="O377" i="7"/>
  <c r="O233" i="7"/>
  <c r="J456" i="7"/>
  <c r="J360" i="7"/>
  <c r="O245" i="7"/>
  <c r="O137" i="7"/>
  <c r="J324" i="7"/>
  <c r="U3" i="6"/>
  <c r="J84" i="7"/>
  <c r="AC3" i="6"/>
  <c r="D3" i="6"/>
  <c r="B5" i="4"/>
  <c r="B6" i="4" s="1"/>
  <c r="O29" i="7"/>
  <c r="H38" i="7"/>
  <c r="A7" i="9" l="1"/>
  <c r="A8" i="6"/>
  <c r="U7" i="6"/>
  <c r="V7" i="6"/>
  <c r="T7" i="6"/>
  <c r="S7" i="6"/>
  <c r="V3" i="6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73" i="6"/>
  <c r="P73" i="6" s="1"/>
  <c r="M69" i="6"/>
  <c r="P69" i="6" s="1"/>
  <c r="M65" i="6"/>
  <c r="P65" i="6" s="1"/>
  <c r="M100" i="6"/>
  <c r="P100" i="6" s="1"/>
  <c r="M92" i="6"/>
  <c r="P92" i="6" s="1"/>
  <c r="M84" i="6"/>
  <c r="P84" i="6" s="1"/>
  <c r="M76" i="6"/>
  <c r="P76" i="6" s="1"/>
  <c r="M72" i="6"/>
  <c r="P72" i="6" s="1"/>
  <c r="M70" i="6"/>
  <c r="P70" i="6" s="1"/>
  <c r="M62" i="6"/>
  <c r="P62" i="6" s="1"/>
  <c r="M58" i="6"/>
  <c r="P58" i="6" s="1"/>
  <c r="M54" i="6"/>
  <c r="P54" i="6" s="1"/>
  <c r="M50" i="6"/>
  <c r="P50" i="6" s="1"/>
  <c r="M46" i="6"/>
  <c r="P46" i="6" s="1"/>
  <c r="M42" i="6"/>
  <c r="P42" i="6" s="1"/>
  <c r="M38" i="6"/>
  <c r="P38" i="6" s="1"/>
  <c r="M34" i="6"/>
  <c r="P34" i="6" s="1"/>
  <c r="M30" i="6"/>
  <c r="P30" i="6" s="1"/>
  <c r="M26" i="6"/>
  <c r="P26" i="6" s="1"/>
  <c r="M22" i="6"/>
  <c r="P22" i="6" s="1"/>
  <c r="M18" i="6"/>
  <c r="P18" i="6" s="1"/>
  <c r="M14" i="6"/>
  <c r="P14" i="6" s="1"/>
  <c r="M10" i="6"/>
  <c r="P10" i="6" s="1"/>
  <c r="M6" i="6"/>
  <c r="P6" i="6" s="1"/>
  <c r="M3" i="6"/>
  <c r="P3" i="6" s="1"/>
  <c r="M94" i="6"/>
  <c r="P94" i="6" s="1"/>
  <c r="M93" i="6"/>
  <c r="P93" i="6" s="1"/>
  <c r="M86" i="6"/>
  <c r="P86" i="6" s="1"/>
  <c r="M85" i="6"/>
  <c r="P85" i="6" s="1"/>
  <c r="M78" i="6"/>
  <c r="P78" i="6" s="1"/>
  <c r="M77" i="6"/>
  <c r="P77" i="6" s="1"/>
  <c r="M71" i="6"/>
  <c r="P71" i="6" s="1"/>
  <c r="M68" i="6"/>
  <c r="P68" i="6" s="1"/>
  <c r="M96" i="6"/>
  <c r="P96" i="6" s="1"/>
  <c r="M88" i="6"/>
  <c r="P88" i="6" s="1"/>
  <c r="M80" i="6"/>
  <c r="P80" i="6" s="1"/>
  <c r="M67" i="6"/>
  <c r="P67" i="6" s="1"/>
  <c r="M52" i="6"/>
  <c r="P52" i="6" s="1"/>
  <c r="M49" i="6"/>
  <c r="P49" i="6" s="1"/>
  <c r="M47" i="6"/>
  <c r="P47" i="6" s="1"/>
  <c r="M36" i="6"/>
  <c r="P36" i="6" s="1"/>
  <c r="M33" i="6"/>
  <c r="P33" i="6" s="1"/>
  <c r="M31" i="6"/>
  <c r="P31" i="6" s="1"/>
  <c r="M20" i="6"/>
  <c r="P20" i="6" s="1"/>
  <c r="M17" i="6"/>
  <c r="P17" i="6" s="1"/>
  <c r="M15" i="6"/>
  <c r="P15" i="6" s="1"/>
  <c r="M4" i="6"/>
  <c r="P4" i="6" s="1"/>
  <c r="M27" i="6"/>
  <c r="P27" i="6" s="1"/>
  <c r="M16" i="6"/>
  <c r="P16" i="6" s="1"/>
  <c r="M13" i="6"/>
  <c r="P13" i="6" s="1"/>
  <c r="M11" i="6"/>
  <c r="P11" i="6" s="1"/>
  <c r="M9" i="6"/>
  <c r="P9" i="6" s="1"/>
  <c r="M90" i="6"/>
  <c r="P90" i="6" s="1"/>
  <c r="M64" i="6"/>
  <c r="P64" i="6" s="1"/>
  <c r="M53" i="6"/>
  <c r="P53" i="6" s="1"/>
  <c r="M51" i="6"/>
  <c r="P51" i="6" s="1"/>
  <c r="M35" i="6"/>
  <c r="P35" i="6" s="1"/>
  <c r="M61" i="6"/>
  <c r="P61" i="6" s="1"/>
  <c r="M59" i="6"/>
  <c r="P59" i="6" s="1"/>
  <c r="M48" i="6"/>
  <c r="P48" i="6" s="1"/>
  <c r="M45" i="6"/>
  <c r="P45" i="6" s="1"/>
  <c r="M43" i="6"/>
  <c r="P43" i="6" s="1"/>
  <c r="M32" i="6"/>
  <c r="P32" i="6" s="1"/>
  <c r="M29" i="6"/>
  <c r="P29" i="6" s="1"/>
  <c r="M7" i="6"/>
  <c r="P7" i="6" s="1"/>
  <c r="R53" i="7" s="1"/>
  <c r="Y7" i="6" s="1"/>
  <c r="M98" i="6"/>
  <c r="P98" i="6" s="1"/>
  <c r="M82" i="6"/>
  <c r="P82" i="6" s="1"/>
  <c r="M40" i="6"/>
  <c r="P40" i="6" s="1"/>
  <c r="M37" i="6"/>
  <c r="P37" i="6" s="1"/>
  <c r="M60" i="6"/>
  <c r="P60" i="6" s="1"/>
  <c r="M57" i="6"/>
  <c r="P57" i="6" s="1"/>
  <c r="M55" i="6"/>
  <c r="P55" i="6" s="1"/>
  <c r="M44" i="6"/>
  <c r="P44" i="6" s="1"/>
  <c r="M41" i="6"/>
  <c r="P41" i="6" s="1"/>
  <c r="M39" i="6"/>
  <c r="P39" i="6" s="1"/>
  <c r="M28" i="6"/>
  <c r="P28" i="6" s="1"/>
  <c r="M25" i="6"/>
  <c r="P25" i="6" s="1"/>
  <c r="M23" i="6"/>
  <c r="P23" i="6" s="1"/>
  <c r="M12" i="6"/>
  <c r="P12" i="6" s="1"/>
  <c r="M97" i="6"/>
  <c r="P97" i="6" s="1"/>
  <c r="M89" i="6"/>
  <c r="P89" i="6" s="1"/>
  <c r="M81" i="6"/>
  <c r="P81" i="6" s="1"/>
  <c r="M74" i="6"/>
  <c r="P74" i="6" s="1"/>
  <c r="M66" i="6"/>
  <c r="P66" i="6" s="1"/>
  <c r="M63" i="6"/>
  <c r="P63" i="6" s="1"/>
  <c r="M56" i="6"/>
  <c r="P56" i="6" s="1"/>
  <c r="M24" i="6"/>
  <c r="P24" i="6" s="1"/>
  <c r="M19" i="6"/>
  <c r="P19" i="6" s="1"/>
  <c r="M8" i="6"/>
  <c r="P8" i="6" s="1"/>
  <c r="M5" i="6"/>
  <c r="P5" i="6" s="1"/>
  <c r="M21" i="6"/>
  <c r="P21" i="6" s="1"/>
  <c r="D100" i="6"/>
  <c r="D96" i="6"/>
  <c r="D92" i="6"/>
  <c r="D88" i="6"/>
  <c r="D84" i="6"/>
  <c r="D80" i="6"/>
  <c r="D76" i="6"/>
  <c r="D72" i="6"/>
  <c r="D68" i="6"/>
  <c r="D64" i="6"/>
  <c r="D98" i="6"/>
  <c r="D97" i="6"/>
  <c r="D90" i="6"/>
  <c r="D89" i="6"/>
  <c r="D82" i="6"/>
  <c r="D81" i="6"/>
  <c r="D74" i="6"/>
  <c r="D69" i="6"/>
  <c r="D63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5" i="6"/>
  <c r="D99" i="6"/>
  <c r="D91" i="6"/>
  <c r="D83" i="6"/>
  <c r="D75" i="6"/>
  <c r="D70" i="6"/>
  <c r="D94" i="6"/>
  <c r="D93" i="6"/>
  <c r="D86" i="6"/>
  <c r="D85" i="6"/>
  <c r="D78" i="6"/>
  <c r="D77" i="6"/>
  <c r="D71" i="6"/>
  <c r="D66" i="6"/>
  <c r="D95" i="6"/>
  <c r="D87" i="6"/>
  <c r="D79" i="6"/>
  <c r="D65" i="6"/>
  <c r="D62" i="6"/>
  <c r="D56" i="6"/>
  <c r="D51" i="6"/>
  <c r="D46" i="6"/>
  <c r="D40" i="6"/>
  <c r="D35" i="6"/>
  <c r="D30" i="6"/>
  <c r="D24" i="6"/>
  <c r="D19" i="6"/>
  <c r="D14" i="6"/>
  <c r="D8" i="6"/>
  <c r="D31" i="6"/>
  <c r="D15" i="6"/>
  <c r="D10" i="6"/>
  <c r="D4" i="6"/>
  <c r="E3" i="6"/>
  <c r="H3" i="6" s="1"/>
  <c r="D44" i="6"/>
  <c r="D39" i="6"/>
  <c r="D34" i="6"/>
  <c r="D67" i="6"/>
  <c r="D58" i="6"/>
  <c r="D52" i="6"/>
  <c r="D47" i="6"/>
  <c r="D42" i="6"/>
  <c r="D36" i="6"/>
  <c r="D26" i="6"/>
  <c r="D20" i="6"/>
  <c r="D11" i="6"/>
  <c r="D6" i="6"/>
  <c r="D55" i="6"/>
  <c r="D50" i="6"/>
  <c r="D73" i="6"/>
  <c r="D59" i="6"/>
  <c r="D54" i="6"/>
  <c r="D48" i="6"/>
  <c r="D43" i="6"/>
  <c r="D38" i="6"/>
  <c r="D32" i="6"/>
  <c r="D27" i="6"/>
  <c r="D22" i="6"/>
  <c r="D16" i="6"/>
  <c r="D60" i="6"/>
  <c r="D28" i="6"/>
  <c r="D7" i="6"/>
  <c r="D12" i="6"/>
  <c r="D18" i="6"/>
  <c r="D23" i="6"/>
  <c r="A65" i="7"/>
  <c r="Q53" i="7"/>
  <c r="X7" i="6" s="1"/>
  <c r="H61" i="7"/>
  <c r="H62" i="7" s="1"/>
  <c r="I61" i="7"/>
  <c r="I62" i="7" s="1"/>
  <c r="V5" i="6"/>
  <c r="B6" i="9"/>
  <c r="B7" i="6"/>
  <c r="R41" i="7" l="1"/>
  <c r="Y6" i="6" s="1"/>
  <c r="I49" i="7"/>
  <c r="I50" i="7" s="1"/>
  <c r="I13" i="7"/>
  <c r="I14" i="7" s="1"/>
  <c r="R2" i="7"/>
  <c r="Y3" i="6" s="1"/>
  <c r="R17" i="7"/>
  <c r="Y4" i="6" s="1"/>
  <c r="I25" i="7"/>
  <c r="I26" i="7" s="1"/>
  <c r="A8" i="9"/>
  <c r="X8" i="6"/>
  <c r="T8" i="6"/>
  <c r="V8" i="6"/>
  <c r="U8" i="6"/>
  <c r="A9" i="6"/>
  <c r="S8" i="6"/>
  <c r="B7" i="9"/>
  <c r="B8" i="6"/>
  <c r="I73" i="7"/>
  <c r="I74" i="7" s="1"/>
  <c r="R65" i="7"/>
  <c r="Y8" i="6" s="1"/>
  <c r="A77" i="7"/>
  <c r="H73" i="7"/>
  <c r="H74" i="7" s="1"/>
  <c r="Q65" i="7"/>
  <c r="J3" i="6"/>
  <c r="I3" i="6"/>
  <c r="N3" i="6" s="1"/>
  <c r="I37" i="7"/>
  <c r="I38" i="7" s="1"/>
  <c r="R29" i="7"/>
  <c r="Y5" i="6" s="1"/>
  <c r="G13" i="7" l="1"/>
  <c r="G14" i="7" s="1"/>
  <c r="Q3" i="6"/>
  <c r="K3" i="6"/>
  <c r="P2" i="7"/>
  <c r="W3" i="6" s="1"/>
  <c r="B8" i="9"/>
  <c r="B9" i="6"/>
  <c r="H85" i="7"/>
  <c r="H86" i="7" s="1"/>
  <c r="A89" i="7"/>
  <c r="I85" i="7"/>
  <c r="I86" i="7" s="1"/>
  <c r="R77" i="7"/>
  <c r="Q77" i="7"/>
  <c r="A9" i="9"/>
  <c r="S9" i="6"/>
  <c r="V9" i="6"/>
  <c r="Y9" i="6"/>
  <c r="U9" i="6"/>
  <c r="T9" i="6"/>
  <c r="X9" i="6"/>
  <c r="A10" i="6"/>
  <c r="B9" i="9" l="1"/>
  <c r="B10" i="6"/>
  <c r="J13" i="7"/>
  <c r="J14" i="7" s="1"/>
  <c r="S2" i="7"/>
  <c r="Z3" i="6" s="1"/>
  <c r="AA3" i="6" s="1"/>
  <c r="C4" i="6" s="1"/>
  <c r="A10" i="9"/>
  <c r="V10" i="6"/>
  <c r="A11" i="6"/>
  <c r="S10" i="6"/>
  <c r="U10" i="6"/>
  <c r="T10" i="6"/>
  <c r="R89" i="7"/>
  <c r="Y10" i="6" s="1"/>
  <c r="Q89" i="7"/>
  <c r="X10" i="6" s="1"/>
  <c r="A101" i="7"/>
  <c r="I97" i="7"/>
  <c r="I98" i="7" s="1"/>
  <c r="H97" i="7"/>
  <c r="H98" i="7" s="1"/>
  <c r="A113" i="7" l="1"/>
  <c r="Q101" i="7"/>
  <c r="H109" i="7"/>
  <c r="H110" i="7" s="1"/>
  <c r="R101" i="7"/>
  <c r="I109" i="7"/>
  <c r="I110" i="7" s="1"/>
  <c r="E4" i="6"/>
  <c r="H4" i="6" s="1"/>
  <c r="G4" i="6"/>
  <c r="I4" i="6" s="1"/>
  <c r="N4" i="6" s="1"/>
  <c r="A11" i="9"/>
  <c r="A12" i="6"/>
  <c r="Y11" i="6"/>
  <c r="U11" i="6"/>
  <c r="T11" i="6"/>
  <c r="X11" i="6"/>
  <c r="S11" i="6"/>
  <c r="V11" i="6"/>
  <c r="B10" i="9"/>
  <c r="B11" i="6"/>
  <c r="Q4" i="6" l="1"/>
  <c r="K4" i="6"/>
  <c r="G25" i="7"/>
  <c r="G26" i="7" s="1"/>
  <c r="P17" i="7"/>
  <c r="W4" i="6" s="1"/>
  <c r="A12" i="9"/>
  <c r="T12" i="6"/>
  <c r="U12" i="6"/>
  <c r="S12" i="6"/>
  <c r="A13" i="6"/>
  <c r="V12" i="6"/>
  <c r="J4" i="6"/>
  <c r="B11" i="9"/>
  <c r="B12" i="6"/>
  <c r="I121" i="7"/>
  <c r="I122" i="7" s="1"/>
  <c r="H121" i="7"/>
  <c r="H122" i="7" s="1"/>
  <c r="R113" i="7"/>
  <c r="Y12" i="6" s="1"/>
  <c r="A125" i="7"/>
  <c r="Q113" i="7"/>
  <c r="X12" i="6" s="1"/>
  <c r="A13" i="9" l="1"/>
  <c r="S13" i="6"/>
  <c r="U13" i="6"/>
  <c r="T13" i="6"/>
  <c r="A14" i="6"/>
  <c r="V13" i="6"/>
  <c r="B12" i="9"/>
  <c r="B13" i="6"/>
  <c r="H133" i="7"/>
  <c r="H134" i="7" s="1"/>
  <c r="R125" i="7"/>
  <c r="Y13" i="6" s="1"/>
  <c r="A137" i="7"/>
  <c r="Q125" i="7"/>
  <c r="X13" i="6" s="1"/>
  <c r="I133" i="7"/>
  <c r="I134" i="7" s="1"/>
  <c r="S17" i="7"/>
  <c r="Z4" i="6" s="1"/>
  <c r="AA4" i="6" s="1"/>
  <c r="C5" i="6" s="1"/>
  <c r="J25" i="7"/>
  <c r="J26" i="7" s="1"/>
  <c r="B13" i="9" l="1"/>
  <c r="B14" i="6"/>
  <c r="A14" i="9"/>
  <c r="V14" i="6"/>
  <c r="U14" i="6"/>
  <c r="Y14" i="6"/>
  <c r="T14" i="6"/>
  <c r="S14" i="6"/>
  <c r="A15" i="6"/>
  <c r="E5" i="6"/>
  <c r="H5" i="6" s="1"/>
  <c r="G5" i="6"/>
  <c r="R137" i="7"/>
  <c r="A149" i="7"/>
  <c r="Q137" i="7"/>
  <c r="X14" i="6" s="1"/>
  <c r="I145" i="7"/>
  <c r="I146" i="7" s="1"/>
  <c r="H145" i="7"/>
  <c r="H146" i="7" s="1"/>
  <c r="A15" i="9" l="1"/>
  <c r="A16" i="6"/>
  <c r="U15" i="6"/>
  <c r="S15" i="6"/>
  <c r="V15" i="6"/>
  <c r="T15" i="6"/>
  <c r="I5" i="6"/>
  <c r="N5" i="6" s="1"/>
  <c r="A161" i="7"/>
  <c r="Q149" i="7"/>
  <c r="X15" i="6" s="1"/>
  <c r="I157" i="7"/>
  <c r="I158" i="7" s="1"/>
  <c r="H157" i="7"/>
  <c r="H158" i="7" s="1"/>
  <c r="R149" i="7"/>
  <c r="Y15" i="6" s="1"/>
  <c r="J5" i="6"/>
  <c r="B14" i="9"/>
  <c r="B15" i="6"/>
  <c r="Q5" i="6" l="1"/>
  <c r="K5" i="6"/>
  <c r="G37" i="7"/>
  <c r="G38" i="7" s="1"/>
  <c r="P29" i="7"/>
  <c r="W5" i="6" s="1"/>
  <c r="I169" i="7"/>
  <c r="I170" i="7" s="1"/>
  <c r="H169" i="7"/>
  <c r="H170" i="7" s="1"/>
  <c r="R161" i="7"/>
  <c r="A173" i="7"/>
  <c r="Q161" i="7"/>
  <c r="X16" i="6" s="1"/>
  <c r="A16" i="9"/>
  <c r="T16" i="6"/>
  <c r="A17" i="6"/>
  <c r="Y16" i="6"/>
  <c r="S16" i="6"/>
  <c r="V16" i="6"/>
  <c r="U16" i="6"/>
  <c r="B15" i="9"/>
  <c r="B16" i="6"/>
  <c r="H181" i="7" l="1"/>
  <c r="H182" i="7" s="1"/>
  <c r="R173" i="7"/>
  <c r="Y17" i="6" s="1"/>
  <c r="A185" i="7"/>
  <c r="Q173" i="7"/>
  <c r="I181" i="7"/>
  <c r="I182" i="7" s="1"/>
  <c r="B16" i="9"/>
  <c r="B17" i="6"/>
  <c r="A17" i="9"/>
  <c r="S17" i="6"/>
  <c r="T17" i="6"/>
  <c r="X17" i="6"/>
  <c r="A18" i="6"/>
  <c r="V17" i="6"/>
  <c r="U17" i="6"/>
  <c r="J37" i="7"/>
  <c r="J38" i="7" s="1"/>
  <c r="S29" i="7"/>
  <c r="Z5" i="6" s="1"/>
  <c r="AA5" i="6" s="1"/>
  <c r="C6" i="6" s="1"/>
  <c r="G6" i="6" l="1"/>
  <c r="I6" i="6" s="1"/>
  <c r="N6" i="6" s="1"/>
  <c r="E6" i="6"/>
  <c r="H6" i="6" s="1"/>
  <c r="B17" i="9"/>
  <c r="B18" i="6"/>
  <c r="A18" i="9"/>
  <c r="V18" i="6"/>
  <c r="U18" i="6"/>
  <c r="T18" i="6"/>
  <c r="A19" i="6"/>
  <c r="S18" i="6"/>
  <c r="R185" i="7"/>
  <c r="Y18" i="6" s="1"/>
  <c r="Q185" i="7"/>
  <c r="X18" i="6" s="1"/>
  <c r="A197" i="7"/>
  <c r="I193" i="7"/>
  <c r="I194" i="7" s="1"/>
  <c r="H193" i="7"/>
  <c r="H194" i="7" s="1"/>
  <c r="J6" i="6" l="1"/>
  <c r="A209" i="7"/>
  <c r="Q197" i="7"/>
  <c r="H205" i="7"/>
  <c r="H206" i="7" s="1"/>
  <c r="R197" i="7"/>
  <c r="I205" i="7"/>
  <c r="I206" i="7" s="1"/>
  <c r="Q6" i="6"/>
  <c r="K6" i="6"/>
  <c r="G49" i="7"/>
  <c r="G50" i="7" s="1"/>
  <c r="P41" i="7"/>
  <c r="W6" i="6" s="1"/>
  <c r="A19" i="9"/>
  <c r="A20" i="6"/>
  <c r="Y19" i="6"/>
  <c r="U19" i="6"/>
  <c r="V19" i="6"/>
  <c r="T19" i="6"/>
  <c r="X19" i="6"/>
  <c r="S19" i="6"/>
  <c r="B18" i="9"/>
  <c r="B19" i="6"/>
  <c r="S41" i="7" l="1"/>
  <c r="Z6" i="6" s="1"/>
  <c r="AA6" i="6" s="1"/>
  <c r="C7" i="6" s="1"/>
  <c r="J49" i="7"/>
  <c r="J50" i="7" s="1"/>
  <c r="B19" i="9"/>
  <c r="B20" i="6"/>
  <c r="I217" i="7"/>
  <c r="I218" i="7" s="1"/>
  <c r="R209" i="7"/>
  <c r="A221" i="7"/>
  <c r="H217" i="7"/>
  <c r="H218" i="7" s="1"/>
  <c r="Q209" i="7"/>
  <c r="X20" i="6" s="1"/>
  <c r="A20" i="9"/>
  <c r="T20" i="6"/>
  <c r="V20" i="6"/>
  <c r="U20" i="6"/>
  <c r="A21" i="6"/>
  <c r="S20" i="6"/>
  <c r="Y20" i="6"/>
  <c r="H229" i="7" l="1"/>
  <c r="H230" i="7" s="1"/>
  <c r="A233" i="7"/>
  <c r="I229" i="7"/>
  <c r="I230" i="7" s="1"/>
  <c r="R221" i="7"/>
  <c r="Q221" i="7"/>
  <c r="B20" i="9"/>
  <c r="B21" i="6"/>
  <c r="A21" i="9"/>
  <c r="S21" i="6"/>
  <c r="A22" i="6"/>
  <c r="X21" i="6"/>
  <c r="V21" i="6"/>
  <c r="U21" i="6"/>
  <c r="T21" i="6"/>
  <c r="Y21" i="6"/>
  <c r="G7" i="6"/>
  <c r="I7" i="6" s="1"/>
  <c r="N7" i="6" s="1"/>
  <c r="E7" i="6"/>
  <c r="H7" i="6" s="1"/>
  <c r="J7" i="6" l="1"/>
  <c r="A22" i="9"/>
  <c r="V22" i="6"/>
  <c r="T22" i="6"/>
  <c r="X22" i="6"/>
  <c r="S22" i="6"/>
  <c r="A23" i="6"/>
  <c r="U22" i="6"/>
  <c r="B21" i="9"/>
  <c r="B22" i="6"/>
  <c r="R233" i="7"/>
  <c r="Y22" i="6" s="1"/>
  <c r="Q233" i="7"/>
  <c r="A245" i="7"/>
  <c r="I241" i="7"/>
  <c r="I242" i="7" s="1"/>
  <c r="H241" i="7"/>
  <c r="H242" i="7" s="1"/>
  <c r="K7" i="6"/>
  <c r="Q7" i="6"/>
  <c r="G61" i="7"/>
  <c r="G62" i="7" s="1"/>
  <c r="P53" i="7"/>
  <c r="W7" i="6" s="1"/>
  <c r="B22" i="9" l="1"/>
  <c r="B23" i="6"/>
  <c r="A23" i="9"/>
  <c r="A24" i="6"/>
  <c r="U23" i="6"/>
  <c r="V23" i="6"/>
  <c r="T23" i="6"/>
  <c r="X23" i="6"/>
  <c r="S23" i="6"/>
  <c r="A257" i="7"/>
  <c r="Q245" i="7"/>
  <c r="H253" i="7"/>
  <c r="H254" i="7" s="1"/>
  <c r="R245" i="7"/>
  <c r="Y23" i="6" s="1"/>
  <c r="I253" i="7"/>
  <c r="I254" i="7" s="1"/>
  <c r="J61" i="7"/>
  <c r="J62" i="7" s="1"/>
  <c r="S53" i="7"/>
  <c r="Z7" i="6" s="1"/>
  <c r="AA7" i="6" s="1"/>
  <c r="C8" i="6" s="1"/>
  <c r="A24" i="9" l="1"/>
  <c r="T24" i="6"/>
  <c r="V24" i="6"/>
  <c r="U24" i="6"/>
  <c r="A25" i="6"/>
  <c r="S24" i="6"/>
  <c r="E8" i="6"/>
  <c r="H8" i="6" s="1"/>
  <c r="G8" i="6"/>
  <c r="I8" i="6" s="1"/>
  <c r="N8" i="6" s="1"/>
  <c r="B23" i="9"/>
  <c r="B24" i="6"/>
  <c r="I265" i="7"/>
  <c r="I266" i="7" s="1"/>
  <c r="R257" i="7"/>
  <c r="Y24" i="6" s="1"/>
  <c r="A269" i="7"/>
  <c r="H265" i="7"/>
  <c r="H266" i="7" s="1"/>
  <c r="Q257" i="7"/>
  <c r="X24" i="6" s="1"/>
  <c r="B24" i="9" l="1"/>
  <c r="B25" i="6"/>
  <c r="J8" i="6"/>
  <c r="A25" i="9"/>
  <c r="S25" i="6"/>
  <c r="V25" i="6"/>
  <c r="U25" i="6"/>
  <c r="T25" i="6"/>
  <c r="A26" i="6"/>
  <c r="H277" i="7"/>
  <c r="H278" i="7" s="1"/>
  <c r="A281" i="7"/>
  <c r="I277" i="7"/>
  <c r="I278" i="7" s="1"/>
  <c r="R269" i="7"/>
  <c r="Y25" i="6" s="1"/>
  <c r="Q269" i="7"/>
  <c r="X25" i="6" s="1"/>
  <c r="K8" i="6"/>
  <c r="Q8" i="6"/>
  <c r="P65" i="7"/>
  <c r="W8" i="6" s="1"/>
  <c r="G73" i="7"/>
  <c r="G74" i="7" s="1"/>
  <c r="B25" i="9" l="1"/>
  <c r="B26" i="6"/>
  <c r="S65" i="7"/>
  <c r="Z8" i="6" s="1"/>
  <c r="AA8" i="6" s="1"/>
  <c r="C9" i="6" s="1"/>
  <c r="J73" i="7"/>
  <c r="J74" i="7" s="1"/>
  <c r="R281" i="7"/>
  <c r="Q281" i="7"/>
  <c r="A293" i="7"/>
  <c r="I289" i="7"/>
  <c r="I290" i="7" s="1"/>
  <c r="H289" i="7"/>
  <c r="H290" i="7" s="1"/>
  <c r="A26" i="9"/>
  <c r="V26" i="6"/>
  <c r="A27" i="6"/>
  <c r="X26" i="6"/>
  <c r="S26" i="6"/>
  <c r="U26" i="6"/>
  <c r="Y26" i="6"/>
  <c r="T26" i="6"/>
  <c r="G9" i="6" l="1"/>
  <c r="E9" i="6"/>
  <c r="H9" i="6" s="1"/>
  <c r="A305" i="7"/>
  <c r="Q293" i="7"/>
  <c r="H301" i="7"/>
  <c r="H302" i="7" s="1"/>
  <c r="R293" i="7"/>
  <c r="I301" i="7"/>
  <c r="I302" i="7" s="1"/>
  <c r="B26" i="9"/>
  <c r="B27" i="6"/>
  <c r="A27" i="9"/>
  <c r="A28" i="6"/>
  <c r="Y27" i="6"/>
  <c r="U27" i="6"/>
  <c r="T27" i="6"/>
  <c r="X27" i="6"/>
  <c r="S27" i="6"/>
  <c r="V27" i="6"/>
  <c r="A28" i="9" l="1"/>
  <c r="T28" i="6"/>
  <c r="U28" i="6"/>
  <c r="A29" i="6"/>
  <c r="S28" i="6"/>
  <c r="Y28" i="6"/>
  <c r="V28" i="6"/>
  <c r="I313" i="7"/>
  <c r="I314" i="7" s="1"/>
  <c r="R305" i="7"/>
  <c r="A317" i="7"/>
  <c r="H313" i="7"/>
  <c r="H314" i="7" s="1"/>
  <c r="Q305" i="7"/>
  <c r="X28" i="6" s="1"/>
  <c r="J9" i="6"/>
  <c r="B27" i="9"/>
  <c r="B28" i="6"/>
  <c r="I9" i="6"/>
  <c r="N9" i="6" s="1"/>
  <c r="B28" i="9" l="1"/>
  <c r="B29" i="6"/>
  <c r="A29" i="9"/>
  <c r="S29" i="6"/>
  <c r="U29" i="6"/>
  <c r="Y29" i="6"/>
  <c r="T29" i="6"/>
  <c r="A30" i="6"/>
  <c r="V29" i="6"/>
  <c r="Q9" i="6"/>
  <c r="K9" i="6"/>
  <c r="G85" i="7"/>
  <c r="G86" i="7" s="1"/>
  <c r="P77" i="7"/>
  <c r="W9" i="6" s="1"/>
  <c r="H325" i="7"/>
  <c r="H326" i="7" s="1"/>
  <c r="A329" i="7"/>
  <c r="I325" i="7"/>
  <c r="I326" i="7" s="1"/>
  <c r="R317" i="7"/>
  <c r="Q317" i="7"/>
  <c r="X29" i="6" s="1"/>
  <c r="A341" i="7" l="1"/>
  <c r="H337" i="7"/>
  <c r="H338" i="7" s="1"/>
  <c r="R329" i="7"/>
  <c r="Y30" i="6" s="1"/>
  <c r="I337" i="7"/>
  <c r="I338" i="7" s="1"/>
  <c r="Q329" i="7"/>
  <c r="A30" i="9"/>
  <c r="V30" i="6"/>
  <c r="U30" i="6"/>
  <c r="S30" i="6"/>
  <c r="A31" i="6"/>
  <c r="T30" i="6"/>
  <c r="X30" i="6"/>
  <c r="B29" i="9"/>
  <c r="B30" i="6"/>
  <c r="J85" i="7"/>
  <c r="J86" i="7" s="1"/>
  <c r="S77" i="7"/>
  <c r="Z9" i="6" s="1"/>
  <c r="AA9" i="6" s="1"/>
  <c r="C10" i="6" s="1"/>
  <c r="A31" i="9" l="1"/>
  <c r="A32" i="6"/>
  <c r="U31" i="6"/>
  <c r="S31" i="6"/>
  <c r="T31" i="6"/>
  <c r="V31" i="6"/>
  <c r="E10" i="6"/>
  <c r="H10" i="6" s="1"/>
  <c r="G10" i="6"/>
  <c r="I10" i="6" s="1"/>
  <c r="N10" i="6" s="1"/>
  <c r="B30" i="9"/>
  <c r="B31" i="6"/>
  <c r="I349" i="7"/>
  <c r="I350" i="7" s="1"/>
  <c r="R341" i="7"/>
  <c r="Y31" i="6" s="1"/>
  <c r="A353" i="7"/>
  <c r="H349" i="7"/>
  <c r="H350" i="7" s="1"/>
  <c r="Q341" i="7"/>
  <c r="X31" i="6" s="1"/>
  <c r="B31" i="9" l="1"/>
  <c r="B32" i="6"/>
  <c r="J10" i="6"/>
  <c r="A32" i="9"/>
  <c r="T32" i="6"/>
  <c r="A33" i="6"/>
  <c r="S32" i="6"/>
  <c r="U32" i="6"/>
  <c r="V32" i="6"/>
  <c r="H361" i="7"/>
  <c r="H362" i="7" s="1"/>
  <c r="A365" i="7"/>
  <c r="I361" i="7"/>
  <c r="I362" i="7" s="1"/>
  <c r="R353" i="7"/>
  <c r="Y32" i="6" s="1"/>
  <c r="Q353" i="7"/>
  <c r="X32" i="6" s="1"/>
  <c r="Q10" i="6"/>
  <c r="K10" i="6"/>
  <c r="G97" i="7"/>
  <c r="G98" i="7" s="1"/>
  <c r="P89" i="7"/>
  <c r="W10" i="6" s="1"/>
  <c r="A33" i="9" l="1"/>
  <c r="S33" i="6"/>
  <c r="T33" i="6"/>
  <c r="U33" i="6"/>
  <c r="A34" i="6"/>
  <c r="X33" i="6"/>
  <c r="V33" i="6"/>
  <c r="J97" i="7"/>
  <c r="J98" i="7" s="1"/>
  <c r="S89" i="7"/>
  <c r="Z10" i="6" s="1"/>
  <c r="AA10" i="6" s="1"/>
  <c r="C11" i="6" s="1"/>
  <c r="B32" i="9"/>
  <c r="B33" i="6"/>
  <c r="R365" i="7"/>
  <c r="Y33" i="6" s="1"/>
  <c r="Q365" i="7"/>
  <c r="A377" i="7"/>
  <c r="I373" i="7"/>
  <c r="I374" i="7" s="1"/>
  <c r="H373" i="7"/>
  <c r="H374" i="7" s="1"/>
  <c r="G11" i="6" l="1"/>
  <c r="E11" i="6"/>
  <c r="H11" i="6" s="1"/>
  <c r="A34" i="9"/>
  <c r="V34" i="6"/>
  <c r="U34" i="6"/>
  <c r="T34" i="6"/>
  <c r="A35" i="6"/>
  <c r="X34" i="6"/>
  <c r="S34" i="6"/>
  <c r="A389" i="7"/>
  <c r="Q377" i="7"/>
  <c r="H385" i="7"/>
  <c r="H386" i="7" s="1"/>
  <c r="R377" i="7"/>
  <c r="Y34" i="6" s="1"/>
  <c r="I385" i="7"/>
  <c r="I386" i="7" s="1"/>
  <c r="B33" i="9"/>
  <c r="B34" i="6"/>
  <c r="B34" i="9" l="1"/>
  <c r="B35" i="6"/>
  <c r="A35" i="9"/>
  <c r="A36" i="6"/>
  <c r="U35" i="6"/>
  <c r="V35" i="6"/>
  <c r="S35" i="6"/>
  <c r="T35" i="6"/>
  <c r="X35" i="6"/>
  <c r="J11" i="6"/>
  <c r="I397" i="7"/>
  <c r="I398" i="7" s="1"/>
  <c r="R389" i="7"/>
  <c r="Y35" i="6" s="1"/>
  <c r="A401" i="7"/>
  <c r="H397" i="7"/>
  <c r="H398" i="7" s="1"/>
  <c r="Q389" i="7"/>
  <c r="I11" i="6"/>
  <c r="N11" i="6" s="1"/>
  <c r="A36" i="9" l="1"/>
  <c r="T36" i="6"/>
  <c r="S36" i="6"/>
  <c r="V36" i="6"/>
  <c r="U36" i="6"/>
  <c r="A37" i="6"/>
  <c r="B35" i="9"/>
  <c r="B36" i="6"/>
  <c r="K11" i="6"/>
  <c r="Q11" i="6"/>
  <c r="G109" i="7"/>
  <c r="G110" i="7" s="1"/>
  <c r="P101" i="7"/>
  <c r="W11" i="6" s="1"/>
  <c r="H409" i="7"/>
  <c r="H410" i="7" s="1"/>
  <c r="A413" i="7"/>
  <c r="I409" i="7"/>
  <c r="I410" i="7" s="1"/>
  <c r="R401" i="7"/>
  <c r="Y36" i="6" s="1"/>
  <c r="Q401" i="7"/>
  <c r="X36" i="6" s="1"/>
  <c r="R413" i="7" l="1"/>
  <c r="Q413" i="7"/>
  <c r="X37" i="6" s="1"/>
  <c r="A425" i="7"/>
  <c r="I421" i="7"/>
  <c r="I422" i="7" s="1"/>
  <c r="H421" i="7"/>
  <c r="H422" i="7" s="1"/>
  <c r="B36" i="9"/>
  <c r="B37" i="6"/>
  <c r="J109" i="7"/>
  <c r="J110" i="7" s="1"/>
  <c r="S101" i="7"/>
  <c r="Z11" i="6" s="1"/>
  <c r="AA11" i="6" s="1"/>
  <c r="C12" i="6" s="1"/>
  <c r="A37" i="9"/>
  <c r="S37" i="6"/>
  <c r="A38" i="6"/>
  <c r="Y37" i="6"/>
  <c r="V37" i="6"/>
  <c r="U37" i="6"/>
  <c r="T37" i="6"/>
  <c r="B37" i="9" l="1"/>
  <c r="B38" i="6"/>
  <c r="A437" i="7"/>
  <c r="Q425" i="7"/>
  <c r="H433" i="7"/>
  <c r="H434" i="7" s="1"/>
  <c r="R425" i="7"/>
  <c r="I433" i="7"/>
  <c r="I434" i="7" s="1"/>
  <c r="A38" i="9"/>
  <c r="V38" i="6"/>
  <c r="Y38" i="6"/>
  <c r="T38" i="6"/>
  <c r="A39" i="6"/>
  <c r="X38" i="6"/>
  <c r="S38" i="6"/>
  <c r="U38" i="6"/>
  <c r="E12" i="6"/>
  <c r="H12" i="6" s="1"/>
  <c r="G12" i="6"/>
  <c r="I12" i="6" s="1"/>
  <c r="N12" i="6" s="1"/>
  <c r="Q12" i="6" l="1"/>
  <c r="K12" i="6"/>
  <c r="G121" i="7"/>
  <c r="G122" i="7" s="1"/>
  <c r="P113" i="7"/>
  <c r="W12" i="6" s="1"/>
  <c r="I445" i="7"/>
  <c r="I446" i="7" s="1"/>
  <c r="R437" i="7"/>
  <c r="A449" i="7"/>
  <c r="H445" i="7"/>
  <c r="H446" i="7" s="1"/>
  <c r="Q437" i="7"/>
  <c r="J12" i="6"/>
  <c r="B38" i="9"/>
  <c r="B39" i="6"/>
  <c r="A39" i="9"/>
  <c r="A40" i="6"/>
  <c r="Y39" i="6"/>
  <c r="U39" i="6"/>
  <c r="V39" i="6"/>
  <c r="T39" i="6"/>
  <c r="X39" i="6"/>
  <c r="S39" i="6"/>
  <c r="A40" i="9" l="1"/>
  <c r="T40" i="6"/>
  <c r="V40" i="6"/>
  <c r="U40" i="6"/>
  <c r="A41" i="6"/>
  <c r="S40" i="6"/>
  <c r="A461" i="7"/>
  <c r="H457" i="7"/>
  <c r="H458" i="7" s="1"/>
  <c r="I457" i="7"/>
  <c r="I458" i="7" s="1"/>
  <c r="R449" i="7"/>
  <c r="Y40" i="6" s="1"/>
  <c r="Q449" i="7"/>
  <c r="X40" i="6" s="1"/>
  <c r="B39" i="9"/>
  <c r="B40" i="6"/>
  <c r="J121" i="7"/>
  <c r="J122" i="7" s="1"/>
  <c r="S113" i="7"/>
  <c r="Z12" i="6" s="1"/>
  <c r="AA12" i="6" s="1"/>
  <c r="C13" i="6" s="1"/>
  <c r="G13" i="6" l="1"/>
  <c r="E13" i="6"/>
  <c r="H13" i="6" s="1"/>
  <c r="I469" i="7"/>
  <c r="I470" i="7" s="1"/>
  <c r="H469" i="7"/>
  <c r="H470" i="7" s="1"/>
  <c r="R461" i="7"/>
  <c r="A473" i="7"/>
  <c r="Q461" i="7"/>
  <c r="A41" i="9"/>
  <c r="S41" i="6"/>
  <c r="V41" i="6"/>
  <c r="X41" i="6"/>
  <c r="U41" i="6"/>
  <c r="Y41" i="6"/>
  <c r="T41" i="6"/>
  <c r="A42" i="6"/>
  <c r="B40" i="9"/>
  <c r="B41" i="6"/>
  <c r="J13" i="6" l="1"/>
  <c r="A42" i="9"/>
  <c r="V42" i="6"/>
  <c r="A43" i="6"/>
  <c r="S42" i="6"/>
  <c r="U42" i="6"/>
  <c r="T42" i="6"/>
  <c r="B41" i="9"/>
  <c r="B42" i="6"/>
  <c r="H481" i="7"/>
  <c r="H482" i="7" s="1"/>
  <c r="R473" i="7"/>
  <c r="Y42" i="6" s="1"/>
  <c r="A485" i="7"/>
  <c r="Q473" i="7"/>
  <c r="X42" i="6" s="1"/>
  <c r="I481" i="7"/>
  <c r="I482" i="7" s="1"/>
  <c r="I13" i="6"/>
  <c r="N13" i="6" s="1"/>
  <c r="Q13" i="6" l="1"/>
  <c r="K13" i="6"/>
  <c r="P125" i="7"/>
  <c r="W13" i="6" s="1"/>
  <c r="G133" i="7"/>
  <c r="G134" i="7" s="1"/>
  <c r="A497" i="7"/>
  <c r="R485" i="7"/>
  <c r="Y43" i="6" s="1"/>
  <c r="I493" i="7"/>
  <c r="I494" i="7" s="1"/>
  <c r="Q485" i="7"/>
  <c r="H493" i="7"/>
  <c r="H494" i="7" s="1"/>
  <c r="B42" i="9"/>
  <c r="B43" i="6"/>
  <c r="A43" i="9"/>
  <c r="A44" i="6"/>
  <c r="U43" i="6"/>
  <c r="T43" i="6"/>
  <c r="X43" i="6"/>
  <c r="S43" i="6"/>
  <c r="V43" i="6"/>
  <c r="B43" i="9" l="1"/>
  <c r="B44" i="6"/>
  <c r="A44" i="9"/>
  <c r="X44" i="6"/>
  <c r="T44" i="6"/>
  <c r="U44" i="6"/>
  <c r="V44" i="6"/>
  <c r="A45" i="6"/>
  <c r="Y44" i="6"/>
  <c r="S44" i="6"/>
  <c r="I505" i="7"/>
  <c r="I506" i="7" s="1"/>
  <c r="A509" i="7"/>
  <c r="H505" i="7"/>
  <c r="H506" i="7" s="1"/>
  <c r="Q497" i="7"/>
  <c r="R497" i="7"/>
  <c r="J133" i="7"/>
  <c r="J134" i="7" s="1"/>
  <c r="S125" i="7"/>
  <c r="Z13" i="6" s="1"/>
  <c r="AA13" i="6" s="1"/>
  <c r="C14" i="6" s="1"/>
  <c r="G14" i="6" l="1"/>
  <c r="E14" i="6"/>
  <c r="H14" i="6" s="1"/>
  <c r="H517" i="7"/>
  <c r="H518" i="7" s="1"/>
  <c r="R509" i="7"/>
  <c r="Q509" i="7"/>
  <c r="A521" i="7"/>
  <c r="I517" i="7"/>
  <c r="I518" i="7" s="1"/>
  <c r="B44" i="9"/>
  <c r="B45" i="6"/>
  <c r="A45" i="9"/>
  <c r="S45" i="6"/>
  <c r="U45" i="6"/>
  <c r="V45" i="6"/>
  <c r="Y45" i="6"/>
  <c r="T45" i="6"/>
  <c r="A46" i="6"/>
  <c r="X45" i="6"/>
  <c r="J14" i="6" l="1"/>
  <c r="B45" i="9"/>
  <c r="B46" i="6"/>
  <c r="I14" i="6"/>
  <c r="N14" i="6" s="1"/>
  <c r="A46" i="9"/>
  <c r="V46" i="6"/>
  <c r="A47" i="6"/>
  <c r="U46" i="6"/>
  <c r="S46" i="6"/>
  <c r="T46" i="6"/>
  <c r="X46" i="6"/>
  <c r="R521" i="7"/>
  <c r="Y46" i="6" s="1"/>
  <c r="A533" i="7"/>
  <c r="I529" i="7"/>
  <c r="I530" i="7" s="1"/>
  <c r="H529" i="7"/>
  <c r="H530" i="7" s="1"/>
  <c r="Q521" i="7"/>
  <c r="A545" i="7" l="1"/>
  <c r="Q533" i="7"/>
  <c r="R533" i="7"/>
  <c r="I541" i="7"/>
  <c r="I542" i="7" s="1"/>
  <c r="H541" i="7"/>
  <c r="H542" i="7" s="1"/>
  <c r="A47" i="9"/>
  <c r="A48" i="6"/>
  <c r="Y47" i="6"/>
  <c r="U47" i="6"/>
  <c r="X47" i="6"/>
  <c r="S47" i="6"/>
  <c r="T47" i="6"/>
  <c r="V47" i="6"/>
  <c r="B46" i="9"/>
  <c r="B47" i="6"/>
  <c r="Q14" i="6"/>
  <c r="K14" i="6"/>
  <c r="P137" i="7"/>
  <c r="W14" i="6" s="1"/>
  <c r="G145" i="7"/>
  <c r="G146" i="7" s="1"/>
  <c r="A48" i="9" l="1"/>
  <c r="X48" i="6"/>
  <c r="T48" i="6"/>
  <c r="A49" i="6"/>
  <c r="S48" i="6"/>
  <c r="V48" i="6"/>
  <c r="U48" i="6"/>
  <c r="J145" i="7"/>
  <c r="J146" i="7" s="1"/>
  <c r="S137" i="7"/>
  <c r="Z14" i="6" s="1"/>
  <c r="AA14" i="6" s="1"/>
  <c r="C15" i="6" s="1"/>
  <c r="B47" i="9"/>
  <c r="B48" i="6"/>
  <c r="I553" i="7"/>
  <c r="I554" i="7" s="1"/>
  <c r="A557" i="7"/>
  <c r="H553" i="7"/>
  <c r="H554" i="7" s="1"/>
  <c r="Q545" i="7"/>
  <c r="R545" i="7"/>
  <c r="Y48" i="6" s="1"/>
  <c r="B48" i="9" l="1"/>
  <c r="B49" i="6"/>
  <c r="G15" i="6"/>
  <c r="E15" i="6"/>
  <c r="H15" i="6" s="1"/>
  <c r="A49" i="9"/>
  <c r="S49" i="6"/>
  <c r="T49" i="6"/>
  <c r="A50" i="6"/>
  <c r="U49" i="6"/>
  <c r="V49" i="6"/>
  <c r="H565" i="7"/>
  <c r="H566" i="7" s="1"/>
  <c r="R557" i="7"/>
  <c r="Y49" i="6" s="1"/>
  <c r="Q557" i="7"/>
  <c r="X49" i="6" s="1"/>
  <c r="A569" i="7"/>
  <c r="I565" i="7"/>
  <c r="I566" i="7" s="1"/>
  <c r="A50" i="9" l="1"/>
  <c r="V50" i="6"/>
  <c r="U50" i="6"/>
  <c r="T50" i="6"/>
  <c r="A51" i="6"/>
  <c r="S50" i="6"/>
  <c r="J15" i="6"/>
  <c r="I15" i="6"/>
  <c r="N15" i="6" s="1"/>
  <c r="B49" i="9"/>
  <c r="B50" i="6"/>
  <c r="R569" i="7"/>
  <c r="Y50" i="6" s="1"/>
  <c r="A581" i="7"/>
  <c r="I577" i="7"/>
  <c r="I578" i="7" s="1"/>
  <c r="H577" i="7"/>
  <c r="H578" i="7" s="1"/>
  <c r="Q569" i="7"/>
  <c r="X50" i="6" s="1"/>
  <c r="B50" i="9" l="1"/>
  <c r="B51" i="6"/>
  <c r="A51" i="9"/>
  <c r="A52" i="6"/>
  <c r="U51" i="6"/>
  <c r="V51" i="6"/>
  <c r="T51" i="6"/>
  <c r="S51" i="6"/>
  <c r="A593" i="7"/>
  <c r="Q581" i="7"/>
  <c r="X51" i="6" s="1"/>
  <c r="R581" i="7"/>
  <c r="Y51" i="6" s="1"/>
  <c r="I589" i="7"/>
  <c r="I590" i="7" s="1"/>
  <c r="H589" i="7"/>
  <c r="H590" i="7" s="1"/>
  <c r="K15" i="6"/>
  <c r="Q15" i="6"/>
  <c r="P149" i="7"/>
  <c r="W15" i="6" s="1"/>
  <c r="G157" i="7"/>
  <c r="G158" i="7" s="1"/>
  <c r="J157" i="7" l="1"/>
  <c r="J158" i="7" s="1"/>
  <c r="S149" i="7"/>
  <c r="Z15" i="6" s="1"/>
  <c r="AA15" i="6" s="1"/>
  <c r="C16" i="6" s="1"/>
  <c r="A52" i="9"/>
  <c r="T52" i="6"/>
  <c r="Y52" i="6"/>
  <c r="V52" i="6"/>
  <c r="A53" i="6"/>
  <c r="U52" i="6"/>
  <c r="S52" i="6"/>
  <c r="B51" i="9"/>
  <c r="B52" i="6"/>
  <c r="I601" i="7"/>
  <c r="I602" i="7" s="1"/>
  <c r="R593" i="7"/>
  <c r="A605" i="7"/>
  <c r="Q593" i="7"/>
  <c r="X52" i="6" s="1"/>
  <c r="H601" i="7"/>
  <c r="H602" i="7" s="1"/>
  <c r="E16" i="6" l="1"/>
  <c r="H16" i="6" s="1"/>
  <c r="G16" i="6"/>
  <c r="I16" i="6" s="1"/>
  <c r="N16" i="6" s="1"/>
  <c r="H613" i="7"/>
  <c r="H614" i="7" s="1"/>
  <c r="R605" i="7"/>
  <c r="A617" i="7"/>
  <c r="Q605" i="7"/>
  <c r="X53" i="6" s="1"/>
  <c r="I613" i="7"/>
  <c r="I614" i="7" s="1"/>
  <c r="B52" i="9"/>
  <c r="B53" i="6"/>
  <c r="A53" i="9"/>
  <c r="S53" i="6"/>
  <c r="A54" i="6"/>
  <c r="V53" i="6"/>
  <c r="T53" i="6"/>
  <c r="U53" i="6"/>
  <c r="Y53" i="6"/>
  <c r="R617" i="7" l="1"/>
  <c r="Y54" i="6" s="1"/>
  <c r="A629" i="7"/>
  <c r="Q617" i="7"/>
  <c r="I625" i="7"/>
  <c r="I626" i="7" s="1"/>
  <c r="H625" i="7"/>
  <c r="H626" i="7" s="1"/>
  <c r="A54" i="9"/>
  <c r="V54" i="6"/>
  <c r="T54" i="6"/>
  <c r="U54" i="6"/>
  <c r="A55" i="6"/>
  <c r="X54" i="6"/>
  <c r="S54" i="6"/>
  <c r="B53" i="9"/>
  <c r="B54" i="6"/>
  <c r="Q16" i="6"/>
  <c r="K16" i="6"/>
  <c r="G169" i="7"/>
  <c r="G170" i="7" s="1"/>
  <c r="P161" i="7"/>
  <c r="W16" i="6" s="1"/>
  <c r="J16" i="6"/>
  <c r="A55" i="9" l="1"/>
  <c r="A56" i="6"/>
  <c r="U55" i="6"/>
  <c r="V55" i="6"/>
  <c r="T55" i="6"/>
  <c r="S55" i="6"/>
  <c r="A641" i="7"/>
  <c r="Q629" i="7"/>
  <c r="X55" i="6" s="1"/>
  <c r="I637" i="7"/>
  <c r="I638" i="7" s="1"/>
  <c r="H637" i="7"/>
  <c r="H638" i="7" s="1"/>
  <c r="R629" i="7"/>
  <c r="Y55" i="6" s="1"/>
  <c r="J169" i="7"/>
  <c r="J170" i="7" s="1"/>
  <c r="S161" i="7"/>
  <c r="Z16" i="6" s="1"/>
  <c r="AA16" i="6" s="1"/>
  <c r="C17" i="6" s="1"/>
  <c r="B54" i="9"/>
  <c r="B55" i="6"/>
  <c r="B55" i="9" l="1"/>
  <c r="B56" i="6"/>
  <c r="I649" i="7"/>
  <c r="I650" i="7" s="1"/>
  <c r="H649" i="7"/>
  <c r="H650" i="7" s="1"/>
  <c r="R641" i="7"/>
  <c r="A653" i="7"/>
  <c r="Q641" i="7"/>
  <c r="A56" i="9"/>
  <c r="X56" i="6"/>
  <c r="T56" i="6"/>
  <c r="V56" i="6"/>
  <c r="U56" i="6"/>
  <c r="A57" i="6"/>
  <c r="Y56" i="6"/>
  <c r="S56" i="6"/>
  <c r="G17" i="6"/>
  <c r="E17" i="6"/>
  <c r="H17" i="6" s="1"/>
  <c r="I17" i="6" l="1"/>
  <c r="N17" i="6" s="1"/>
  <c r="J17" i="6"/>
  <c r="A57" i="9"/>
  <c r="S57" i="6"/>
  <c r="V57" i="6"/>
  <c r="X57" i="6"/>
  <c r="U57" i="6"/>
  <c r="Y57" i="6"/>
  <c r="T57" i="6"/>
  <c r="A58" i="6"/>
  <c r="B56" i="9"/>
  <c r="B57" i="6"/>
  <c r="H661" i="7"/>
  <c r="H662" i="7" s="1"/>
  <c r="R653" i="7"/>
  <c r="A665" i="7"/>
  <c r="Q653" i="7"/>
  <c r="I661" i="7"/>
  <c r="I662" i="7" s="1"/>
  <c r="R665" i="7" l="1"/>
  <c r="A677" i="7"/>
  <c r="Q665" i="7"/>
  <c r="I673" i="7"/>
  <c r="I674" i="7" s="1"/>
  <c r="H673" i="7"/>
  <c r="H674" i="7" s="1"/>
  <c r="B57" i="9"/>
  <c r="B58" i="6"/>
  <c r="A58" i="9"/>
  <c r="V58" i="6"/>
  <c r="A59" i="6"/>
  <c r="X58" i="6"/>
  <c r="S58" i="6"/>
  <c r="Y58" i="6"/>
  <c r="U58" i="6"/>
  <c r="T58" i="6"/>
  <c r="Q17" i="6"/>
  <c r="K17" i="6"/>
  <c r="G181" i="7"/>
  <c r="G182" i="7" s="1"/>
  <c r="P173" i="7"/>
  <c r="W17" i="6" s="1"/>
  <c r="S173" i="7" l="1"/>
  <c r="Z17" i="6" s="1"/>
  <c r="AA17" i="6" s="1"/>
  <c r="C18" i="6" s="1"/>
  <c r="J181" i="7"/>
  <c r="J182" i="7" s="1"/>
  <c r="A59" i="9"/>
  <c r="A60" i="6"/>
  <c r="U59" i="6"/>
  <c r="T59" i="6"/>
  <c r="S59" i="6"/>
  <c r="V59" i="6"/>
  <c r="B58" i="9"/>
  <c r="B59" i="6"/>
  <c r="I685" i="7"/>
  <c r="I686" i="7" s="1"/>
  <c r="Q677" i="7"/>
  <c r="X59" i="6" s="1"/>
  <c r="A689" i="7"/>
  <c r="H685" i="7"/>
  <c r="H686" i="7" s="1"/>
  <c r="R677" i="7"/>
  <c r="Y59" i="6" s="1"/>
  <c r="H697" i="7" l="1"/>
  <c r="H698" i="7" s="1"/>
  <c r="Q689" i="7"/>
  <c r="A701" i="7"/>
  <c r="I697" i="7"/>
  <c r="I698" i="7" s="1"/>
  <c r="R689" i="7"/>
  <c r="A60" i="9"/>
  <c r="X60" i="6"/>
  <c r="T60" i="6"/>
  <c r="U60" i="6"/>
  <c r="A61" i="6"/>
  <c r="Y60" i="6"/>
  <c r="S60" i="6"/>
  <c r="V60" i="6"/>
  <c r="B59" i="9"/>
  <c r="B60" i="6"/>
  <c r="G18" i="6"/>
  <c r="I18" i="6" s="1"/>
  <c r="N18" i="6" s="1"/>
  <c r="E18" i="6"/>
  <c r="H18" i="6" s="1"/>
  <c r="J18" i="6" l="1"/>
  <c r="Q18" i="6"/>
  <c r="K18" i="6"/>
  <c r="G193" i="7"/>
  <c r="G194" i="7" s="1"/>
  <c r="P185" i="7"/>
  <c r="W18" i="6" s="1"/>
  <c r="A61" i="9"/>
  <c r="S61" i="6"/>
  <c r="U61" i="6"/>
  <c r="V61" i="6"/>
  <c r="T61" i="6"/>
  <c r="A62" i="6"/>
  <c r="X61" i="6"/>
  <c r="B60" i="9"/>
  <c r="B61" i="6"/>
  <c r="R701" i="7"/>
  <c r="Y61" i="6" s="1"/>
  <c r="H709" i="7"/>
  <c r="H710" i="7" s="1"/>
  <c r="Q701" i="7"/>
  <c r="A713" i="7"/>
  <c r="I709" i="7"/>
  <c r="I710" i="7" s="1"/>
  <c r="A725" i="7" l="1"/>
  <c r="Q713" i="7"/>
  <c r="I721" i="7"/>
  <c r="I722" i="7" s="1"/>
  <c r="H721" i="7"/>
  <c r="H722" i="7" s="1"/>
  <c r="R713" i="7"/>
  <c r="A62" i="9"/>
  <c r="A63" i="6"/>
  <c r="Y62" i="6"/>
  <c r="V62" i="6"/>
  <c r="X62" i="6"/>
  <c r="U62" i="6"/>
  <c r="T62" i="6"/>
  <c r="S62" i="6"/>
  <c r="J193" i="7"/>
  <c r="J194" i="7" s="1"/>
  <c r="S185" i="7"/>
  <c r="Z18" i="6" s="1"/>
  <c r="AA18" i="6" s="1"/>
  <c r="C19" i="6" s="1"/>
  <c r="B61" i="9"/>
  <c r="B62" i="6"/>
  <c r="B62" i="9" l="1"/>
  <c r="B63" i="6"/>
  <c r="A63" i="9"/>
  <c r="T63" i="6"/>
  <c r="V63" i="6"/>
  <c r="S63" i="6"/>
  <c r="A64" i="6"/>
  <c r="U63" i="6"/>
  <c r="G19" i="6"/>
  <c r="E19" i="6"/>
  <c r="H19" i="6" s="1"/>
  <c r="I733" i="7"/>
  <c r="I734" i="7" s="1"/>
  <c r="H733" i="7"/>
  <c r="H734" i="7" s="1"/>
  <c r="R725" i="7"/>
  <c r="Y63" i="6" s="1"/>
  <c r="Q725" i="7"/>
  <c r="X63" i="6" s="1"/>
  <c r="A737" i="7"/>
  <c r="J19" i="6" l="1"/>
  <c r="A749" i="7"/>
  <c r="Q737" i="7"/>
  <c r="I745" i="7"/>
  <c r="I746" i="7" s="1"/>
  <c r="H745" i="7"/>
  <c r="H746" i="7" s="1"/>
  <c r="R737" i="7"/>
  <c r="B63" i="9"/>
  <c r="B64" i="6"/>
  <c r="I19" i="6"/>
  <c r="N19" i="6" s="1"/>
  <c r="A64" i="9"/>
  <c r="S64" i="6"/>
  <c r="V64" i="6"/>
  <c r="T64" i="6"/>
  <c r="Y64" i="6"/>
  <c r="U64" i="6"/>
  <c r="A65" i="6"/>
  <c r="X64" i="6"/>
  <c r="I757" i="7" l="1"/>
  <c r="I758" i="7" s="1"/>
  <c r="H757" i="7"/>
  <c r="H758" i="7" s="1"/>
  <c r="R749" i="7"/>
  <c r="A761" i="7"/>
  <c r="Q749" i="7"/>
  <c r="K19" i="6"/>
  <c r="Q19" i="6"/>
  <c r="G205" i="7"/>
  <c r="G206" i="7" s="1"/>
  <c r="P197" i="7"/>
  <c r="W19" i="6" s="1"/>
  <c r="A65" i="9"/>
  <c r="V65" i="6"/>
  <c r="A66" i="6"/>
  <c r="X65" i="6"/>
  <c r="S65" i="6"/>
  <c r="U65" i="6"/>
  <c r="Y65" i="6"/>
  <c r="T65" i="6"/>
  <c r="B64" i="9"/>
  <c r="B65" i="6"/>
  <c r="J205" i="7" l="1"/>
  <c r="J206" i="7" s="1"/>
  <c r="S197" i="7"/>
  <c r="Z19" i="6" s="1"/>
  <c r="AA19" i="6" s="1"/>
  <c r="C20" i="6" s="1"/>
  <c r="H769" i="7"/>
  <c r="H770" i="7" s="1"/>
  <c r="R761" i="7"/>
  <c r="A773" i="7"/>
  <c r="Q761" i="7"/>
  <c r="I769" i="7"/>
  <c r="I770" i="7" s="1"/>
  <c r="B65" i="9"/>
  <c r="B66" i="6"/>
  <c r="A66" i="9"/>
  <c r="A67" i="6"/>
  <c r="Y66" i="6"/>
  <c r="U66" i="6"/>
  <c r="T66" i="6"/>
  <c r="X66" i="6"/>
  <c r="V66" i="6"/>
  <c r="S66" i="6"/>
  <c r="A67" i="9" l="1"/>
  <c r="T67" i="6"/>
  <c r="U67" i="6"/>
  <c r="A68" i="6"/>
  <c r="S67" i="6"/>
  <c r="V67" i="6"/>
  <c r="R773" i="7"/>
  <c r="Y67" i="6" s="1"/>
  <c r="A785" i="7"/>
  <c r="Q773" i="7"/>
  <c r="X67" i="6" s="1"/>
  <c r="I781" i="7"/>
  <c r="I782" i="7" s="1"/>
  <c r="H781" i="7"/>
  <c r="H782" i="7" s="1"/>
  <c r="E20" i="6"/>
  <c r="H20" i="6" s="1"/>
  <c r="G20" i="6"/>
  <c r="B66" i="9"/>
  <c r="B67" i="6"/>
  <c r="B67" i="9" l="1"/>
  <c r="B68" i="6"/>
  <c r="A68" i="9"/>
  <c r="S68" i="6"/>
  <c r="U68" i="6"/>
  <c r="T68" i="6"/>
  <c r="A69" i="6"/>
  <c r="V68" i="6"/>
  <c r="J20" i="6"/>
  <c r="I20" i="6"/>
  <c r="N20" i="6" s="1"/>
  <c r="H793" i="7"/>
  <c r="H794" i="7" s="1"/>
  <c r="A797" i="7"/>
  <c r="I793" i="7"/>
  <c r="I794" i="7" s="1"/>
  <c r="Q785" i="7"/>
  <c r="X68" i="6" s="1"/>
  <c r="R785" i="7"/>
  <c r="Y68" i="6" s="1"/>
  <c r="A69" i="9" l="1"/>
  <c r="V69" i="6"/>
  <c r="U69" i="6"/>
  <c r="T69" i="6"/>
  <c r="X69" i="6"/>
  <c r="S69" i="6"/>
  <c r="A70" i="6"/>
  <c r="B68" i="9"/>
  <c r="B69" i="6"/>
  <c r="Q20" i="6"/>
  <c r="K20" i="6"/>
  <c r="G217" i="7"/>
  <c r="G218" i="7" s="1"/>
  <c r="P209" i="7"/>
  <c r="W20" i="6" s="1"/>
  <c r="R797" i="7"/>
  <c r="Y69" i="6" s="1"/>
  <c r="H805" i="7"/>
  <c r="H806" i="7" s="1"/>
  <c r="Q797" i="7"/>
  <c r="I805" i="7"/>
  <c r="I806" i="7" s="1"/>
  <c r="A809" i="7"/>
  <c r="B69" i="9" l="1"/>
  <c r="B70" i="6"/>
  <c r="A70" i="9"/>
  <c r="A71" i="6"/>
  <c r="U70" i="6"/>
  <c r="S70" i="6"/>
  <c r="V70" i="6"/>
  <c r="T70" i="6"/>
  <c r="A821" i="7"/>
  <c r="Q809" i="7"/>
  <c r="X70" i="6" s="1"/>
  <c r="R809" i="7"/>
  <c r="Y70" i="6" s="1"/>
  <c r="I817" i="7"/>
  <c r="I818" i="7" s="1"/>
  <c r="H817" i="7"/>
  <c r="H818" i="7" s="1"/>
  <c r="J217" i="7"/>
  <c r="J218" i="7" s="1"/>
  <c r="S209" i="7"/>
  <c r="Z20" i="6" s="1"/>
  <c r="AA20" i="6" s="1"/>
  <c r="C21" i="6" s="1"/>
  <c r="A71" i="9" l="1"/>
  <c r="T71" i="6"/>
  <c r="A72" i="6"/>
  <c r="S71" i="6"/>
  <c r="V71" i="6"/>
  <c r="U71" i="6"/>
  <c r="E21" i="6"/>
  <c r="H21" i="6" s="1"/>
  <c r="G21" i="6"/>
  <c r="B70" i="9"/>
  <c r="B71" i="6"/>
  <c r="I829" i="7"/>
  <c r="I830" i="7" s="1"/>
  <c r="H829" i="7"/>
  <c r="H830" i="7" s="1"/>
  <c r="R821" i="7"/>
  <c r="Y71" i="6" s="1"/>
  <c r="A833" i="7"/>
  <c r="Q821" i="7"/>
  <c r="X71" i="6" s="1"/>
  <c r="A72" i="9" l="1"/>
  <c r="S72" i="6"/>
  <c r="Y72" i="6"/>
  <c r="T72" i="6"/>
  <c r="V72" i="6"/>
  <c r="A73" i="6"/>
  <c r="U72" i="6"/>
  <c r="H841" i="7"/>
  <c r="H842" i="7" s="1"/>
  <c r="R833" i="7"/>
  <c r="A845" i="7"/>
  <c r="Q833" i="7"/>
  <c r="X72" i="6" s="1"/>
  <c r="I841" i="7"/>
  <c r="I842" i="7" s="1"/>
  <c r="B71" i="9"/>
  <c r="B72" i="6"/>
  <c r="J21" i="6"/>
  <c r="I21" i="6"/>
  <c r="N21" i="6" s="1"/>
  <c r="R845" i="7" l="1"/>
  <c r="Q845" i="7"/>
  <c r="I853" i="7"/>
  <c r="I854" i="7" s="1"/>
  <c r="H853" i="7"/>
  <c r="H854" i="7" s="1"/>
  <c r="Q21" i="6"/>
  <c r="K21" i="6"/>
  <c r="P221" i="7"/>
  <c r="W21" i="6" s="1"/>
  <c r="G229" i="7"/>
  <c r="G230" i="7" s="1"/>
  <c r="A73" i="9"/>
  <c r="V73" i="6"/>
  <c r="U73" i="6"/>
  <c r="Y73" i="6"/>
  <c r="T73" i="6"/>
  <c r="A74" i="6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X73" i="6"/>
  <c r="S73" i="6"/>
  <c r="B72" i="9"/>
  <c r="B73" i="6"/>
  <c r="B74" i="6" l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73" i="9"/>
  <c r="J229" i="7"/>
  <c r="J230" i="7" s="1"/>
  <c r="S221" i="7"/>
  <c r="Z21" i="6" s="1"/>
  <c r="AA21" i="6" s="1"/>
  <c r="C22" i="6" s="1"/>
  <c r="G22" i="6" l="1"/>
  <c r="E22" i="6"/>
  <c r="H22" i="6" s="1"/>
  <c r="J22" i="6" l="1"/>
  <c r="I22" i="6"/>
  <c r="N22" i="6" s="1"/>
  <c r="Q22" i="6" l="1"/>
  <c r="K22" i="6"/>
  <c r="P233" i="7"/>
  <c r="W22" i="6" s="1"/>
  <c r="G241" i="7"/>
  <c r="G242" i="7" s="1"/>
  <c r="J241" i="7" l="1"/>
  <c r="J242" i="7" s="1"/>
  <c r="S233" i="7"/>
  <c r="Z22" i="6" s="1"/>
  <c r="AA22" i="6" s="1"/>
  <c r="C23" i="6" s="1"/>
  <c r="G23" i="6" l="1"/>
  <c r="E23" i="6"/>
  <c r="H23" i="6" s="1"/>
  <c r="J23" i="6" l="1"/>
  <c r="I23" i="6"/>
  <c r="N23" i="6" s="1"/>
  <c r="K23" i="6" l="1"/>
  <c r="Q23" i="6"/>
  <c r="G253" i="7"/>
  <c r="G254" i="7" s="1"/>
  <c r="P245" i="7"/>
  <c r="W23" i="6" s="1"/>
  <c r="J253" i="7" l="1"/>
  <c r="J254" i="7" s="1"/>
  <c r="S245" i="7"/>
  <c r="Z23" i="6" s="1"/>
  <c r="AA23" i="6" s="1"/>
  <c r="C24" i="6" s="1"/>
  <c r="E24" i="6" l="1"/>
  <c r="H24" i="6" s="1"/>
  <c r="G24" i="6"/>
  <c r="I24" i="6" s="1"/>
  <c r="N24" i="6" s="1"/>
  <c r="K24" i="6" l="1"/>
  <c r="Q24" i="6"/>
  <c r="P257" i="7"/>
  <c r="W24" i="6" s="1"/>
  <c r="G265" i="7"/>
  <c r="G266" i="7" s="1"/>
  <c r="J24" i="6"/>
  <c r="S257" i="7" l="1"/>
  <c r="Z24" i="6" s="1"/>
  <c r="AA24" i="6" s="1"/>
  <c r="C25" i="6" s="1"/>
  <c r="J265" i="7"/>
  <c r="J266" i="7" s="1"/>
  <c r="G25" i="6" l="1"/>
  <c r="E25" i="6"/>
  <c r="H25" i="6" s="1"/>
  <c r="J25" i="6" l="1"/>
  <c r="I25" i="6"/>
  <c r="N25" i="6" s="1"/>
  <c r="Q25" i="6" l="1"/>
  <c r="K25" i="6"/>
  <c r="P269" i="7"/>
  <c r="W25" i="6" s="1"/>
  <c r="G277" i="7"/>
  <c r="G278" i="7" s="1"/>
  <c r="J277" i="7" l="1"/>
  <c r="J278" i="7" s="1"/>
  <c r="S269" i="7"/>
  <c r="Z25" i="6" s="1"/>
  <c r="AA25" i="6" s="1"/>
  <c r="C26" i="6" s="1"/>
  <c r="E26" i="6" l="1"/>
  <c r="H26" i="6" s="1"/>
  <c r="G26" i="6"/>
  <c r="I26" i="6" s="1"/>
  <c r="N26" i="6" s="1"/>
  <c r="Q26" i="6" l="1"/>
  <c r="K26" i="6"/>
  <c r="G289" i="7"/>
  <c r="G290" i="7" s="1"/>
  <c r="P281" i="7"/>
  <c r="W26" i="6" s="1"/>
  <c r="J26" i="6"/>
  <c r="J289" i="7" l="1"/>
  <c r="J290" i="7" s="1"/>
  <c r="S281" i="7"/>
  <c r="Z26" i="6" s="1"/>
  <c r="AA26" i="6" s="1"/>
  <c r="C27" i="6" s="1"/>
  <c r="G27" i="6" l="1"/>
  <c r="E27" i="6"/>
  <c r="H27" i="6" s="1"/>
  <c r="J27" i="6" l="1"/>
  <c r="I27" i="6"/>
  <c r="N27" i="6" s="1"/>
  <c r="K27" i="6" l="1"/>
  <c r="Q27" i="6"/>
  <c r="P293" i="7"/>
  <c r="W27" i="6" s="1"/>
  <c r="G301" i="7"/>
  <c r="G302" i="7" s="1"/>
  <c r="J301" i="7" l="1"/>
  <c r="J302" i="7" s="1"/>
  <c r="S293" i="7"/>
  <c r="Z27" i="6" s="1"/>
  <c r="AA27" i="6" s="1"/>
  <c r="C28" i="6" s="1"/>
  <c r="E28" i="6" l="1"/>
  <c r="H28" i="6" s="1"/>
  <c r="G28" i="6"/>
  <c r="I28" i="6" s="1"/>
  <c r="N28" i="6" s="1"/>
  <c r="Q28" i="6" l="1"/>
  <c r="K28" i="6"/>
  <c r="P305" i="7"/>
  <c r="W28" i="6" s="1"/>
  <c r="G313" i="7"/>
  <c r="G314" i="7" s="1"/>
  <c r="J28" i="6"/>
  <c r="S305" i="7" l="1"/>
  <c r="Z28" i="6" s="1"/>
  <c r="AA28" i="6" s="1"/>
  <c r="C29" i="6" s="1"/>
  <c r="J313" i="7"/>
  <c r="J314" i="7" s="1"/>
  <c r="G29" i="6" l="1"/>
  <c r="E29" i="6"/>
  <c r="H29" i="6" s="1"/>
  <c r="J29" i="6" l="1"/>
  <c r="I29" i="6"/>
  <c r="N29" i="6" s="1"/>
  <c r="Q29" i="6" l="1"/>
  <c r="K29" i="6"/>
  <c r="P317" i="7"/>
  <c r="W29" i="6" s="1"/>
  <c r="G325" i="7"/>
  <c r="G326" i="7" s="1"/>
  <c r="J325" i="7" l="1"/>
  <c r="J326" i="7" s="1"/>
  <c r="S317" i="7"/>
  <c r="Z29" i="6" s="1"/>
  <c r="AA29" i="6" s="1"/>
  <c r="C30" i="6" s="1"/>
  <c r="G30" i="6" l="1"/>
  <c r="E30" i="6"/>
  <c r="H30" i="6" s="1"/>
  <c r="J30" i="6" l="1"/>
  <c r="I30" i="6"/>
  <c r="N30" i="6" s="1"/>
  <c r="Q30" i="6" l="1"/>
  <c r="K30" i="6"/>
  <c r="G337" i="7"/>
  <c r="G338" i="7" s="1"/>
  <c r="P329" i="7"/>
  <c r="W30" i="6" s="1"/>
  <c r="S329" i="7" l="1"/>
  <c r="Z30" i="6" s="1"/>
  <c r="AA30" i="6" s="1"/>
  <c r="C31" i="6" s="1"/>
  <c r="J337" i="7"/>
  <c r="J338" i="7" s="1"/>
  <c r="G31" i="6" l="1"/>
  <c r="I31" i="6" s="1"/>
  <c r="N31" i="6" s="1"/>
  <c r="E31" i="6"/>
  <c r="H31" i="6" s="1"/>
  <c r="J31" i="6" l="1"/>
  <c r="K31" i="6"/>
  <c r="Q31" i="6"/>
  <c r="P341" i="7"/>
  <c r="W31" i="6" s="1"/>
  <c r="G349" i="7"/>
  <c r="G350" i="7" s="1"/>
  <c r="S341" i="7" l="1"/>
  <c r="Z31" i="6" s="1"/>
  <c r="AA31" i="6" s="1"/>
  <c r="C32" i="6" s="1"/>
  <c r="J349" i="7"/>
  <c r="J350" i="7" s="1"/>
  <c r="E32" i="6" l="1"/>
  <c r="H32" i="6" s="1"/>
  <c r="G32" i="6"/>
  <c r="I32" i="6" s="1"/>
  <c r="N32" i="6" s="1"/>
  <c r="Q32" i="6" l="1"/>
  <c r="K32" i="6"/>
  <c r="P353" i="7"/>
  <c r="W32" i="6" s="1"/>
  <c r="G361" i="7"/>
  <c r="G362" i="7" s="1"/>
  <c r="J32" i="6"/>
  <c r="J361" i="7" l="1"/>
  <c r="J362" i="7" s="1"/>
  <c r="S353" i="7"/>
  <c r="Z32" i="6" s="1"/>
  <c r="AA32" i="6" s="1"/>
  <c r="C33" i="6" s="1"/>
  <c r="G33" i="6" l="1"/>
  <c r="E33" i="6"/>
  <c r="H33" i="6" s="1"/>
  <c r="J33" i="6" l="1"/>
  <c r="I33" i="6"/>
  <c r="N33" i="6" s="1"/>
  <c r="Q33" i="6" l="1"/>
  <c r="K33" i="6"/>
  <c r="G373" i="7"/>
  <c r="G374" i="7" s="1"/>
  <c r="P365" i="7"/>
  <c r="W33" i="6" s="1"/>
  <c r="J373" i="7" l="1"/>
  <c r="J374" i="7" s="1"/>
  <c r="S365" i="7"/>
  <c r="Z33" i="6" s="1"/>
  <c r="AA33" i="6" s="1"/>
  <c r="C34" i="6" s="1"/>
  <c r="G34" i="6" l="1"/>
  <c r="E34" i="6"/>
  <c r="H34" i="6" s="1"/>
  <c r="J34" i="6" l="1"/>
  <c r="I34" i="6"/>
  <c r="N34" i="6" s="1"/>
  <c r="Q34" i="6" l="1"/>
  <c r="K34" i="6"/>
  <c r="P377" i="7"/>
  <c r="W34" i="6" s="1"/>
  <c r="G385" i="7"/>
  <c r="G386" i="7" s="1"/>
  <c r="J385" i="7" l="1"/>
  <c r="J386" i="7" s="1"/>
  <c r="S377" i="7"/>
  <c r="Z34" i="6" s="1"/>
  <c r="AA34" i="6" s="1"/>
  <c r="C35" i="6" s="1"/>
  <c r="G35" i="6" l="1"/>
  <c r="I35" i="6" s="1"/>
  <c r="N35" i="6" s="1"/>
  <c r="E35" i="6"/>
  <c r="H35" i="6" s="1"/>
  <c r="J35" i="6" l="1"/>
  <c r="K35" i="6"/>
  <c r="Q35" i="6"/>
  <c r="P389" i="7"/>
  <c r="W35" i="6" s="1"/>
  <c r="G397" i="7"/>
  <c r="G398" i="7" s="1"/>
  <c r="S389" i="7" l="1"/>
  <c r="Z35" i="6" s="1"/>
  <c r="AA35" i="6" s="1"/>
  <c r="C36" i="6" s="1"/>
  <c r="J397" i="7"/>
  <c r="J398" i="7" s="1"/>
  <c r="E36" i="6" l="1"/>
  <c r="H36" i="6" s="1"/>
  <c r="G36" i="6"/>
  <c r="I36" i="6" s="1"/>
  <c r="N36" i="6" s="1"/>
  <c r="Q36" i="6" l="1"/>
  <c r="K36" i="6"/>
  <c r="P401" i="7"/>
  <c r="W36" i="6" s="1"/>
  <c r="G409" i="7"/>
  <c r="G410" i="7" s="1"/>
  <c r="J36" i="6"/>
  <c r="J409" i="7" l="1"/>
  <c r="J410" i="7" s="1"/>
  <c r="S401" i="7"/>
  <c r="Z36" i="6" s="1"/>
  <c r="AA36" i="6" s="1"/>
  <c r="C37" i="6" s="1"/>
  <c r="E37" i="6" l="1"/>
  <c r="H37" i="6" s="1"/>
  <c r="G37" i="6"/>
  <c r="I37" i="6" s="1"/>
  <c r="N37" i="6" s="1"/>
  <c r="Q37" i="6" l="1"/>
  <c r="K37" i="6"/>
  <c r="G421" i="7"/>
  <c r="G422" i="7" s="1"/>
  <c r="P413" i="7"/>
  <c r="W37" i="6" s="1"/>
  <c r="J37" i="6"/>
  <c r="J421" i="7" l="1"/>
  <c r="J422" i="7" s="1"/>
  <c r="S413" i="7"/>
  <c r="Z37" i="6" s="1"/>
  <c r="AA37" i="6" s="1"/>
  <c r="C38" i="6" s="1"/>
  <c r="G38" i="6" l="1"/>
  <c r="E38" i="6"/>
  <c r="H38" i="6" s="1"/>
  <c r="J38" i="6" l="1"/>
  <c r="I38" i="6"/>
  <c r="N38" i="6" s="1"/>
  <c r="Q38" i="6" l="1"/>
  <c r="K38" i="6"/>
  <c r="P425" i="7"/>
  <c r="W38" i="6" s="1"/>
  <c r="G433" i="7"/>
  <c r="G434" i="7" s="1"/>
  <c r="J433" i="7" l="1"/>
  <c r="J434" i="7" s="1"/>
  <c r="S425" i="7"/>
  <c r="Z38" i="6" s="1"/>
  <c r="AA38" i="6" s="1"/>
  <c r="C39" i="6" s="1"/>
  <c r="G39" i="6" l="1"/>
  <c r="E39" i="6"/>
  <c r="H39" i="6" s="1"/>
  <c r="J39" i="6" l="1"/>
  <c r="I39" i="6"/>
  <c r="N39" i="6" s="1"/>
  <c r="K39" i="6" l="1"/>
  <c r="Q39" i="6"/>
  <c r="G445" i="7"/>
  <c r="G446" i="7" s="1"/>
  <c r="P437" i="7"/>
  <c r="W39" i="6" s="1"/>
  <c r="S437" i="7" l="1"/>
  <c r="Z39" i="6" s="1"/>
  <c r="AA39" i="6" s="1"/>
  <c r="C40" i="6" s="1"/>
  <c r="J445" i="7"/>
  <c r="J446" i="7" s="1"/>
  <c r="E40" i="6" l="1"/>
  <c r="H40" i="6" s="1"/>
  <c r="G40" i="6"/>
  <c r="I40" i="6" s="1"/>
  <c r="N40" i="6" s="1"/>
  <c r="K40" i="6" l="1"/>
  <c r="Q40" i="6"/>
  <c r="G457" i="7"/>
  <c r="G458" i="7" s="1"/>
  <c r="P449" i="7"/>
  <c r="W40" i="6" s="1"/>
  <c r="J40" i="6"/>
  <c r="S449" i="7" l="1"/>
  <c r="Z40" i="6" s="1"/>
  <c r="AA40" i="6" s="1"/>
  <c r="C41" i="6" s="1"/>
  <c r="J457" i="7"/>
  <c r="J458" i="7" s="1"/>
  <c r="E41" i="6" l="1"/>
  <c r="H41" i="6" s="1"/>
  <c r="G41" i="6"/>
  <c r="I41" i="6" s="1"/>
  <c r="N41" i="6" s="1"/>
  <c r="Q41" i="6" l="1"/>
  <c r="K41" i="6"/>
  <c r="P461" i="7"/>
  <c r="W41" i="6" s="1"/>
  <c r="G469" i="7"/>
  <c r="G470" i="7" s="1"/>
  <c r="J41" i="6"/>
  <c r="J469" i="7" l="1"/>
  <c r="J470" i="7" s="1"/>
  <c r="S461" i="7"/>
  <c r="Z41" i="6" s="1"/>
  <c r="AA41" i="6" s="1"/>
  <c r="C42" i="6" s="1"/>
  <c r="E42" i="6" l="1"/>
  <c r="H42" i="6" s="1"/>
  <c r="G42" i="6"/>
  <c r="I42" i="6" s="1"/>
  <c r="N42" i="6" s="1"/>
  <c r="Q42" i="6" l="1"/>
  <c r="K42" i="6"/>
  <c r="G481" i="7"/>
  <c r="G482" i="7" s="1"/>
  <c r="P473" i="7"/>
  <c r="W42" i="6" s="1"/>
  <c r="J42" i="6"/>
  <c r="S473" i="7" l="1"/>
  <c r="Z42" i="6" s="1"/>
  <c r="AA42" i="6" s="1"/>
  <c r="C43" i="6" s="1"/>
  <c r="J481" i="7"/>
  <c r="J482" i="7" s="1"/>
  <c r="G43" i="6" l="1"/>
  <c r="I43" i="6" s="1"/>
  <c r="N43" i="6" s="1"/>
  <c r="E43" i="6"/>
  <c r="H43" i="6" s="1"/>
  <c r="J43" i="6" l="1"/>
  <c r="K43" i="6"/>
  <c r="Q43" i="6"/>
  <c r="G493" i="7"/>
  <c r="G494" i="7" s="1"/>
  <c r="P485" i="7"/>
  <c r="W43" i="6" s="1"/>
  <c r="J493" i="7" l="1"/>
  <c r="J494" i="7" s="1"/>
  <c r="S485" i="7"/>
  <c r="Z43" i="6" s="1"/>
  <c r="AA43" i="6" s="1"/>
  <c r="C44" i="6" s="1"/>
  <c r="E44" i="6" l="1"/>
  <c r="H44" i="6" s="1"/>
  <c r="G44" i="6"/>
  <c r="I44" i="6" s="1"/>
  <c r="N44" i="6" s="1"/>
  <c r="K44" i="6" l="1"/>
  <c r="Q44" i="6"/>
  <c r="P497" i="7"/>
  <c r="W44" i="6" s="1"/>
  <c r="G505" i="7"/>
  <c r="G506" i="7" s="1"/>
  <c r="J44" i="6"/>
  <c r="S497" i="7" l="1"/>
  <c r="Z44" i="6" s="1"/>
  <c r="AA44" i="6" s="1"/>
  <c r="C45" i="6" s="1"/>
  <c r="J505" i="7"/>
  <c r="J506" i="7" s="1"/>
  <c r="G45" i="6" l="1"/>
  <c r="E45" i="6"/>
  <c r="H45" i="6" s="1"/>
  <c r="J45" i="6" l="1"/>
  <c r="I45" i="6"/>
  <c r="N45" i="6" s="1"/>
  <c r="Q45" i="6" l="1"/>
  <c r="K45" i="6"/>
  <c r="G517" i="7"/>
  <c r="G518" i="7" s="1"/>
  <c r="P509" i="7"/>
  <c r="W45" i="6" s="1"/>
  <c r="S509" i="7" l="1"/>
  <c r="Z45" i="6" s="1"/>
  <c r="AA45" i="6" s="1"/>
  <c r="C46" i="6" s="1"/>
  <c r="J517" i="7"/>
  <c r="J518" i="7" s="1"/>
  <c r="E46" i="6" l="1"/>
  <c r="H46" i="6" s="1"/>
  <c r="G46" i="6"/>
  <c r="I46" i="6" s="1"/>
  <c r="N46" i="6" s="1"/>
  <c r="Q46" i="6" l="1"/>
  <c r="K46" i="6"/>
  <c r="P521" i="7"/>
  <c r="W46" i="6" s="1"/>
  <c r="G529" i="7"/>
  <c r="G530" i="7" s="1"/>
  <c r="J46" i="6"/>
  <c r="S521" i="7" l="1"/>
  <c r="Z46" i="6" s="1"/>
  <c r="AA46" i="6" s="1"/>
  <c r="C47" i="6" s="1"/>
  <c r="J529" i="7"/>
  <c r="J530" i="7" s="1"/>
  <c r="G47" i="6" l="1"/>
  <c r="E47" i="6"/>
  <c r="H47" i="6" s="1"/>
  <c r="J47" i="6" l="1"/>
  <c r="I47" i="6"/>
  <c r="N47" i="6" s="1"/>
  <c r="K47" i="6" l="1"/>
  <c r="Q47" i="6"/>
  <c r="G541" i="7"/>
  <c r="G542" i="7" s="1"/>
  <c r="P533" i="7"/>
  <c r="W47" i="6" s="1"/>
  <c r="J541" i="7" l="1"/>
  <c r="J542" i="7" s="1"/>
  <c r="S533" i="7"/>
  <c r="Z47" i="6" s="1"/>
  <c r="AA47" i="6" s="1"/>
  <c r="C48" i="6" s="1"/>
  <c r="E48" i="6" l="1"/>
  <c r="H48" i="6" s="1"/>
  <c r="G48" i="6"/>
  <c r="I48" i="6" s="1"/>
  <c r="N48" i="6" s="1"/>
  <c r="Q48" i="6" l="1"/>
  <c r="K48" i="6"/>
  <c r="P545" i="7"/>
  <c r="W48" i="6" s="1"/>
  <c r="G553" i="7"/>
  <c r="G554" i="7" s="1"/>
  <c r="J48" i="6"/>
  <c r="S545" i="7" l="1"/>
  <c r="Z48" i="6" s="1"/>
  <c r="AA48" i="6" s="1"/>
  <c r="C49" i="6" s="1"/>
  <c r="J553" i="7"/>
  <c r="J554" i="7" s="1"/>
  <c r="G49" i="6" l="1"/>
  <c r="E49" i="6"/>
  <c r="H49" i="6" s="1"/>
  <c r="J49" i="6" l="1"/>
  <c r="I49" i="6"/>
  <c r="N49" i="6" s="1"/>
  <c r="Q49" i="6" l="1"/>
  <c r="K49" i="6"/>
  <c r="P557" i="7"/>
  <c r="W49" i="6" s="1"/>
  <c r="G565" i="7"/>
  <c r="G566" i="7" s="1"/>
  <c r="S557" i="7" l="1"/>
  <c r="Z49" i="6" s="1"/>
  <c r="AA49" i="6" s="1"/>
  <c r="C50" i="6" s="1"/>
  <c r="J565" i="7"/>
  <c r="J566" i="7" s="1"/>
  <c r="G50" i="6" l="1"/>
  <c r="E50" i="6"/>
  <c r="H50" i="6" s="1"/>
  <c r="J50" i="6" l="1"/>
  <c r="I50" i="6"/>
  <c r="N50" i="6" s="1"/>
  <c r="Q50" i="6" l="1"/>
  <c r="K50" i="6"/>
  <c r="P569" i="7"/>
  <c r="W50" i="6" s="1"/>
  <c r="G577" i="7"/>
  <c r="G578" i="7" s="1"/>
  <c r="S569" i="7" l="1"/>
  <c r="Z50" i="6" s="1"/>
  <c r="AA50" i="6" s="1"/>
  <c r="C51" i="6" s="1"/>
  <c r="J577" i="7"/>
  <c r="J578" i="7" s="1"/>
  <c r="G51" i="6" l="1"/>
  <c r="E51" i="6"/>
  <c r="H51" i="6" s="1"/>
  <c r="J51" i="6" l="1"/>
  <c r="I51" i="6"/>
  <c r="N51" i="6" s="1"/>
  <c r="K51" i="6" l="1"/>
  <c r="Q51" i="6"/>
  <c r="G589" i="7"/>
  <c r="G590" i="7" s="1"/>
  <c r="P581" i="7"/>
  <c r="W51" i="6" s="1"/>
  <c r="J589" i="7" l="1"/>
  <c r="J590" i="7" s="1"/>
  <c r="S581" i="7"/>
  <c r="Z51" i="6" s="1"/>
  <c r="AA51" i="6" s="1"/>
  <c r="C52" i="6" s="1"/>
  <c r="E52" i="6" l="1"/>
  <c r="H52" i="6" s="1"/>
  <c r="G52" i="6"/>
  <c r="I52" i="6" s="1"/>
  <c r="N52" i="6" s="1"/>
  <c r="Q52" i="6" l="1"/>
  <c r="K52" i="6"/>
  <c r="G601" i="7"/>
  <c r="G602" i="7" s="1"/>
  <c r="P593" i="7"/>
  <c r="W52" i="6" s="1"/>
  <c r="J52" i="6"/>
  <c r="J601" i="7" l="1"/>
  <c r="J602" i="7" s="1"/>
  <c r="S593" i="7"/>
  <c r="Z52" i="6" s="1"/>
  <c r="AA52" i="6" s="1"/>
  <c r="C53" i="6" s="1"/>
  <c r="E53" i="6" l="1"/>
  <c r="H53" i="6" s="1"/>
  <c r="G53" i="6"/>
  <c r="I53" i="6" s="1"/>
  <c r="N53" i="6" s="1"/>
  <c r="Q53" i="6" l="1"/>
  <c r="K53" i="6"/>
  <c r="G613" i="7"/>
  <c r="G614" i="7" s="1"/>
  <c r="P605" i="7"/>
  <c r="W53" i="6" s="1"/>
  <c r="J53" i="6"/>
  <c r="S605" i="7" l="1"/>
  <c r="Z53" i="6" s="1"/>
  <c r="AA53" i="6" s="1"/>
  <c r="C54" i="6" s="1"/>
  <c r="J613" i="7"/>
  <c r="J614" i="7" s="1"/>
  <c r="G54" i="6" l="1"/>
  <c r="E54" i="6"/>
  <c r="H54" i="6" s="1"/>
  <c r="J54" i="6" l="1"/>
  <c r="I54" i="6"/>
  <c r="N54" i="6" s="1"/>
  <c r="Q54" i="6" l="1"/>
  <c r="K54" i="6"/>
  <c r="G625" i="7"/>
  <c r="G626" i="7" s="1"/>
  <c r="P617" i="7"/>
  <c r="W54" i="6" s="1"/>
  <c r="J625" i="7" l="1"/>
  <c r="J626" i="7" s="1"/>
  <c r="S617" i="7"/>
  <c r="Z54" i="6" s="1"/>
  <c r="AA54" i="6" s="1"/>
  <c r="C55" i="6" s="1"/>
  <c r="G55" i="6" l="1"/>
  <c r="E55" i="6"/>
  <c r="H55" i="6" s="1"/>
  <c r="J55" i="6" l="1"/>
  <c r="I55" i="6"/>
  <c r="N55" i="6" s="1"/>
  <c r="K55" i="6" l="1"/>
  <c r="Q55" i="6"/>
  <c r="P629" i="7"/>
  <c r="W55" i="6" s="1"/>
  <c r="G637" i="7"/>
  <c r="G638" i="7" s="1"/>
  <c r="S629" i="7" l="1"/>
  <c r="Z55" i="6" s="1"/>
  <c r="AA55" i="6" s="1"/>
  <c r="C56" i="6" s="1"/>
  <c r="J637" i="7"/>
  <c r="J638" i="7" s="1"/>
  <c r="E56" i="6" l="1"/>
  <c r="H56" i="6" s="1"/>
  <c r="G56" i="6"/>
  <c r="I56" i="6" s="1"/>
  <c r="N56" i="6" s="1"/>
  <c r="K56" i="6" l="1"/>
  <c r="Q56" i="6"/>
  <c r="P641" i="7"/>
  <c r="W56" i="6" s="1"/>
  <c r="G649" i="7"/>
  <c r="G650" i="7" s="1"/>
  <c r="J56" i="6"/>
  <c r="S641" i="7" l="1"/>
  <c r="Z56" i="6" s="1"/>
  <c r="AA56" i="6" s="1"/>
  <c r="C57" i="6" s="1"/>
  <c r="J649" i="7"/>
  <c r="J650" i="7" s="1"/>
  <c r="G57" i="6" l="1"/>
  <c r="E57" i="6"/>
  <c r="H57" i="6" s="1"/>
  <c r="J57" i="6" l="1"/>
  <c r="I57" i="6"/>
  <c r="N57" i="6" s="1"/>
  <c r="K57" i="6" l="1"/>
  <c r="Q57" i="6"/>
  <c r="G661" i="7"/>
  <c r="G662" i="7" s="1"/>
  <c r="P653" i="7"/>
  <c r="W57" i="6" s="1"/>
  <c r="S653" i="7" l="1"/>
  <c r="Z57" i="6" s="1"/>
  <c r="AA57" i="6" s="1"/>
  <c r="C58" i="6" s="1"/>
  <c r="J661" i="7"/>
  <c r="J662" i="7" s="1"/>
  <c r="E58" i="6" l="1"/>
  <c r="H58" i="6" s="1"/>
  <c r="G58" i="6"/>
  <c r="I58" i="6" l="1"/>
  <c r="N58" i="6" s="1"/>
  <c r="J58" i="6"/>
  <c r="Q58" i="6" l="1"/>
  <c r="K58" i="6"/>
  <c r="G673" i="7"/>
  <c r="G674" i="7" s="1"/>
  <c r="P665" i="7"/>
  <c r="W58" i="6" s="1"/>
  <c r="J673" i="7" l="1"/>
  <c r="J674" i="7" s="1"/>
  <c r="S665" i="7"/>
  <c r="Z58" i="6" s="1"/>
  <c r="AA58" i="6" s="1"/>
  <c r="C59" i="6" s="1"/>
  <c r="G59" i="6" l="1"/>
  <c r="E59" i="6"/>
  <c r="H59" i="6" s="1"/>
  <c r="J59" i="6" l="1"/>
  <c r="I59" i="6"/>
  <c r="N59" i="6" s="1"/>
  <c r="K59" i="6" l="1"/>
  <c r="Q59" i="6"/>
  <c r="P677" i="7"/>
  <c r="W59" i="6" s="1"/>
  <c r="G685" i="7"/>
  <c r="G686" i="7" s="1"/>
  <c r="J685" i="7" l="1"/>
  <c r="J686" i="7" s="1"/>
  <c r="S677" i="7"/>
  <c r="Z59" i="6" s="1"/>
  <c r="AA59" i="6" s="1"/>
  <c r="C60" i="6" s="1"/>
  <c r="E60" i="6" l="1"/>
  <c r="H60" i="6" s="1"/>
  <c r="G60" i="6"/>
  <c r="I60" i="6" s="1"/>
  <c r="N60" i="6" s="1"/>
  <c r="K60" i="6" l="1"/>
  <c r="Q60" i="6"/>
  <c r="P689" i="7"/>
  <c r="W60" i="6" s="1"/>
  <c r="G697" i="7"/>
  <c r="G698" i="7" s="1"/>
  <c r="J60" i="6"/>
  <c r="S689" i="7" l="1"/>
  <c r="Z60" i="6" s="1"/>
  <c r="AA60" i="6" s="1"/>
  <c r="C61" i="6" s="1"/>
  <c r="J697" i="7"/>
  <c r="J698" i="7" s="1"/>
  <c r="G61" i="6" l="1"/>
  <c r="E61" i="6"/>
  <c r="H61" i="6" s="1"/>
  <c r="J61" i="6" l="1"/>
  <c r="I61" i="6"/>
  <c r="N61" i="6" s="1"/>
  <c r="Q61" i="6" l="1"/>
  <c r="K61" i="6"/>
  <c r="P701" i="7"/>
  <c r="W61" i="6" s="1"/>
  <c r="G709" i="7"/>
  <c r="G710" i="7" s="1"/>
  <c r="S701" i="7" l="1"/>
  <c r="Z61" i="6" s="1"/>
  <c r="AA61" i="6" s="1"/>
  <c r="C62" i="6" s="1"/>
  <c r="J709" i="7"/>
  <c r="J710" i="7" s="1"/>
  <c r="E62" i="6" l="1"/>
  <c r="H62" i="6" s="1"/>
  <c r="G62" i="6"/>
  <c r="I62" i="6" s="1"/>
  <c r="N62" i="6" s="1"/>
  <c r="Q62" i="6" l="1"/>
  <c r="K62" i="6"/>
  <c r="P713" i="7"/>
  <c r="W62" i="6" s="1"/>
  <c r="G721" i="7"/>
  <c r="G722" i="7" s="1"/>
  <c r="J62" i="6"/>
  <c r="J721" i="7" l="1"/>
  <c r="J722" i="7" s="1"/>
  <c r="S713" i="7"/>
  <c r="Z62" i="6" s="1"/>
  <c r="AA62" i="6" s="1"/>
  <c r="C63" i="6" s="1"/>
  <c r="E63" i="6" l="1"/>
  <c r="H63" i="6" s="1"/>
  <c r="G63" i="6"/>
  <c r="I63" i="6" l="1"/>
  <c r="N63" i="6" s="1"/>
  <c r="J63" i="6"/>
  <c r="K63" i="6" l="1"/>
  <c r="Q63" i="6"/>
  <c r="P725" i="7"/>
  <c r="W63" i="6" s="1"/>
  <c r="G733" i="7"/>
  <c r="G734" i="7" s="1"/>
  <c r="J733" i="7" l="1"/>
  <c r="J734" i="7" s="1"/>
  <c r="S725" i="7"/>
  <c r="Z63" i="6" s="1"/>
  <c r="AA63" i="6" s="1"/>
  <c r="C64" i="6" s="1"/>
  <c r="G64" i="6" l="1"/>
  <c r="E64" i="6"/>
  <c r="H64" i="6" s="1"/>
  <c r="J64" i="6" l="1"/>
  <c r="I64" i="6"/>
  <c r="N64" i="6" s="1"/>
  <c r="K64" i="6" l="1"/>
  <c r="Q64" i="6"/>
  <c r="G745" i="7"/>
  <c r="G746" i="7" s="1"/>
  <c r="P737" i="7"/>
  <c r="W64" i="6" s="1"/>
  <c r="S737" i="7" l="1"/>
  <c r="Z64" i="6" s="1"/>
  <c r="AA64" i="6" s="1"/>
  <c r="C65" i="6" s="1"/>
  <c r="J745" i="7"/>
  <c r="J746" i="7" s="1"/>
  <c r="E65" i="6" l="1"/>
  <c r="H65" i="6" s="1"/>
  <c r="G65" i="6"/>
  <c r="J65" i="6" l="1"/>
  <c r="I65" i="6"/>
  <c r="N65" i="6" s="1"/>
  <c r="Q65" i="6" l="1"/>
  <c r="K65" i="6"/>
  <c r="G757" i="7"/>
  <c r="G758" i="7" s="1"/>
  <c r="P749" i="7"/>
  <c r="W65" i="6" s="1"/>
  <c r="S749" i="7" l="1"/>
  <c r="Z65" i="6" s="1"/>
  <c r="AA65" i="6" s="1"/>
  <c r="C66" i="6" s="1"/>
  <c r="J757" i="7"/>
  <c r="J758" i="7" s="1"/>
  <c r="G66" i="6" l="1"/>
  <c r="I66" i="6" s="1"/>
  <c r="N66" i="6" s="1"/>
  <c r="E66" i="6"/>
  <c r="H66" i="6" s="1"/>
  <c r="K66" i="6" l="1"/>
  <c r="Q66" i="6"/>
  <c r="G769" i="7"/>
  <c r="G770" i="7" s="1"/>
  <c r="P761" i="7"/>
  <c r="W66" i="6" s="1"/>
  <c r="J66" i="6"/>
  <c r="S761" i="7" l="1"/>
  <c r="Z66" i="6" s="1"/>
  <c r="AA66" i="6" s="1"/>
  <c r="C67" i="6" s="1"/>
  <c r="J769" i="7"/>
  <c r="J770" i="7" s="1"/>
  <c r="E67" i="6" l="1"/>
  <c r="H67" i="6" s="1"/>
  <c r="G67" i="6"/>
  <c r="I67" i="6" s="1"/>
  <c r="N67" i="6" s="1"/>
  <c r="Q67" i="6" l="1"/>
  <c r="K67" i="6"/>
  <c r="P773" i="7"/>
  <c r="W67" i="6" s="1"/>
  <c r="G781" i="7"/>
  <c r="G782" i="7" s="1"/>
  <c r="J67" i="6"/>
  <c r="J781" i="7" l="1"/>
  <c r="J782" i="7" s="1"/>
  <c r="S773" i="7"/>
  <c r="Z67" i="6" s="1"/>
  <c r="AA67" i="6" s="1"/>
  <c r="C68" i="6" s="1"/>
  <c r="G68" i="6" l="1"/>
  <c r="E68" i="6"/>
  <c r="H68" i="6" s="1"/>
  <c r="J68" i="6" l="1"/>
  <c r="I68" i="6"/>
  <c r="N68" i="6" s="1"/>
  <c r="Q68" i="6" l="1"/>
  <c r="K68" i="6"/>
  <c r="P785" i="7"/>
  <c r="W68" i="6" s="1"/>
  <c r="G793" i="7"/>
  <c r="G794" i="7" s="1"/>
  <c r="S785" i="7" l="1"/>
  <c r="Z68" i="6" s="1"/>
  <c r="AA68" i="6" s="1"/>
  <c r="C69" i="6" s="1"/>
  <c r="J793" i="7"/>
  <c r="J794" i="7" s="1"/>
  <c r="G69" i="6" l="1"/>
  <c r="E69" i="6"/>
  <c r="H69" i="6" s="1"/>
  <c r="J69" i="6" l="1"/>
  <c r="I69" i="6"/>
  <c r="N69" i="6" s="1"/>
  <c r="Q69" i="6" l="1"/>
  <c r="K69" i="6"/>
  <c r="G805" i="7"/>
  <c r="G806" i="7" s="1"/>
  <c r="P797" i="7"/>
  <c r="W69" i="6" s="1"/>
  <c r="J805" i="7" l="1"/>
  <c r="J806" i="7" s="1"/>
  <c r="S797" i="7"/>
  <c r="Z69" i="6" s="1"/>
  <c r="AA69" i="6" s="1"/>
  <c r="C70" i="6" s="1"/>
  <c r="G70" i="6" l="1"/>
  <c r="E70" i="6"/>
  <c r="H70" i="6" s="1"/>
  <c r="J70" i="6" l="1"/>
  <c r="I70" i="6"/>
  <c r="N70" i="6" s="1"/>
  <c r="K70" i="6" l="1"/>
  <c r="Q70" i="6"/>
  <c r="P809" i="7"/>
  <c r="W70" i="6" s="1"/>
  <c r="G817" i="7"/>
  <c r="G818" i="7" s="1"/>
  <c r="J817" i="7" l="1"/>
  <c r="J818" i="7" s="1"/>
  <c r="S809" i="7"/>
  <c r="Z70" i="6" s="1"/>
  <c r="AA70" i="6" s="1"/>
  <c r="C71" i="6" s="1"/>
  <c r="E71" i="6" l="1"/>
  <c r="H71" i="6" s="1"/>
  <c r="G71" i="6"/>
  <c r="I71" i="6" l="1"/>
  <c r="N71" i="6" s="1"/>
  <c r="J71" i="6"/>
  <c r="Q71" i="6" l="1"/>
  <c r="K71" i="6"/>
  <c r="P821" i="7"/>
  <c r="W71" i="6" s="1"/>
  <c r="G829" i="7"/>
  <c r="G830" i="7" s="1"/>
  <c r="J829" i="7" l="1"/>
  <c r="J830" i="7" s="1"/>
  <c r="S821" i="7"/>
  <c r="Z71" i="6" s="1"/>
  <c r="AA71" i="6" s="1"/>
  <c r="C72" i="6" s="1"/>
  <c r="G72" i="6" l="1"/>
  <c r="E72" i="6"/>
  <c r="H72" i="6" s="1"/>
  <c r="J72" i="6" l="1"/>
  <c r="I72" i="6"/>
  <c r="N72" i="6" s="1"/>
  <c r="Q72" i="6" l="1"/>
  <c r="K72" i="6"/>
  <c r="G841" i="7"/>
  <c r="G842" i="7" s="1"/>
  <c r="P833" i="7"/>
  <c r="W72" i="6" s="1"/>
  <c r="S833" i="7" l="1"/>
  <c r="Z72" i="6" s="1"/>
  <c r="AA72" i="6" s="1"/>
  <c r="C73" i="6" s="1"/>
  <c r="J841" i="7"/>
  <c r="J842" i="7" s="1"/>
  <c r="G73" i="6" l="1"/>
  <c r="E73" i="6"/>
  <c r="H73" i="6" s="1"/>
  <c r="J73" i="6" l="1"/>
  <c r="I73" i="6"/>
  <c r="N73" i="6" s="1"/>
  <c r="Q73" i="6" l="1"/>
  <c r="K73" i="6"/>
  <c r="G853" i="7"/>
  <c r="G854" i="7" s="1"/>
  <c r="P845" i="7"/>
  <c r="W73" i="6" s="1"/>
  <c r="J853" i="7" l="1"/>
  <c r="J854" i="7" s="1"/>
  <c r="S845" i="7"/>
  <c r="Z73" i="6" s="1"/>
  <c r="AA73" i="6" s="1"/>
  <c r="C74" i="6" s="1"/>
  <c r="C75" i="6" l="1"/>
  <c r="G74" i="6"/>
  <c r="E74" i="6"/>
  <c r="H74" i="6" s="1"/>
  <c r="J74" i="6" s="1"/>
  <c r="I74" i="6" l="1"/>
  <c r="N74" i="6" s="1"/>
  <c r="E75" i="6"/>
  <c r="H75" i="6" s="1"/>
  <c r="J75" i="6" s="1"/>
  <c r="C76" i="6"/>
  <c r="G75" i="6"/>
  <c r="I75" i="6" s="1"/>
  <c r="N75" i="6" s="1"/>
  <c r="Q75" i="6" l="1"/>
  <c r="K75" i="6"/>
  <c r="G76" i="6"/>
  <c r="E76" i="6"/>
  <c r="H76" i="6" s="1"/>
  <c r="J76" i="6" s="1"/>
  <c r="C77" i="6"/>
  <c r="K74" i="6"/>
  <c r="Q74" i="6"/>
  <c r="I76" i="6" l="1"/>
  <c r="N76" i="6" s="1"/>
  <c r="E77" i="6"/>
  <c r="H77" i="6" s="1"/>
  <c r="J77" i="6" s="1"/>
  <c r="G77" i="6"/>
  <c r="I77" i="6" s="1"/>
  <c r="N77" i="6" s="1"/>
  <c r="C78" i="6"/>
  <c r="C79" i="6" l="1"/>
  <c r="G78" i="6"/>
  <c r="E78" i="6"/>
  <c r="H78" i="6" s="1"/>
  <c r="J78" i="6" s="1"/>
  <c r="Q77" i="6"/>
  <c r="K77" i="6"/>
  <c r="Q76" i="6"/>
  <c r="K76" i="6"/>
  <c r="I78" i="6" l="1"/>
  <c r="N78" i="6" s="1"/>
  <c r="C80" i="6"/>
  <c r="G79" i="6"/>
  <c r="E79" i="6"/>
  <c r="H79" i="6" s="1"/>
  <c r="J79" i="6" s="1"/>
  <c r="I79" i="6" l="1"/>
  <c r="N79" i="6" s="1"/>
  <c r="C81" i="6"/>
  <c r="G80" i="6"/>
  <c r="I80" i="6" s="1"/>
  <c r="N80" i="6" s="1"/>
  <c r="E80" i="6"/>
  <c r="H80" i="6" s="1"/>
  <c r="J80" i="6" s="1"/>
  <c r="K78" i="6"/>
  <c r="Q78" i="6"/>
  <c r="K80" i="6" l="1"/>
  <c r="Q80" i="6"/>
  <c r="E81" i="6"/>
  <c r="H81" i="6" s="1"/>
  <c r="J81" i="6" s="1"/>
  <c r="C82" i="6"/>
  <c r="G81" i="6"/>
  <c r="Q79" i="6"/>
  <c r="K79" i="6"/>
  <c r="C83" i="6" l="1"/>
  <c r="G82" i="6"/>
  <c r="E82" i="6"/>
  <c r="H82" i="6" s="1"/>
  <c r="J82" i="6" s="1"/>
  <c r="I81" i="6"/>
  <c r="N81" i="6" s="1"/>
  <c r="K81" i="6" l="1"/>
  <c r="Q81" i="6"/>
  <c r="I82" i="6"/>
  <c r="N82" i="6" s="1"/>
  <c r="E83" i="6"/>
  <c r="H83" i="6" s="1"/>
  <c r="J83" i="6" s="1"/>
  <c r="C84" i="6"/>
  <c r="G83" i="6"/>
  <c r="I83" i="6" s="1"/>
  <c r="N83" i="6" s="1"/>
  <c r="K82" i="6" l="1"/>
  <c r="Q82" i="6"/>
  <c r="Q83" i="6"/>
  <c r="K83" i="6"/>
  <c r="G84" i="6"/>
  <c r="E84" i="6"/>
  <c r="H84" i="6" s="1"/>
  <c r="J84" i="6" s="1"/>
  <c r="C85" i="6"/>
  <c r="E85" i="6" l="1"/>
  <c r="H85" i="6" s="1"/>
  <c r="J85" i="6" s="1"/>
  <c r="G85" i="6"/>
  <c r="I85" i="6" s="1"/>
  <c r="N85" i="6" s="1"/>
  <c r="C86" i="6"/>
  <c r="I84" i="6"/>
  <c r="N84" i="6" s="1"/>
  <c r="Q84" i="6" l="1"/>
  <c r="K84" i="6"/>
  <c r="C87" i="6"/>
  <c r="G86" i="6"/>
  <c r="I86" i="6" s="1"/>
  <c r="N86" i="6" s="1"/>
  <c r="E86" i="6"/>
  <c r="H86" i="6" s="1"/>
  <c r="J86" i="6" s="1"/>
  <c r="Q85" i="6"/>
  <c r="K85" i="6"/>
  <c r="K86" i="6" l="1"/>
  <c r="Q86" i="6"/>
  <c r="C88" i="6"/>
  <c r="G87" i="6"/>
  <c r="I87" i="6" s="1"/>
  <c r="N87" i="6" s="1"/>
  <c r="E87" i="6"/>
  <c r="H87" i="6" s="1"/>
  <c r="J87" i="6" s="1"/>
  <c r="Q87" i="6" l="1"/>
  <c r="K87" i="6"/>
  <c r="C89" i="6"/>
  <c r="G88" i="6"/>
  <c r="I88" i="6" s="1"/>
  <c r="N88" i="6" s="1"/>
  <c r="E88" i="6"/>
  <c r="H88" i="6" s="1"/>
  <c r="J88" i="6" s="1"/>
  <c r="Q88" i="6" l="1"/>
  <c r="K88" i="6"/>
  <c r="E89" i="6"/>
  <c r="H89" i="6" s="1"/>
  <c r="J89" i="6" s="1"/>
  <c r="C90" i="6"/>
  <c r="G89" i="6"/>
  <c r="C91" i="6" l="1"/>
  <c r="G90" i="6"/>
  <c r="E90" i="6"/>
  <c r="H90" i="6" s="1"/>
  <c r="J90" i="6" s="1"/>
  <c r="I89" i="6"/>
  <c r="N89" i="6" s="1"/>
  <c r="K89" i="6" l="1"/>
  <c r="Q89" i="6"/>
  <c r="I90" i="6"/>
  <c r="N90" i="6" s="1"/>
  <c r="E91" i="6"/>
  <c r="H91" i="6" s="1"/>
  <c r="J91" i="6" s="1"/>
  <c r="C92" i="6"/>
  <c r="G91" i="6"/>
  <c r="I91" i="6" s="1"/>
  <c r="N91" i="6" s="1"/>
  <c r="Q91" i="6" l="1"/>
  <c r="K91" i="6"/>
  <c r="K90" i="6"/>
  <c r="Q90" i="6"/>
  <c r="G92" i="6"/>
  <c r="I92" i="6" s="1"/>
  <c r="N92" i="6" s="1"/>
  <c r="E92" i="6"/>
  <c r="H92" i="6" s="1"/>
  <c r="J92" i="6" s="1"/>
  <c r="C93" i="6"/>
  <c r="E93" i="6" l="1"/>
  <c r="H93" i="6" s="1"/>
  <c r="J93" i="6" s="1"/>
  <c r="G93" i="6"/>
  <c r="I93" i="6" s="1"/>
  <c r="N93" i="6" s="1"/>
  <c r="C94" i="6"/>
  <c r="Q92" i="6"/>
  <c r="K92" i="6"/>
  <c r="C95" i="6" l="1"/>
  <c r="G94" i="6"/>
  <c r="E94" i="6"/>
  <c r="H94" i="6" s="1"/>
  <c r="J94" i="6" s="1"/>
  <c r="Q93" i="6"/>
  <c r="K93" i="6"/>
  <c r="I94" i="6" l="1"/>
  <c r="N94" i="6" s="1"/>
  <c r="C96" i="6"/>
  <c r="G95" i="6"/>
  <c r="I95" i="6" s="1"/>
  <c r="N95" i="6" s="1"/>
  <c r="E95" i="6"/>
  <c r="H95" i="6" s="1"/>
  <c r="J95" i="6" s="1"/>
  <c r="Q95" i="6" l="1"/>
  <c r="K95" i="6"/>
  <c r="C97" i="6"/>
  <c r="G96" i="6"/>
  <c r="I96" i="6" s="1"/>
  <c r="N96" i="6" s="1"/>
  <c r="E96" i="6"/>
  <c r="H96" i="6" s="1"/>
  <c r="J96" i="6" s="1"/>
  <c r="K94" i="6"/>
  <c r="Q94" i="6"/>
  <c r="K96" i="6" l="1"/>
  <c r="Q96" i="6"/>
  <c r="E97" i="6"/>
  <c r="H97" i="6" s="1"/>
  <c r="J97" i="6" s="1"/>
  <c r="C98" i="6"/>
  <c r="G97" i="6"/>
  <c r="I97" i="6" s="1"/>
  <c r="N97" i="6" s="1"/>
  <c r="C99" i="6" l="1"/>
  <c r="G98" i="6"/>
  <c r="E98" i="6"/>
  <c r="H98" i="6" s="1"/>
  <c r="J98" i="6" s="1"/>
  <c r="K97" i="6"/>
  <c r="Q97" i="6"/>
  <c r="I98" i="6" l="1"/>
  <c r="N98" i="6" s="1"/>
  <c r="E99" i="6"/>
  <c r="H99" i="6" s="1"/>
  <c r="J99" i="6" s="1"/>
  <c r="C100" i="6"/>
  <c r="G99" i="6"/>
  <c r="I99" i="6" s="1"/>
  <c r="N99" i="6" s="1"/>
  <c r="Q99" i="6" l="1"/>
  <c r="K99" i="6"/>
  <c r="G100" i="6"/>
  <c r="E100" i="6"/>
  <c r="H100" i="6" s="1"/>
  <c r="J100" i="6" s="1"/>
  <c r="K98" i="6"/>
  <c r="Q98" i="6"/>
  <c r="I100" i="6" l="1"/>
  <c r="N100" i="6" s="1"/>
  <c r="Q100" i="6" l="1"/>
  <c r="K100" i="6"/>
</calcChain>
</file>

<file path=xl/sharedStrings.xml><?xml version="1.0" encoding="utf-8"?>
<sst xmlns="http://schemas.openxmlformats.org/spreadsheetml/2006/main" count="1783" uniqueCount="180">
  <si>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</si>
  <si>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</si>
  <si>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</si>
  <si>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</si>
  <si>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</si>
  <si>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</si>
  <si>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</si>
  <si>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</si>
  <si>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</si>
  <si>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</si>
  <si>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</si>
  <si>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</si>
  <si>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</si>
  <si>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</si>
  <si>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</si>
  <si>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</si>
  <si>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</si>
  <si>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</si>
  <si>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</si>
  <si>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</si>
  <si>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</si>
  <si>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</si>
  <si>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</si>
  <si>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</si>
  <si>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</si>
  <si>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</si>
  <si>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</si>
  <si>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</si>
  <si>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</si>
  <si>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</si>
  <si>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</si>
  <si>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</si>
  <si>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</si>
  <si>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</si>
  <si>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</si>
  <si>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</si>
  <si>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</si>
  <si>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</si>
  <si>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</si>
  <si>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</si>
  <si>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</si>
  <si>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</si>
  <si>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</si>
  <si>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</si>
  <si>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</si>
  <si>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</si>
  <si>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</si>
  <si>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</si>
  <si>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</si>
  <si>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</si>
  <si>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</si>
  <si>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</si>
  <si>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</si>
  <si>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</si>
  <si>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</si>
  <si>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</si>
  <si>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</si>
  <si>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</si>
  <si>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</si>
  <si>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</si>
  <si>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</si>
  <si>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</si>
  <si>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</si>
  <si>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</si>
  <si>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</si>
  <si>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</si>
  <si>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</si>
  <si>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</si>
  <si>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</si>
  <si>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</si>
  <si>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</si>
  <si>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</si>
  <si>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</si>
  <si>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</si>
  <si>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</si>
  <si>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</si>
  <si>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</si>
  <si>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</si>
  <si>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</si>
  <si>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Goal (lbs)</t>
  </si>
  <si>
    <t>Description</t>
  </si>
  <si>
    <t>Servings</t>
  </si>
  <si>
    <t>Sum Fat (Cals)</t>
  </si>
  <si>
    <t>Sum Carb (Cals)</t>
  </si>
  <si>
    <t>Sum Prot (Cal)</t>
  </si>
  <si>
    <t>Sum Cals</t>
  </si>
  <si>
    <t>Remain Fat (Cals)</t>
  </si>
  <si>
    <t>Remain Carb (Cals)</t>
  </si>
  <si>
    <t>Remain Protein (Cals)</t>
  </si>
  <si>
    <t>Remain Total (Cals)</t>
  </si>
  <si>
    <t>Creatine</t>
  </si>
  <si>
    <t>Chicken Breast</t>
  </si>
  <si>
    <t>Chicken Wing (Medium)</t>
  </si>
  <si>
    <t>Almond Flour</t>
  </si>
  <si>
    <t>Egg</t>
  </si>
  <si>
    <t>Air</t>
  </si>
  <si>
    <t>Cheese String LF</t>
  </si>
  <si>
    <t>Broccoli (oz)</t>
  </si>
  <si>
    <t>Pickle</t>
  </si>
  <si>
    <t>Totals</t>
  </si>
  <si>
    <t>Goal</t>
  </si>
  <si>
    <t>(Loss Chart today)</t>
  </si>
  <si>
    <t>Remainder</t>
  </si>
  <si>
    <t>Fish Oil</t>
  </si>
  <si>
    <t>Serving
Size</t>
  </si>
  <si>
    <t xml:space="preserve"> Net
Carbs
(g)</t>
  </si>
  <si>
    <t>Fat
(Cal)</t>
  </si>
  <si>
    <t>Carb
(Cal)</t>
  </si>
  <si>
    <t>Protein
(Cal)</t>
  </si>
  <si>
    <t>Total
Calories</t>
  </si>
  <si>
    <t>¼ cup</t>
  </si>
  <si>
    <t>Asparagus</t>
  </si>
  <si>
    <t>100g</t>
  </si>
  <si>
    <t>Bacon (slice)</t>
  </si>
  <si>
    <t>1 slice</t>
  </si>
  <si>
    <t>TBD</t>
  </si>
  <si>
    <t>Banana Pepper</t>
  </si>
  <si>
    <t>1 oz</t>
  </si>
  <si>
    <t>Butter</t>
  </si>
  <si>
    <t>1T</t>
  </si>
  <si>
    <t>Cauliflower</t>
  </si>
  <si>
    <t>1 med head</t>
  </si>
  <si>
    <t>Cheese</t>
  </si>
  <si>
    <t>1 piece</t>
  </si>
  <si>
    <t>Chia Seeds</t>
  </si>
  <si>
    <t>Chicken Thigh</t>
  </si>
  <si>
    <t>116g</t>
  </si>
  <si>
    <t>Chicken Wing (Large)</t>
  </si>
  <si>
    <t>Chicken Wing (Small)</t>
  </si>
  <si>
    <t>1 Scoop</t>
  </si>
  <si>
    <t>Dymatize Elite Casein</t>
  </si>
  <si>
    <t>Hamburger</t>
  </si>
  <si>
    <t>IsoPure Whey</t>
  </si>
  <si>
    <t>2 Scoops</t>
  </si>
  <si>
    <t>Jack Daniels</t>
  </si>
  <si>
    <t>1 Shot</t>
  </si>
  <si>
    <t>Kimchi</t>
  </si>
  <si>
    <t>2 oz</t>
  </si>
  <si>
    <t>MCT Oil</t>
  </si>
  <si>
    <t>Olives (stuffed)</t>
  </si>
  <si>
    <t>Peanuts</t>
  </si>
  <si>
    <t>large</t>
  </si>
  <si>
    <t>Pork Rinds</t>
  </si>
  <si>
    <t>0.5oz</t>
  </si>
  <si>
    <t>Rao’s Marinara Sauce</t>
  </si>
  <si>
    <t>½ cup</t>
  </si>
  <si>
    <t>Sardines</t>
  </si>
  <si>
    <t>3.75oz</t>
  </si>
  <si>
    <t>Sardines in Sriracha</t>
  </si>
  <si>
    <t>Sausage</t>
  </si>
  <si>
    <t>Tomato (Small)</t>
  </si>
  <si>
    <t>small</t>
  </si>
  <si>
    <t>Tomato (Medium)</t>
  </si>
  <si>
    <t>medium</t>
  </si>
  <si>
    <t>Tomato (Large)</t>
  </si>
  <si>
    <t>Tuna, seasoned in H2O</t>
  </si>
  <si>
    <t>2.5oz</t>
  </si>
  <si>
    <t>Tuna, White in H2O can</t>
  </si>
  <si>
    <t>5oz</t>
  </si>
  <si>
    <t>Tuna, White in H2O</t>
  </si>
  <si>
    <t>3oz</t>
  </si>
  <si>
    <t>Turkey Breast</t>
  </si>
  <si>
    <t>4 oz</t>
  </si>
  <si>
    <t>Turkey Breast (5 slices)</t>
  </si>
  <si>
    <t>5 slices</t>
  </si>
  <si>
    <t>Zuccini</t>
  </si>
  <si>
    <t>1 Medium</t>
  </si>
  <si>
    <t>Scale Measurements</t>
  </si>
  <si>
    <t>BMI</t>
  </si>
  <si>
    <t>Fat%</t>
  </si>
  <si>
    <t>H2O%</t>
  </si>
  <si>
    <t>Muscle
%</t>
  </si>
  <si>
    <t>Maint.
Cals</t>
  </si>
  <si>
    <t>Weight
Loss</t>
  </si>
  <si>
    <t>Fat 
lbs</t>
  </si>
  <si>
    <t>H2O 
lbs</t>
  </si>
  <si>
    <t>Muscle
lbs</t>
  </si>
  <si>
    <t>Delta Fat Lbs</t>
  </si>
  <si>
    <t>Delta H2O lbs</t>
  </si>
  <si>
    <t>Delta Muscle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</si>
</sst>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88">
    <xf numFmtId="0" fontId="0" fillId="0" borderId="0" xfId="0"/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4" fillId="0" borderId="7" xfId="0" applyNumberFormat="1" applyFont="1" applyBorder="1" applyAlignment="1" applyProtection="1">
      <alignment wrapText="1"/>
      <protection locked="0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67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2" fontId="0" fillId="0" borderId="11" xfId="0" applyNumberFormat="1" applyBorder="1"/>
    <xf numFmtId="164" fontId="0" fillId="0" borderId="13" xfId="0" applyNumberFormat="1" applyFont="1" applyBorder="1" applyAlignment="1" applyProtection="1">
      <alignment wrapText="1"/>
      <protection locked="0"/>
    </xf>
    <xf numFmtId="164" fontId="0" fillId="0" borderId="13" xfId="0" applyNumberFormat="1" applyFont="1" applyBorder="1" applyAlignment="1" applyProtection="1">
      <protection locked="0"/>
    </xf>
    <xf numFmtId="2" fontId="0" fillId="0" borderId="13" xfId="0" applyNumberFormat="1" applyBorder="1"/>
    <xf numFmtId="0" fontId="0" fillId="0" borderId="13" xfId="0" applyBorder="1" applyProtection="1">
      <protection locked="0"/>
    </xf>
    <xf numFmtId="164" fontId="0" fillId="0" borderId="13" xfId="0" applyNumberFormat="1" applyBorder="1" applyProtection="1">
      <protection locked="0"/>
    </xf>
    <xf numFmtId="167" fontId="0" fillId="0" borderId="14" xfId="0" applyNumberFormat="1" applyBorder="1"/>
    <xf numFmtId="0" fontId="0" fillId="0" borderId="13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8" fontId="0" fillId="0" borderId="0" xfId="0" applyNumberFormat="1" applyFon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B6" sqref="B6"/>
    </sheetView>
  </sheetViews>
  <sheetFormatPr defaultRowHeight="15" x14ac:dyDescent="0.25"/>
  <cols>
    <col min="1" max="1" width="13.5703125" style="5" customWidth="1"/>
    <col min="2" max="2" width="12.140625" style="5" customWidth="1"/>
    <col min="3" max="3" width="6.7109375" style="5" customWidth="1"/>
    <col min="4" max="4" width="1.7109375" style="5" customWidth="1"/>
    <col min="5" max="5" width="9.7109375" style="5" customWidth="1"/>
    <col min="6" max="6" width="3.42578125" style="5" customWidth="1"/>
    <col min="7" max="1025" width="8.7109375" style="5" customWidth="1"/>
  </cols>
  <sheetData>
    <row r="1" spans="1:3" ht="18.75" x14ac:dyDescent="0.3">
      <c r="A1" s="6" t="s">
        <v>0</v>
      </c>
    </row>
    <row r="3" spans="1:3" x14ac:dyDescent="0.25">
      <c r="A3" s="5" t="s">
        <v>1</v>
      </c>
      <c r="B3" s="7" t="s">
        <v>2</v>
      </c>
    </row>
    <row r="4" spans="1:3" x14ac:dyDescent="0.25">
      <c r="A4" s="5" t="s">
        <v>3</v>
      </c>
      <c r="B4" s="8">
        <v>57</v>
      </c>
      <c r="C4" s="5" t="s">
        <v>4</v>
      </c>
    </row>
    <row r="5" spans="1:3" x14ac:dyDescent="0.25">
      <c r="A5" s="5" t="s">
        <v>5</v>
      </c>
      <c r="B5" s="8">
        <v>193.3</v>
      </c>
      <c r="C5" s="5" t="s">
        <v>6</v>
      </c>
    </row>
    <row r="6" spans="1:3" x14ac:dyDescent="0.25">
      <c r="A6" s="5" t="s">
        <v>7</v>
      </c>
      <c r="B6" s="8">
        <v>70.5</v>
      </c>
      <c r="C6" s="5" t="s">
        <v>8</v>
      </c>
    </row>
    <row r="7" spans="1:3" x14ac:dyDescent="0.25">
      <c r="A7" s="5" t="s">
        <v>9</v>
      </c>
      <c r="B7" s="8">
        <v>15.25</v>
      </c>
      <c r="C7" s="9" t="s">
        <v>8</v>
      </c>
    </row>
    <row r="8" spans="1:3" x14ac:dyDescent="0.25">
      <c r="A8" s="5" t="s">
        <v>10</v>
      </c>
      <c r="B8" s="8">
        <v>38</v>
      </c>
      <c r="C8" s="9" t="s">
        <v>8</v>
      </c>
    </row>
    <row r="9" spans="1:3" x14ac:dyDescent="0.25">
      <c r="A9" s="5" t="s">
        <v>11</v>
      </c>
      <c r="B9" s="8">
        <v>9</v>
      </c>
      <c r="C9" s="9" t="s">
        <v>8</v>
      </c>
    </row>
    <row r="10" spans="1:3" x14ac:dyDescent="0.25">
      <c r="A10" s="5" t="s">
        <v>12</v>
      </c>
      <c r="B10" s="8">
        <v>7</v>
      </c>
      <c r="C10" s="9" t="s">
        <v>8</v>
      </c>
    </row>
    <row r="11" spans="1:3" x14ac:dyDescent="0.25">
      <c r="A11" s="5" t="s">
        <v>13</v>
      </c>
      <c r="B11" s="8">
        <v>50</v>
      </c>
      <c r="C11" s="9" t="s">
        <v>8</v>
      </c>
    </row>
    <row r="12" spans="1:3" x14ac:dyDescent="0.25">
      <c r="A12" s="5" t="s">
        <v>14</v>
      </c>
      <c r="B12" s="7" t="s">
        <v>15</v>
      </c>
    </row>
    <row r="14" spans="1:3" ht="18.75" x14ac:dyDescent="0.3">
      <c r="A14" s="6" t="s">
        <v>16</v>
      </c>
    </row>
    <row r="16" spans="1:3" x14ac:dyDescent="0.25">
      <c r="A16" s="5" t="s">
        <v>17</v>
      </c>
      <c r="B16" s="8">
        <v>15</v>
      </c>
      <c r="C16" s="5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0" t="s">
        <v>19</v>
      </c>
    </row>
    <row r="2" spans="1:9" x14ac:dyDescent="0.25">
      <c r="A2" s="11" t="s">
        <v>20</v>
      </c>
    </row>
    <row r="4" spans="1:9" x14ac:dyDescent="0.25">
      <c r="A4" t="s">
        <v>21</v>
      </c>
      <c r="B4" s="12">
        <f>$B$11*$D$18</f>
        <v>2444.0374999999995</v>
      </c>
      <c r="C4" t="s">
        <v>22</v>
      </c>
    </row>
    <row r="5" spans="1:9" x14ac:dyDescent="0.25">
      <c r="A5" t="s">
        <v>23</v>
      </c>
      <c r="B5" s="13">
        <f>$B$4/Measured!B5</f>
        <v>12.643753233316085</v>
      </c>
      <c r="C5" t="s">
        <v>24</v>
      </c>
    </row>
    <row r="7" spans="1:9" x14ac:dyDescent="0.25">
      <c r="A7" s="14" t="s">
        <v>25</v>
      </c>
      <c r="B7" s="15">
        <f>Measured!B6*2.54</f>
        <v>179.07</v>
      </c>
      <c r="C7" s="14" t="s">
        <v>26</v>
      </c>
      <c r="D7" s="14"/>
      <c r="E7" s="14"/>
    </row>
    <row r="8" spans="1:9" x14ac:dyDescent="0.25">
      <c r="A8" s="14" t="s">
        <v>27</v>
      </c>
      <c r="B8" s="15">
        <f>Measured!B5/2.2</f>
        <v>87.86363636363636</v>
      </c>
      <c r="C8" s="14" t="s">
        <v>26</v>
      </c>
      <c r="D8" s="14"/>
      <c r="E8" s="14"/>
    </row>
    <row r="9" spans="1:9" x14ac:dyDescent="0.25">
      <c r="A9" s="16"/>
      <c r="B9" s="16" t="s">
        <v>2</v>
      </c>
      <c r="C9" s="16" t="s">
        <v>28</v>
      </c>
      <c r="D9" s="16"/>
      <c r="E9" s="14"/>
    </row>
    <row r="10" spans="1:9" x14ac:dyDescent="0.25">
      <c r="A10" s="16" t="s">
        <v>29</v>
      </c>
      <c r="B10" s="17">
        <f>66+(13.7*$B$8)+(5*$B$7)-(6.8*Measured!$B$4)</f>
        <v>1777.4818181818177</v>
      </c>
      <c r="C10" s="17">
        <f>655+(9.6*$B$8)+(1.8*$B$7)-(4.7*Measured!$B$4)</f>
        <v>1552.916909090909</v>
      </c>
      <c r="D10" s="16"/>
      <c r="E10" s="14"/>
    </row>
    <row r="11" spans="1:9" x14ac:dyDescent="0.25">
      <c r="A11" s="16" t="s">
        <v>30</v>
      </c>
      <c r="B11" s="17">
        <f>IF(Measured!$B$3="Male",$B$10,$C$10)</f>
        <v>1777.4818181818177</v>
      </c>
      <c r="C11" s="17"/>
      <c r="D11" s="16"/>
      <c r="E11" s="14"/>
    </row>
    <row r="12" spans="1:9" x14ac:dyDescent="0.25">
      <c r="A12" s="16"/>
      <c r="B12" s="16"/>
      <c r="C12" s="16"/>
      <c r="D12" s="16"/>
      <c r="E12" s="14"/>
    </row>
    <row r="13" spans="1:9" x14ac:dyDescent="0.25">
      <c r="A13" s="16" t="s">
        <v>31</v>
      </c>
      <c r="B13" s="18" t="b">
        <f>IF(Measured!$B$12=$A13,1)</f>
        <v>0</v>
      </c>
      <c r="C13" s="16">
        <v>1.2</v>
      </c>
      <c r="D13" s="16">
        <f>IF(B13,C13,0)</f>
        <v>0</v>
      </c>
      <c r="E13" s="14"/>
      <c r="I13" s="19"/>
    </row>
    <row r="14" spans="1:9" x14ac:dyDescent="0.25">
      <c r="A14" s="16" t="s">
        <v>15</v>
      </c>
      <c r="B14" s="18">
        <f>IF(Measured!$B$12=$A14,1)</f>
        <v>1</v>
      </c>
      <c r="C14" s="16">
        <v>1.375</v>
      </c>
      <c r="D14" s="16">
        <f>IF(B14,C14,0)</f>
        <v>1.375</v>
      </c>
      <c r="E14" s="14"/>
      <c r="I14" s="19"/>
    </row>
    <row r="15" spans="1:9" x14ac:dyDescent="0.25">
      <c r="A15" s="16" t="s">
        <v>32</v>
      </c>
      <c r="B15" s="18" t="b">
        <f>IF(Measured!$B$12=$A15,1)</f>
        <v>0</v>
      </c>
      <c r="C15" s="16">
        <v>1.55</v>
      </c>
      <c r="D15" s="16">
        <f>IF(B15,C15,0)</f>
        <v>0</v>
      </c>
      <c r="E15" s="14"/>
      <c r="I15" s="19"/>
    </row>
    <row r="16" spans="1:9" x14ac:dyDescent="0.25">
      <c r="A16" s="16" t="s">
        <v>33</v>
      </c>
      <c r="B16" s="18" t="b">
        <f>IF(Measured!$B$12=$A16,1)</f>
        <v>0</v>
      </c>
      <c r="C16" s="16">
        <v>1.7250000000000001</v>
      </c>
      <c r="D16" s="16">
        <f>IF(B16,C16,0)</f>
        <v>0</v>
      </c>
      <c r="E16" s="14"/>
      <c r="I16" s="19"/>
    </row>
    <row r="17" spans="1:9" x14ac:dyDescent="0.25">
      <c r="A17" s="16" t="s">
        <v>34</v>
      </c>
      <c r="B17" s="18" t="b">
        <f>IF(Measured!$B$12=$A17,1)</f>
        <v>0</v>
      </c>
      <c r="C17" s="16">
        <v>1.9</v>
      </c>
      <c r="D17" s="16">
        <f>IF(B17,C17,0)</f>
        <v>0</v>
      </c>
      <c r="E17" s="14"/>
      <c r="I17" s="19"/>
    </row>
    <row r="18" spans="1:9" x14ac:dyDescent="0.25">
      <c r="A18" s="16"/>
      <c r="B18" s="16"/>
      <c r="C18" s="16"/>
      <c r="D18" s="16">
        <f>MAX(D13:D17)</f>
        <v>1.375</v>
      </c>
      <c r="E18" s="14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C2" sqref="C2"/>
    </sheetView>
  </sheetViews>
  <sheetFormatPr defaultRowHeight="15" x14ac:dyDescent="0.25"/>
  <cols>
    <col min="1" max="1" width="14" style="5" customWidth="1"/>
    <col min="2" max="2" width="5.5703125" style="5" customWidth="1"/>
    <col min="3" max="3" width="7.28515625" style="5" customWidth="1"/>
    <col min="4" max="4" width="12.85546875" style="5" customWidth="1"/>
    <col min="5" max="1025" width="8.7109375" style="5" customWidth="1"/>
  </cols>
  <sheetData>
    <row r="1" spans="1:7" ht="18.75" x14ac:dyDescent="0.3">
      <c r="A1" s="6" t="s">
        <v>35</v>
      </c>
    </row>
    <row r="2" spans="1:7" x14ac:dyDescent="0.25">
      <c r="A2" s="11" t="s">
        <v>36</v>
      </c>
    </row>
    <row r="4" spans="1:7" x14ac:dyDescent="0.25">
      <c r="A4" s="20" t="s">
        <v>37</v>
      </c>
      <c r="B4" s="21">
        <f>IF(Measured!$B$3="Male",$B$13,$B$14)</f>
        <v>25.024956356224656</v>
      </c>
    </row>
    <row r="5" spans="1:7" x14ac:dyDescent="0.25">
      <c r="A5" s="5" t="s">
        <v>38</v>
      </c>
      <c r="B5" s="22">
        <f>Measured!$B$5</f>
        <v>193.3</v>
      </c>
      <c r="C5" s="5" t="s">
        <v>6</v>
      </c>
      <c r="D5" s="5" t="s">
        <v>39</v>
      </c>
    </row>
    <row r="6" spans="1:7" x14ac:dyDescent="0.25">
      <c r="A6" s="5" t="s">
        <v>40</v>
      </c>
      <c r="B6" s="22">
        <f>$B$5*(1-($B$4/100))</f>
        <v>144.92675936341774</v>
      </c>
      <c r="C6" s="5" t="s">
        <v>6</v>
      </c>
      <c r="D6" s="5" t="s">
        <v>41</v>
      </c>
    </row>
    <row r="8" spans="1:7" x14ac:dyDescent="0.25">
      <c r="A8" s="23" t="s">
        <v>7</v>
      </c>
      <c r="B8" s="23">
        <f>Measured!$B$6</f>
        <v>70.5</v>
      </c>
      <c r="C8" s="23" t="s">
        <v>39</v>
      </c>
      <c r="D8" s="23"/>
      <c r="E8" s="23"/>
    </row>
    <row r="9" spans="1:7" x14ac:dyDescent="0.25">
      <c r="A9" s="23" t="s">
        <v>9</v>
      </c>
      <c r="B9" s="23">
        <f>Measured!$B$7</f>
        <v>15.25</v>
      </c>
      <c r="C9" s="23" t="s">
        <v>39</v>
      </c>
      <c r="D9" s="23"/>
      <c r="E9" s="23"/>
    </row>
    <row r="10" spans="1:7" x14ac:dyDescent="0.25">
      <c r="A10" s="23" t="s">
        <v>10</v>
      </c>
      <c r="B10" s="23">
        <f>Measured!$B$8</f>
        <v>38</v>
      </c>
      <c r="C10" s="23" t="s">
        <v>39</v>
      </c>
      <c r="D10" s="23"/>
      <c r="E10" s="23"/>
    </row>
    <row r="11" spans="1:7" x14ac:dyDescent="0.25">
      <c r="A11" s="23" t="s">
        <v>13</v>
      </c>
      <c r="B11" s="23">
        <f>Measured!$B$11</f>
        <v>50</v>
      </c>
      <c r="C11" s="23" t="s">
        <v>39</v>
      </c>
      <c r="D11" s="23"/>
      <c r="E11" s="23"/>
    </row>
    <row r="12" spans="1:7" x14ac:dyDescent="0.25">
      <c r="A12" s="23"/>
      <c r="B12" s="23"/>
      <c r="C12" s="23"/>
      <c r="D12" s="23"/>
      <c r="E12" s="23"/>
    </row>
    <row r="13" spans="1:7" x14ac:dyDescent="0.25">
      <c r="A13" s="23" t="s">
        <v>2</v>
      </c>
      <c r="B13" s="24">
        <f>86.01*(LOG10($B$10-$B$9))-70.041*LOG10($B$8)+37.76</f>
        <v>25.024956356224656</v>
      </c>
      <c r="C13" s="23" t="s">
        <v>42</v>
      </c>
      <c r="D13" s="23"/>
      <c r="E13" s="23"/>
      <c r="G13" s="5">
        <v>-78.387</v>
      </c>
    </row>
    <row r="14" spans="1:7" x14ac:dyDescent="0.25">
      <c r="A14" s="23" t="s">
        <v>28</v>
      </c>
      <c r="B14" s="24">
        <f>(163.205*LOG10($B$11+$B$10-$B$9))-(97.684*LOG10($B$8))-78.387</f>
        <v>44.934948678577115</v>
      </c>
      <c r="C14" s="23" t="s">
        <v>43</v>
      </c>
      <c r="D14" s="23"/>
      <c r="E14" s="23"/>
      <c r="G14" s="5">
        <f>163.205*LOG10($B$11+$B$10-$B$9)</f>
        <v>303.86045438276489</v>
      </c>
    </row>
    <row r="15" spans="1:7" x14ac:dyDescent="0.25">
      <c r="G15" s="5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5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6">
        <f>MAX(D8:D12)</f>
        <v>0.8</v>
      </c>
      <c r="C4" t="s">
        <v>47</v>
      </c>
    </row>
    <row r="5" spans="1:6" x14ac:dyDescent="0.25">
      <c r="A5" t="s">
        <v>48</v>
      </c>
      <c r="B5" s="27">
        <f>BF_DoD!B6</f>
        <v>144.92675936341774</v>
      </c>
      <c r="C5" t="s">
        <v>49</v>
      </c>
    </row>
    <row r="6" spans="1:6" x14ac:dyDescent="0.25">
      <c r="A6" t="s">
        <v>44</v>
      </c>
      <c r="B6" s="27">
        <f>B5*B4</f>
        <v>115.94140749073421</v>
      </c>
      <c r="C6" t="s">
        <v>50</v>
      </c>
    </row>
    <row r="7" spans="1:6" x14ac:dyDescent="0.25">
      <c r="A7" s="28"/>
      <c r="B7" s="28"/>
      <c r="C7" s="28"/>
      <c r="D7" s="28"/>
      <c r="E7" s="28"/>
      <c r="F7" s="28"/>
    </row>
    <row r="8" spans="1:6" x14ac:dyDescent="0.25">
      <c r="A8" s="28" t="s">
        <v>31</v>
      </c>
      <c r="B8" s="28">
        <v>0.69</v>
      </c>
      <c r="C8" s="29">
        <f>IF(A8=Measured!$B$12,1,0)</f>
        <v>0</v>
      </c>
      <c r="D8" s="28">
        <f>IF(C8=1,B8,0)</f>
        <v>0</v>
      </c>
      <c r="E8" s="28"/>
      <c r="F8" s="28"/>
    </row>
    <row r="9" spans="1:6" x14ac:dyDescent="0.25">
      <c r="A9" s="28" t="s">
        <v>15</v>
      </c>
      <c r="B9" s="28">
        <v>0.8</v>
      </c>
      <c r="C9" s="29">
        <f>IF(A9=Measured!$B$12,1,0)</f>
        <v>1</v>
      </c>
      <c r="D9" s="28">
        <f>IF(C9=1,B9,0)</f>
        <v>0.8</v>
      </c>
      <c r="E9" s="28"/>
      <c r="F9" s="28"/>
    </row>
    <row r="10" spans="1:6" x14ac:dyDescent="0.25">
      <c r="A10" s="28" t="s">
        <v>32</v>
      </c>
      <c r="B10" s="28">
        <v>0.9</v>
      </c>
      <c r="C10" s="29">
        <f>IF(A10=Measured!$B$12,1,0)</f>
        <v>0</v>
      </c>
      <c r="D10" s="28">
        <f>IF(C10=1,B10,0)</f>
        <v>0</v>
      </c>
      <c r="E10" s="28"/>
      <c r="F10" s="28"/>
    </row>
    <row r="11" spans="1:6" x14ac:dyDescent="0.25">
      <c r="A11" s="28" t="s">
        <v>33</v>
      </c>
      <c r="B11" s="28">
        <v>1</v>
      </c>
      <c r="C11" s="29">
        <f>IF(A11=Measured!$B$12,1,0)</f>
        <v>0</v>
      </c>
      <c r="D11" s="28">
        <f>IF(C11=1,B11,0)</f>
        <v>0</v>
      </c>
      <c r="E11" s="28"/>
      <c r="F11" s="28"/>
    </row>
    <row r="12" spans="1:6" x14ac:dyDescent="0.25">
      <c r="A12" s="28" t="s">
        <v>34</v>
      </c>
      <c r="B12" s="28">
        <v>1.2</v>
      </c>
      <c r="C12" s="29">
        <f>IF(A12=Measured!$B$12,1,0)</f>
        <v>0</v>
      </c>
      <c r="D12" s="28">
        <f>IF(C12=1,B12,0)</f>
        <v>0</v>
      </c>
      <c r="E12" s="28"/>
      <c r="F12" s="28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10" sqref="B10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0" t="s">
        <v>51</v>
      </c>
      <c r="B1" s="31"/>
      <c r="C1" s="31"/>
    </row>
    <row r="2" spans="1:5" x14ac:dyDescent="0.25">
      <c r="A2" s="32" t="s">
        <v>52</v>
      </c>
      <c r="B2" s="31"/>
      <c r="C2" s="31"/>
    </row>
    <row r="4" spans="1:5" x14ac:dyDescent="0.25">
      <c r="A4" s="31" t="s">
        <v>53</v>
      </c>
      <c r="B4" s="33">
        <f>($B$7^1.5)*((SQRT($B$9)/22.667) + (SQRT($B$8)/17.0104))*(($B$10/224)+1)</f>
        <v>185.10902667969179</v>
      </c>
      <c r="C4" s="31" t="s">
        <v>6</v>
      </c>
      <c r="E4" s="34"/>
    </row>
    <row r="5" spans="1:5" x14ac:dyDescent="0.25">
      <c r="A5" s="31" t="s">
        <v>54</v>
      </c>
      <c r="B5" s="35">
        <f>(1+(B10/100))*B4</f>
        <v>212.87538068164554</v>
      </c>
      <c r="C5" s="31" t="s">
        <v>6</v>
      </c>
    </row>
    <row r="7" spans="1:5" x14ac:dyDescent="0.25">
      <c r="A7" s="36" t="s">
        <v>55</v>
      </c>
      <c r="B7" s="36">
        <f>Measured!B6</f>
        <v>70.5</v>
      </c>
      <c r="C7" s="36" t="s">
        <v>56</v>
      </c>
    </row>
    <row r="8" spans="1:5" x14ac:dyDescent="0.25">
      <c r="A8" s="36" t="s">
        <v>11</v>
      </c>
      <c r="B8" s="36">
        <f>Measured!B9</f>
        <v>9</v>
      </c>
      <c r="C8" s="36" t="s">
        <v>56</v>
      </c>
    </row>
    <row r="9" spans="1:5" x14ac:dyDescent="0.25">
      <c r="A9" s="36" t="s">
        <v>12</v>
      </c>
      <c r="B9" s="36">
        <f>Measured!B10</f>
        <v>7</v>
      </c>
      <c r="C9" s="36" t="s">
        <v>56</v>
      </c>
    </row>
    <row r="10" spans="1:5" x14ac:dyDescent="0.25">
      <c r="A10" s="36" t="s">
        <v>57</v>
      </c>
      <c r="B10" s="36">
        <f>Measured!B16</f>
        <v>15</v>
      </c>
      <c r="C10" s="36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zoomScale="130" zoomScaleNormal="130" workbookViewId="0">
      <pane ySplit="2" topLeftCell="A83" activePane="bottomLeft" state="frozen"/>
      <selection pane="bottomLeft" activeCell="B2" sqref="B2"/>
    </sheetView>
  </sheetViews>
  <sheetFormatPr defaultRowHeight="15" x14ac:dyDescent="0.25"/>
  <cols>
    <col min="1" max="1" width="12.140625" customWidth="1"/>
    <col min="2" max="2" width="6.28515625" customWidth="1"/>
    <col min="3" max="3" width="7.5703125" customWidth="1"/>
    <col min="4" max="4" width="6.140625" customWidth="1"/>
    <col min="5" max="5" width="6.7109375" customWidth="1"/>
    <col min="6" max="6" width="1.7109375" customWidth="1"/>
    <col min="7" max="7" width="7.28515625" customWidth="1"/>
    <col min="8" max="8" width="10.85546875" customWidth="1"/>
    <col min="9" max="9" width="7.28515625" customWidth="1"/>
    <col min="10" max="10" width="7.5703125" customWidth="1"/>
    <col min="11" max="11" width="5.5703125" customWidth="1"/>
    <col min="12" max="12" width="5" customWidth="1"/>
    <col min="13" max="13" width="7.5703125" customWidth="1"/>
    <col min="14" max="16" width="6" customWidth="1"/>
    <col min="17" max="17" width="7.28515625" customWidth="1"/>
    <col min="18" max="18" width="1.42578125" customWidth="1"/>
    <col min="19" max="19" width="8" style="37" customWidth="1"/>
    <col min="20" max="20" width="6" style="37" customWidth="1"/>
    <col min="21" max="21" width="9" style="37" customWidth="1"/>
    <col min="22" max="22" width="8.85546875" style="37" customWidth="1"/>
    <col min="23" max="24" width="7.7109375" style="37" customWidth="1"/>
    <col min="25" max="25" width="7.5703125" style="37" customWidth="1"/>
    <col min="26" max="26" width="7.7109375" style="37" customWidth="1"/>
    <col min="27" max="27" width="7.5703125" customWidth="1"/>
    <col min="28" max="28" width="8" style="37" customWidth="1"/>
    <col min="29" max="29" width="7.5703125" customWidth="1"/>
    <col min="30" max="1025" width="8.7109375" customWidth="1"/>
  </cols>
  <sheetData>
    <row r="1" spans="1:29" x14ac:dyDescent="0.25">
      <c r="A1" s="25" t="s">
        <v>58</v>
      </c>
      <c r="B1" s="27">
        <f>BF_DoD!B6/(1-(Measured!B16/100))</f>
        <v>170.502069839315</v>
      </c>
      <c r="C1" s="38"/>
      <c r="D1" s="38"/>
      <c r="E1" s="38"/>
      <c r="F1" s="38"/>
      <c r="G1" s="4" t="s">
        <v>59</v>
      </c>
      <c r="H1" s="4"/>
      <c r="I1" s="4"/>
      <c r="J1" s="4"/>
      <c r="K1" s="4"/>
      <c r="L1" s="4"/>
      <c r="M1" s="4"/>
      <c r="N1" s="4"/>
      <c r="O1" s="4"/>
      <c r="P1" s="4"/>
      <c r="Q1" s="4"/>
      <c r="S1" s="3" t="s">
        <v>60</v>
      </c>
      <c r="T1" s="3"/>
      <c r="U1" s="3"/>
      <c r="V1" s="3"/>
      <c r="W1" s="2" t="s">
        <v>61</v>
      </c>
      <c r="X1" s="2"/>
      <c r="Y1" s="2"/>
      <c r="Z1" s="2"/>
      <c r="AB1" s="39" t="s">
        <v>62</v>
      </c>
    </row>
    <row r="2" spans="1:29" s="51" customFormat="1" ht="60" x14ac:dyDescent="0.25">
      <c r="A2" s="40" t="s">
        <v>63</v>
      </c>
      <c r="B2" s="41" t="s">
        <v>64</v>
      </c>
      <c r="C2" s="42" t="s">
        <v>65</v>
      </c>
      <c r="D2" s="41" t="s">
        <v>48</v>
      </c>
      <c r="E2" s="43" t="s">
        <v>66</v>
      </c>
      <c r="F2" s="44"/>
      <c r="G2" s="45" t="s">
        <v>67</v>
      </c>
      <c r="H2" s="42" t="s">
        <v>68</v>
      </c>
      <c r="I2" s="42" t="s">
        <v>69</v>
      </c>
      <c r="J2" s="42" t="s">
        <v>70</v>
      </c>
      <c r="K2" s="42" t="s">
        <v>71</v>
      </c>
      <c r="L2" s="42" t="s">
        <v>72</v>
      </c>
      <c r="M2" s="42" t="s">
        <v>73</v>
      </c>
      <c r="N2" s="42" t="s">
        <v>74</v>
      </c>
      <c r="O2" s="42" t="s">
        <v>75</v>
      </c>
      <c r="P2" s="42" t="s">
        <v>76</v>
      </c>
      <c r="Q2" s="46" t="s">
        <v>77</v>
      </c>
      <c r="R2" s="47"/>
      <c r="S2" s="48" t="str">
        <f>VLOOKUP($A2,FoodLog!$A$1:$S$1122,12,0)</f>
        <v>Sum Fat (Cals)</v>
      </c>
      <c r="T2" s="48" t="str">
        <f>VLOOKUP($A2,FoodLog!$A$1:$S$1122,13,0)</f>
        <v>Sum Carb (Cals)</v>
      </c>
      <c r="U2" s="48" t="str">
        <f>VLOOKUP($A2,FoodLog!$A$1:$S$1122,14,0)</f>
        <v>Sum Prot (Cal)</v>
      </c>
      <c r="V2" s="48" t="str">
        <f>VLOOKUP($A2,FoodLog!$A$1:$S$1122,15,0)</f>
        <v>Sum Cals</v>
      </c>
      <c r="W2" s="48" t="str">
        <f>VLOOKUP($A2,FoodLog!$A$1:$S$1122,16,0)</f>
        <v>Remain Fat (Cals)</v>
      </c>
      <c r="X2" s="48" t="str">
        <f>VLOOKUP($A2,FoodLog!$A$1:$S$1122,17,0)</f>
        <v>Remain Carb (Cals)</v>
      </c>
      <c r="Y2" s="48" t="str">
        <f>VLOOKUP($A2,FoodLog!$A$1:$S$1122,18,0)</f>
        <v>Remain Protein (Cals)</v>
      </c>
      <c r="Z2" s="48" t="str">
        <f>VLOOKUP($A2,FoodLog!$A$1:$S$1122,19,0)</f>
        <v>Remain Total (Cals)</v>
      </c>
      <c r="AA2" s="49" t="s">
        <v>78</v>
      </c>
      <c r="AB2" s="50" t="s">
        <v>5</v>
      </c>
      <c r="AC2" s="49" t="s">
        <v>79</v>
      </c>
    </row>
    <row r="3" spans="1:29" x14ac:dyDescent="0.25">
      <c r="A3" s="52">
        <v>43031</v>
      </c>
      <c r="B3" s="53">
        <v>1</v>
      </c>
      <c r="C3" s="54">
        <f>Measured!B5</f>
        <v>193.3</v>
      </c>
      <c r="D3" s="54">
        <f>BF_DoD!B6</f>
        <v>144.92675936341774</v>
      </c>
      <c r="E3" s="55">
        <f t="shared" ref="E3:E34" si="0">C3-D3</f>
        <v>48.373240636582267</v>
      </c>
      <c r="F3" s="56"/>
      <c r="G3" s="57">
        <f>C3*TDEE!$B$5</f>
        <v>2444.0374999999995</v>
      </c>
      <c r="H3" s="54">
        <f>E3*31</f>
        <v>1499.5704597340502</v>
      </c>
      <c r="I3" s="54">
        <f>G3-H3</f>
        <v>944.46704026594921</v>
      </c>
      <c r="J3" s="58">
        <f t="shared" ref="J3:J34" si="1">H3/3500</f>
        <v>0.42844870278115721</v>
      </c>
      <c r="K3" s="54">
        <f t="shared" ref="K3:K34" si="2">N3/9</f>
        <v>44.522378922556932</v>
      </c>
      <c r="L3" s="54">
        <v>20</v>
      </c>
      <c r="M3" s="54">
        <f>Protein_Amt!$B$6</f>
        <v>115.94140749073421</v>
      </c>
      <c r="N3" s="54">
        <f t="shared" ref="N3:N34" si="3">MAX(0,I3-(O3+P3))</f>
        <v>400.70141030301238</v>
      </c>
      <c r="O3" s="54">
        <f t="shared" ref="O3:O34" si="4">4*L3</f>
        <v>80</v>
      </c>
      <c r="P3" s="54">
        <f t="shared" ref="P3:P34" si="5">4*M3</f>
        <v>463.76562996293683</v>
      </c>
      <c r="Q3" s="55">
        <f t="shared" ref="Q3:Q34" si="6">SUM(N3:P3)</f>
        <v>944.46704026594921</v>
      </c>
      <c r="S3" s="59">
        <f>VLOOKUP($A3,FoodLog!$A$1:$S$1122,12,0)</f>
        <v>465.84</v>
      </c>
      <c r="T3" s="59">
        <f>VLOOKUP($A3,FoodLog!$A$1:$S$1122,13,0)</f>
        <v>21.714285714285715</v>
      </c>
      <c r="U3" s="59">
        <f>VLOOKUP($A3,FoodLog!$A$1:$S$1122,14,0)</f>
        <v>480.49714285714288</v>
      </c>
      <c r="V3" s="59">
        <f>VLOOKUP($A3,FoodLog!$A$1:$S$1122,15,0)</f>
        <v>968.05142857142857</v>
      </c>
      <c r="W3" s="60">
        <f>-VLOOKUP($A3,FoodLog!$A$1:$S$1122,16,0)</f>
        <v>65.138589696987594</v>
      </c>
      <c r="X3" s="60">
        <f>VLOOKUP($A3,FoodLog!$A$1:$S$1122,17,0)</f>
        <v>58.285714285714285</v>
      </c>
      <c r="Y3" s="60">
        <f>-VLOOKUP($A3,FoodLog!$A$1:$S$1122,18,0)</f>
        <v>16.731512894206048</v>
      </c>
      <c r="Z3" s="60">
        <f>-VLOOKUP($A3,FoodLog!$A$1:$S$1122,19,0)</f>
        <v>23.584388305479365</v>
      </c>
      <c r="AA3" s="61">
        <f t="shared" ref="AA3:AA34" si="7">MIN($H3/3500,($G3+Z3)/3500)</f>
        <v>0.42844870278115721</v>
      </c>
      <c r="AB3" s="62">
        <f>Scale!C3</f>
        <v>192.8</v>
      </c>
      <c r="AC3" s="63">
        <f>$AB3-$B$1</f>
        <v>22.297930160685013</v>
      </c>
    </row>
    <row r="4" spans="1:29" x14ac:dyDescent="0.25">
      <c r="A4" s="64">
        <f t="shared" ref="A4:A35" si="8">A3+1</f>
        <v>43032</v>
      </c>
      <c r="B4" s="65">
        <f t="shared" ref="B4:B35" si="9">B3+1</f>
        <v>2</v>
      </c>
      <c r="C4" s="66">
        <f t="shared" ref="C4:C35" si="10">C3-AA3</f>
        <v>192.87155129721884</v>
      </c>
      <c r="D4" s="66">
        <f t="shared" ref="D4:D35" si="11">$D$3</f>
        <v>144.92675936341774</v>
      </c>
      <c r="E4" s="67">
        <f t="shared" si="0"/>
        <v>47.944791933801099</v>
      </c>
      <c r="F4" s="56"/>
      <c r="G4" s="68">
        <f>C4*TDEE!$B$5</f>
        <v>2438.6203003288997</v>
      </c>
      <c r="H4" s="66">
        <f t="shared" ref="H4:H35" si="12">$E4*31</f>
        <v>1486.2885499478341</v>
      </c>
      <c r="I4" s="66">
        <f t="shared" ref="I4:I35" si="13">$G4-$H4</f>
        <v>952.3317503810656</v>
      </c>
      <c r="J4" s="58">
        <f t="shared" si="1"/>
        <v>0.42465387141366689</v>
      </c>
      <c r="K4" s="66">
        <f t="shared" si="2"/>
        <v>45.396235602014308</v>
      </c>
      <c r="L4" s="66">
        <v>20</v>
      </c>
      <c r="M4" s="54">
        <f>Protein_Amt!$B$6</f>
        <v>115.94140749073421</v>
      </c>
      <c r="N4" s="66">
        <f t="shared" si="3"/>
        <v>408.56612041812878</v>
      </c>
      <c r="O4" s="66">
        <f t="shared" si="4"/>
        <v>80</v>
      </c>
      <c r="P4" s="66">
        <f t="shared" si="5"/>
        <v>463.76562996293683</v>
      </c>
      <c r="Q4" s="67">
        <f t="shared" si="6"/>
        <v>952.3317503810656</v>
      </c>
      <c r="S4" s="59">
        <f>VLOOKUP($A4,FoodLog!$A$1:$S$1122,12,0)</f>
        <v>363.78000000000003</v>
      </c>
      <c r="T4" s="59">
        <f>VLOOKUP($A4,FoodLog!$A$1:$S$1122,13,0)</f>
        <v>24.285714285714285</v>
      </c>
      <c r="U4" s="59">
        <f>VLOOKUP($A4,FoodLog!$A$1:$S$1122,14,0)</f>
        <v>627.5428571428572</v>
      </c>
      <c r="V4" s="59">
        <f>VLOOKUP($A4,FoodLog!$A$1:$S$1122,15,0)</f>
        <v>1015.6085714285715</v>
      </c>
      <c r="W4" s="60">
        <f>-VLOOKUP($A4,FoodLog!$A$1:$S$1122,16,0)</f>
        <v>-44.786120418128746</v>
      </c>
      <c r="X4" s="60">
        <f>VLOOKUP($A4,FoodLog!$A$1:$S$1122,17,0)</f>
        <v>55.714285714285715</v>
      </c>
      <c r="Y4" s="60">
        <f>-VLOOKUP($A4,FoodLog!$A$1:$S$1122,18,0)</f>
        <v>163.77722717992037</v>
      </c>
      <c r="Z4" s="60">
        <f>-VLOOKUP($A4,FoodLog!$A$1:$S$1122,19,0)</f>
        <v>63.276821047505905</v>
      </c>
      <c r="AA4" s="61">
        <f t="shared" si="7"/>
        <v>0.42465387141366689</v>
      </c>
      <c r="AB4" s="62">
        <f>Scale!C4</f>
        <v>191.4</v>
      </c>
      <c r="AC4" s="63"/>
    </row>
    <row r="5" spans="1:29" x14ac:dyDescent="0.25">
      <c r="A5" s="64">
        <f t="shared" si="8"/>
        <v>43033</v>
      </c>
      <c r="B5" s="65">
        <f t="shared" si="9"/>
        <v>3</v>
      </c>
      <c r="C5" s="66">
        <f t="shared" si="10"/>
        <v>192.44689742580519</v>
      </c>
      <c r="D5" s="66">
        <f t="shared" si="11"/>
        <v>144.92675936341774</v>
      </c>
      <c r="E5" s="67">
        <f t="shared" si="0"/>
        <v>47.520138062387446</v>
      </c>
      <c r="F5" s="56"/>
      <c r="G5" s="68">
        <f>C5*TDEE!$B$5</f>
        <v>2433.2510815691735</v>
      </c>
      <c r="H5" s="66">
        <f t="shared" si="12"/>
        <v>1473.1242799340107</v>
      </c>
      <c r="I5" s="66">
        <f t="shared" si="13"/>
        <v>960.12680163516279</v>
      </c>
      <c r="J5" s="58">
        <f t="shared" si="1"/>
        <v>0.42089265140971732</v>
      </c>
      <c r="K5" s="66">
        <f t="shared" si="2"/>
        <v>46.262352408025109</v>
      </c>
      <c r="L5" s="66">
        <v>20</v>
      </c>
      <c r="M5" s="54">
        <f>Protein_Amt!$B$6</f>
        <v>115.94140749073421</v>
      </c>
      <c r="N5" s="66">
        <f t="shared" si="3"/>
        <v>416.36117167222596</v>
      </c>
      <c r="O5" s="66">
        <f t="shared" si="4"/>
        <v>80</v>
      </c>
      <c r="P5" s="66">
        <f t="shared" si="5"/>
        <v>463.76562996293683</v>
      </c>
      <c r="Q5" s="67">
        <f t="shared" si="6"/>
        <v>960.12680163516279</v>
      </c>
      <c r="S5" s="59">
        <f>VLOOKUP($A5,FoodLog!$A$1:$S$1122,12,0)</f>
        <v>84.78</v>
      </c>
      <c r="T5" s="59">
        <f>VLOOKUP($A5,FoodLog!$A$1:$S$1122,13,0)</f>
        <v>0</v>
      </c>
      <c r="U5" s="59">
        <f>VLOOKUP($A5,FoodLog!$A$1:$S$1122,14,0)</f>
        <v>272.8</v>
      </c>
      <c r="V5" s="59">
        <f>VLOOKUP($A5,FoodLog!$A$1:$S$1122,15,0)</f>
        <v>357.58000000000004</v>
      </c>
      <c r="W5" s="60">
        <f>-VLOOKUP($A5,FoodLog!$A$1:$S$1122,16,0)</f>
        <v>-331.58117167222599</v>
      </c>
      <c r="X5" s="60">
        <f>VLOOKUP($A5,FoodLog!$A$1:$S$1122,17,0)</f>
        <v>80</v>
      </c>
      <c r="Y5" s="60">
        <f>-VLOOKUP($A5,FoodLog!$A$1:$S$1122,18,0)</f>
        <v>-190.96562996293682</v>
      </c>
      <c r="Z5" s="60">
        <f>-VLOOKUP($A5,FoodLog!$A$1:$S$1122,19,0)</f>
        <v>-602.54680163516275</v>
      </c>
      <c r="AA5" s="61">
        <f t="shared" si="7"/>
        <v>0.42089265140971732</v>
      </c>
      <c r="AB5" s="62">
        <f>Scale!C5</f>
        <v>192.8</v>
      </c>
      <c r="AC5" s="63"/>
    </row>
    <row r="6" spans="1:29" x14ac:dyDescent="0.25">
      <c r="A6" s="64">
        <f t="shared" si="8"/>
        <v>43034</v>
      </c>
      <c r="B6" s="65">
        <f t="shared" si="9"/>
        <v>4</v>
      </c>
      <c r="C6" s="66">
        <f t="shared" si="10"/>
        <v>192.02600477439546</v>
      </c>
      <c r="D6" s="66">
        <f t="shared" si="11"/>
        <v>144.92675936341774</v>
      </c>
      <c r="E6" s="67">
        <f t="shared" si="0"/>
        <v>47.099245410977716</v>
      </c>
      <c r="F6" s="56"/>
      <c r="G6" s="68">
        <f>C6*TDEE!$B$5</f>
        <v>2427.9294187470327</v>
      </c>
      <c r="H6" s="66">
        <f t="shared" si="12"/>
        <v>1460.0766077403091</v>
      </c>
      <c r="I6" s="66">
        <f t="shared" si="13"/>
        <v>967.85281100672364</v>
      </c>
      <c r="J6" s="58">
        <f t="shared" si="1"/>
        <v>0.41716474506865975</v>
      </c>
      <c r="K6" s="66">
        <f t="shared" si="2"/>
        <v>47.120797893754087</v>
      </c>
      <c r="L6" s="66">
        <v>20</v>
      </c>
      <c r="M6" s="54">
        <f>Protein_Amt!$B$6</f>
        <v>115.94140749073421</v>
      </c>
      <c r="N6" s="66">
        <f t="shared" si="3"/>
        <v>424.08718104378681</v>
      </c>
      <c r="O6" s="66">
        <f t="shared" si="4"/>
        <v>80</v>
      </c>
      <c r="P6" s="66">
        <f t="shared" si="5"/>
        <v>463.76562996293683</v>
      </c>
      <c r="Q6" s="67">
        <f t="shared" si="6"/>
        <v>967.85281100672364</v>
      </c>
      <c r="S6" s="59">
        <f>VLOOKUP($A6,FoodLog!$A$1:$S$1122,12,0)</f>
        <v>0</v>
      </c>
      <c r="T6" s="59">
        <f>VLOOKUP($A6,FoodLog!$A$1:$S$1122,13,0)</f>
        <v>0</v>
      </c>
      <c r="U6" s="59">
        <f>VLOOKUP($A6,FoodLog!$A$1:$S$1122,14,0)</f>
        <v>0</v>
      </c>
      <c r="V6" s="59">
        <f>VLOOKUP($A6,FoodLog!$A$1:$S$1122,15,0)</f>
        <v>0</v>
      </c>
      <c r="W6" s="60">
        <f>-VLOOKUP($A6,FoodLog!$A$1:$S$1122,16,0)</f>
        <v>-424.08718104378681</v>
      </c>
      <c r="X6" s="60">
        <f>VLOOKUP($A6,FoodLog!$A$1:$S$1122,17,0)</f>
        <v>80</v>
      </c>
      <c r="Y6" s="60">
        <f>-VLOOKUP($A6,FoodLog!$A$1:$S$1122,18,0)</f>
        <v>-463.76562996293683</v>
      </c>
      <c r="Z6" s="60">
        <f>-VLOOKUP($A6,FoodLog!$A$1:$S$1122,19,0)</f>
        <v>-967.85281100672364</v>
      </c>
      <c r="AA6" s="61">
        <f t="shared" si="7"/>
        <v>0.41716474506865975</v>
      </c>
      <c r="AB6" s="62">
        <f>Scale!C6</f>
        <v>0</v>
      </c>
      <c r="AC6" s="63"/>
    </row>
    <row r="7" spans="1:29" x14ac:dyDescent="0.25">
      <c r="A7" s="64">
        <f t="shared" si="8"/>
        <v>43035</v>
      </c>
      <c r="B7" s="65">
        <f t="shared" si="9"/>
        <v>5</v>
      </c>
      <c r="C7" s="66">
        <f t="shared" si="10"/>
        <v>191.60884002932681</v>
      </c>
      <c r="D7" s="66">
        <f t="shared" si="11"/>
        <v>144.92675936341774</v>
      </c>
      <c r="E7" s="67">
        <f t="shared" si="0"/>
        <v>46.682080665909069</v>
      </c>
      <c r="F7" s="56"/>
      <c r="G7" s="68">
        <f>C7*TDEE!$B$5</f>
        <v>2422.6548906527455</v>
      </c>
      <c r="H7" s="66">
        <f t="shared" si="12"/>
        <v>1447.1445006431811</v>
      </c>
      <c r="I7" s="66">
        <f t="shared" si="13"/>
        <v>975.51039000956439</v>
      </c>
      <c r="J7" s="58">
        <f t="shared" si="1"/>
        <v>0.41346985732662317</v>
      </c>
      <c r="K7" s="66">
        <f t="shared" si="2"/>
        <v>47.971640005180838</v>
      </c>
      <c r="L7" s="66">
        <v>20</v>
      </c>
      <c r="M7" s="54">
        <f>Protein_Amt!$B$6</f>
        <v>115.94140749073421</v>
      </c>
      <c r="N7" s="66">
        <f t="shared" si="3"/>
        <v>431.74476004662756</v>
      </c>
      <c r="O7" s="66">
        <f t="shared" si="4"/>
        <v>80</v>
      </c>
      <c r="P7" s="66">
        <f t="shared" si="5"/>
        <v>463.76562996293683</v>
      </c>
      <c r="Q7" s="67">
        <f t="shared" si="6"/>
        <v>975.51039000956439</v>
      </c>
      <c r="S7" s="59">
        <f>VLOOKUP($A7,FoodLog!$A$1:$S$1122,12,0)</f>
        <v>0</v>
      </c>
      <c r="T7" s="59">
        <f>VLOOKUP($A7,FoodLog!$A$1:$S$1122,13,0)</f>
        <v>0</v>
      </c>
      <c r="U7" s="59">
        <f>VLOOKUP($A7,FoodLog!$A$1:$S$1122,14,0)</f>
        <v>0</v>
      </c>
      <c r="V7" s="59">
        <f>VLOOKUP($A7,FoodLog!$A$1:$S$1122,15,0)</f>
        <v>0</v>
      </c>
      <c r="W7" s="60">
        <f>-VLOOKUP($A7,FoodLog!$A$1:$S$1122,16,0)</f>
        <v>-431.74476004662756</v>
      </c>
      <c r="X7" s="60">
        <f>VLOOKUP($A7,FoodLog!$A$1:$S$1122,17,0)</f>
        <v>80</v>
      </c>
      <c r="Y7" s="60">
        <f>-VLOOKUP($A7,FoodLog!$A$1:$S$1122,18,0)</f>
        <v>-463.76562996293683</v>
      </c>
      <c r="Z7" s="60">
        <f>-VLOOKUP($A7,FoodLog!$A$1:$S$1122,19,0)</f>
        <v>-975.51039000956439</v>
      </c>
      <c r="AA7" s="61">
        <f t="shared" si="7"/>
        <v>0.41346985732662317</v>
      </c>
      <c r="AB7" s="62">
        <f>Scale!C7</f>
        <v>0</v>
      </c>
      <c r="AC7" s="63"/>
    </row>
    <row r="8" spans="1:29" x14ac:dyDescent="0.25">
      <c r="A8" s="64">
        <f t="shared" si="8"/>
        <v>43036</v>
      </c>
      <c r="B8" s="65">
        <f t="shared" si="9"/>
        <v>6</v>
      </c>
      <c r="C8" s="66">
        <f t="shared" si="10"/>
        <v>191.1953701720002</v>
      </c>
      <c r="D8" s="66">
        <f t="shared" si="11"/>
        <v>144.92675936341774</v>
      </c>
      <c r="E8" s="67">
        <f t="shared" si="0"/>
        <v>46.268610808582451</v>
      </c>
      <c r="F8" s="56"/>
      <c r="G8" s="68">
        <f>C8*TDEE!$B$5</f>
        <v>2417.427079807293</v>
      </c>
      <c r="H8" s="66">
        <f t="shared" si="12"/>
        <v>1434.326935066056</v>
      </c>
      <c r="I8" s="66">
        <f t="shared" si="13"/>
        <v>983.10014474123705</v>
      </c>
      <c r="J8" s="58">
        <f t="shared" si="1"/>
        <v>0.40980769573315884</v>
      </c>
      <c r="K8" s="66">
        <f t="shared" si="2"/>
        <v>48.814946086477804</v>
      </c>
      <c r="L8" s="66">
        <v>20</v>
      </c>
      <c r="M8" s="54">
        <f>Protein_Amt!$B$6</f>
        <v>115.94140749073421</v>
      </c>
      <c r="N8" s="66">
        <f t="shared" si="3"/>
        <v>439.33451477830022</v>
      </c>
      <c r="O8" s="66">
        <f t="shared" si="4"/>
        <v>80</v>
      </c>
      <c r="P8" s="66">
        <f t="shared" si="5"/>
        <v>463.76562996293683</v>
      </c>
      <c r="Q8" s="67">
        <f t="shared" si="6"/>
        <v>983.10014474123705</v>
      </c>
      <c r="S8" s="59">
        <f>VLOOKUP($A8,FoodLog!$A$1:$S$1122,12,0)</f>
        <v>0</v>
      </c>
      <c r="T8" s="59">
        <f>VLOOKUP($A8,FoodLog!$A$1:$S$1122,13,0)</f>
        <v>0</v>
      </c>
      <c r="U8" s="59">
        <f>VLOOKUP($A8,FoodLog!$A$1:$S$1122,14,0)</f>
        <v>0</v>
      </c>
      <c r="V8" s="59">
        <f>VLOOKUP($A8,FoodLog!$A$1:$S$1122,15,0)</f>
        <v>0</v>
      </c>
      <c r="W8" s="60">
        <f>-VLOOKUP($A8,FoodLog!$A$1:$S$1122,16,0)</f>
        <v>-439.33451477830022</v>
      </c>
      <c r="X8" s="60">
        <f>VLOOKUP($A8,FoodLog!$A$1:$S$1122,17,0)</f>
        <v>80</v>
      </c>
      <c r="Y8" s="60">
        <f>-VLOOKUP($A8,FoodLog!$A$1:$S$1122,18,0)</f>
        <v>-463.76562996293683</v>
      </c>
      <c r="Z8" s="60">
        <f>-VLOOKUP($A8,FoodLog!$A$1:$S$1122,19,0)</f>
        <v>-983.10014474123705</v>
      </c>
      <c r="AA8" s="61">
        <f t="shared" si="7"/>
        <v>0.40980769573315884</v>
      </c>
      <c r="AB8" s="62">
        <f>Scale!C8</f>
        <v>0</v>
      </c>
      <c r="AC8" s="63"/>
    </row>
    <row r="9" spans="1:29" x14ac:dyDescent="0.25">
      <c r="A9" s="64">
        <f t="shared" si="8"/>
        <v>43037</v>
      </c>
      <c r="B9" s="65">
        <f t="shared" si="9"/>
        <v>7</v>
      </c>
      <c r="C9" s="66">
        <f t="shared" si="10"/>
        <v>190.78556247626705</v>
      </c>
      <c r="D9" s="66">
        <f t="shared" si="11"/>
        <v>144.92675936341774</v>
      </c>
      <c r="E9" s="67">
        <f t="shared" si="0"/>
        <v>45.858803112849301</v>
      </c>
      <c r="F9" s="56"/>
      <c r="G9" s="68">
        <f>C9*TDEE!$B$5</f>
        <v>2412.2455724293295</v>
      </c>
      <c r="H9" s="66">
        <f t="shared" si="12"/>
        <v>1421.6228964983284</v>
      </c>
      <c r="I9" s="66">
        <f t="shared" si="13"/>
        <v>990.62267593100114</v>
      </c>
      <c r="J9" s="58">
        <f t="shared" si="1"/>
        <v>0.40617797042809384</v>
      </c>
      <c r="K9" s="66">
        <f t="shared" si="2"/>
        <v>49.650782885340476</v>
      </c>
      <c r="L9" s="66">
        <v>20</v>
      </c>
      <c r="M9" s="54">
        <f>Protein_Amt!$B$6</f>
        <v>115.94140749073421</v>
      </c>
      <c r="N9" s="66">
        <f t="shared" si="3"/>
        <v>446.85704596806431</v>
      </c>
      <c r="O9" s="66">
        <f t="shared" si="4"/>
        <v>80</v>
      </c>
      <c r="P9" s="66">
        <f t="shared" si="5"/>
        <v>463.76562996293683</v>
      </c>
      <c r="Q9" s="67">
        <f t="shared" si="6"/>
        <v>990.62267593100114</v>
      </c>
      <c r="S9" s="59">
        <f>VLOOKUP($A9,FoodLog!$A$1:$S$1122,12,0)</f>
        <v>0</v>
      </c>
      <c r="T9" s="59">
        <f>VLOOKUP($A9,FoodLog!$A$1:$S$1122,13,0)</f>
        <v>0</v>
      </c>
      <c r="U9" s="59">
        <f>VLOOKUP($A9,FoodLog!$A$1:$S$1122,14,0)</f>
        <v>0</v>
      </c>
      <c r="V9" s="59">
        <f>VLOOKUP($A9,FoodLog!$A$1:$S$1122,15,0)</f>
        <v>0</v>
      </c>
      <c r="W9" s="60">
        <f>-VLOOKUP($A9,FoodLog!$A$1:$S$1122,16,0)</f>
        <v>-446.85704596806431</v>
      </c>
      <c r="X9" s="60">
        <f>VLOOKUP($A9,FoodLog!$A$1:$S$1122,17,0)</f>
        <v>80</v>
      </c>
      <c r="Y9" s="60">
        <f>-VLOOKUP($A9,FoodLog!$A$1:$S$1122,18,0)</f>
        <v>-463.76562996293683</v>
      </c>
      <c r="Z9" s="60">
        <f>-VLOOKUP($A9,FoodLog!$A$1:$S$1122,19,0)</f>
        <v>-990.62267593100114</v>
      </c>
      <c r="AA9" s="61">
        <f t="shared" si="7"/>
        <v>0.40617797042809384</v>
      </c>
      <c r="AB9" s="62">
        <f>Scale!C9</f>
        <v>0</v>
      </c>
      <c r="AC9" s="63"/>
    </row>
    <row r="10" spans="1:29" x14ac:dyDescent="0.25">
      <c r="A10" s="64">
        <f t="shared" si="8"/>
        <v>43038</v>
      </c>
      <c r="B10" s="65">
        <f t="shared" si="9"/>
        <v>8</v>
      </c>
      <c r="C10" s="66">
        <f t="shared" si="10"/>
        <v>190.37938450583894</v>
      </c>
      <c r="D10" s="66">
        <f t="shared" si="11"/>
        <v>144.92675936341774</v>
      </c>
      <c r="E10" s="67">
        <f t="shared" si="0"/>
        <v>45.452625142421198</v>
      </c>
      <c r="F10" s="56"/>
      <c r="G10" s="68">
        <f>C10*TDEE!$B$5</f>
        <v>2407.1099584024273</v>
      </c>
      <c r="H10" s="66">
        <f t="shared" si="12"/>
        <v>1409.031379415057</v>
      </c>
      <c r="I10" s="66">
        <f t="shared" si="13"/>
        <v>998.07857898737029</v>
      </c>
      <c r="J10" s="58">
        <f t="shared" si="1"/>
        <v>0.4025803941185877</v>
      </c>
      <c r="K10" s="66">
        <f t="shared" si="2"/>
        <v>50.479216558270387</v>
      </c>
      <c r="L10" s="66">
        <v>20</v>
      </c>
      <c r="M10" s="54">
        <f>Protein_Amt!$B$6</f>
        <v>115.94140749073421</v>
      </c>
      <c r="N10" s="66">
        <f t="shared" si="3"/>
        <v>454.31294902443346</v>
      </c>
      <c r="O10" s="66">
        <f t="shared" si="4"/>
        <v>80</v>
      </c>
      <c r="P10" s="66">
        <f t="shared" si="5"/>
        <v>463.76562996293683</v>
      </c>
      <c r="Q10" s="67">
        <f t="shared" si="6"/>
        <v>998.07857898737029</v>
      </c>
      <c r="S10" s="59">
        <f>VLOOKUP($A10,FoodLog!$A$1:$S$1122,12,0)</f>
        <v>0</v>
      </c>
      <c r="T10" s="59">
        <f>VLOOKUP($A10,FoodLog!$A$1:$S$1122,13,0)</f>
        <v>0</v>
      </c>
      <c r="U10" s="59">
        <f>VLOOKUP($A10,FoodLog!$A$1:$S$1122,14,0)</f>
        <v>0</v>
      </c>
      <c r="V10" s="59">
        <f>VLOOKUP($A10,FoodLog!$A$1:$S$1122,15,0)</f>
        <v>0</v>
      </c>
      <c r="W10" s="60">
        <f>-VLOOKUP($A10,FoodLog!$A$1:$S$1122,16,0)</f>
        <v>-454.31294902443346</v>
      </c>
      <c r="X10" s="60">
        <f>VLOOKUP($A10,FoodLog!$A$1:$S$1122,17,0)</f>
        <v>80</v>
      </c>
      <c r="Y10" s="60">
        <f>-VLOOKUP($A10,FoodLog!$A$1:$S$1122,18,0)</f>
        <v>-463.76562996293683</v>
      </c>
      <c r="Z10" s="60">
        <f>-VLOOKUP($A10,FoodLog!$A$1:$S$1122,19,0)</f>
        <v>-998.07857898737029</v>
      </c>
      <c r="AA10" s="61">
        <f t="shared" si="7"/>
        <v>0.4025803941185877</v>
      </c>
      <c r="AB10" s="62">
        <f>Scale!C10</f>
        <v>0</v>
      </c>
      <c r="AC10" s="63"/>
    </row>
    <row r="11" spans="1:29" x14ac:dyDescent="0.25">
      <c r="A11" s="64">
        <f t="shared" si="8"/>
        <v>43039</v>
      </c>
      <c r="B11" s="65">
        <f t="shared" si="9"/>
        <v>9</v>
      </c>
      <c r="C11" s="66">
        <f t="shared" si="10"/>
        <v>189.97680411172036</v>
      </c>
      <c r="D11" s="66">
        <f t="shared" si="11"/>
        <v>144.92675936341774</v>
      </c>
      <c r="E11" s="67">
        <f t="shared" si="0"/>
        <v>45.050044748302611</v>
      </c>
      <c r="F11" s="56"/>
      <c r="G11" s="68">
        <f>C11*TDEE!$B$5</f>
        <v>2402.0198312426205</v>
      </c>
      <c r="H11" s="66">
        <f t="shared" si="12"/>
        <v>1396.551387197381</v>
      </c>
      <c r="I11" s="66">
        <f t="shared" si="13"/>
        <v>1005.4684440452395</v>
      </c>
      <c r="J11" s="58">
        <f t="shared" si="1"/>
        <v>0.39901468205639457</v>
      </c>
      <c r="K11" s="66">
        <f t="shared" si="2"/>
        <v>51.300312675811405</v>
      </c>
      <c r="L11" s="66">
        <v>20</v>
      </c>
      <c r="M11" s="54">
        <f>Protein_Amt!$B$6</f>
        <v>115.94140749073421</v>
      </c>
      <c r="N11" s="66">
        <f t="shared" si="3"/>
        <v>461.70281408230267</v>
      </c>
      <c r="O11" s="66">
        <f t="shared" si="4"/>
        <v>80</v>
      </c>
      <c r="P11" s="66">
        <f t="shared" si="5"/>
        <v>463.76562996293683</v>
      </c>
      <c r="Q11" s="67">
        <f t="shared" si="6"/>
        <v>1005.4684440452395</v>
      </c>
      <c r="S11" s="59">
        <f>VLOOKUP($A11,FoodLog!$A$1:$S$1122,12,0)</f>
        <v>0</v>
      </c>
      <c r="T11" s="59">
        <f>VLOOKUP($A11,FoodLog!$A$1:$S$1122,13,0)</f>
        <v>0</v>
      </c>
      <c r="U11" s="59">
        <f>VLOOKUP($A11,FoodLog!$A$1:$S$1122,14,0)</f>
        <v>0</v>
      </c>
      <c r="V11" s="59">
        <f>VLOOKUP($A11,FoodLog!$A$1:$S$1122,15,0)</f>
        <v>0</v>
      </c>
      <c r="W11" s="60">
        <f>-VLOOKUP($A11,FoodLog!$A$1:$S$1122,16,0)</f>
        <v>-461.70281408230267</v>
      </c>
      <c r="X11" s="60">
        <f>VLOOKUP($A11,FoodLog!$A$1:$S$1122,17,0)</f>
        <v>80</v>
      </c>
      <c r="Y11" s="60">
        <f>-VLOOKUP($A11,FoodLog!$A$1:$S$1122,18,0)</f>
        <v>-463.76562996293683</v>
      </c>
      <c r="Z11" s="60">
        <f>-VLOOKUP($A11,FoodLog!$A$1:$S$1122,19,0)</f>
        <v>-1005.4684440452395</v>
      </c>
      <c r="AA11" s="61">
        <f t="shared" si="7"/>
        <v>0.39901468205639457</v>
      </c>
      <c r="AB11" s="62">
        <f>Scale!C11</f>
        <v>0</v>
      </c>
      <c r="AC11" s="63"/>
    </row>
    <row r="12" spans="1:29" x14ac:dyDescent="0.25">
      <c r="A12" s="64">
        <f t="shared" si="8"/>
        <v>43040</v>
      </c>
      <c r="B12" s="65">
        <f t="shared" si="9"/>
        <v>10</v>
      </c>
      <c r="C12" s="66">
        <f t="shared" si="10"/>
        <v>189.57778942966397</v>
      </c>
      <c r="D12" s="66">
        <f t="shared" si="11"/>
        <v>144.92675936341774</v>
      </c>
      <c r="E12" s="67">
        <f t="shared" si="0"/>
        <v>44.651030066246221</v>
      </c>
      <c r="F12" s="56"/>
      <c r="G12" s="68">
        <f>C12*TDEE!$B$5</f>
        <v>2396.9747880662298</v>
      </c>
      <c r="H12" s="66">
        <f t="shared" si="12"/>
        <v>1384.1819320536329</v>
      </c>
      <c r="I12" s="66">
        <f t="shared" si="13"/>
        <v>1012.792856012597</v>
      </c>
      <c r="J12" s="58">
        <f t="shared" si="1"/>
        <v>0.39548055201532367</v>
      </c>
      <c r="K12" s="66">
        <f t="shared" si="2"/>
        <v>52.114136227740019</v>
      </c>
      <c r="L12" s="66">
        <v>20</v>
      </c>
      <c r="M12" s="54">
        <f>Protein_Amt!$B$6</f>
        <v>115.94140749073421</v>
      </c>
      <c r="N12" s="66">
        <f t="shared" si="3"/>
        <v>469.02722604966016</v>
      </c>
      <c r="O12" s="66">
        <f t="shared" si="4"/>
        <v>80</v>
      </c>
      <c r="P12" s="66">
        <f t="shared" si="5"/>
        <v>463.76562996293683</v>
      </c>
      <c r="Q12" s="67">
        <f t="shared" si="6"/>
        <v>1012.792856012597</v>
      </c>
      <c r="S12" s="59">
        <f>VLOOKUP($A12,FoodLog!$A$1:$S$1122,12,0)</f>
        <v>0</v>
      </c>
      <c r="T12" s="59">
        <f>VLOOKUP($A12,FoodLog!$A$1:$S$1122,13,0)</f>
        <v>0</v>
      </c>
      <c r="U12" s="59">
        <f>VLOOKUP($A12,FoodLog!$A$1:$S$1122,14,0)</f>
        <v>0</v>
      </c>
      <c r="V12" s="59">
        <f>VLOOKUP($A12,FoodLog!$A$1:$S$1122,15,0)</f>
        <v>0</v>
      </c>
      <c r="W12" s="60">
        <f>-VLOOKUP($A12,FoodLog!$A$1:$S$1122,16,0)</f>
        <v>-469.02722604966016</v>
      </c>
      <c r="X12" s="60">
        <f>VLOOKUP($A12,FoodLog!$A$1:$S$1122,17,0)</f>
        <v>80</v>
      </c>
      <c r="Y12" s="60">
        <f>-VLOOKUP($A12,FoodLog!$A$1:$S$1122,18,0)</f>
        <v>-463.76562996293683</v>
      </c>
      <c r="Z12" s="60">
        <f>-VLOOKUP($A12,FoodLog!$A$1:$S$1122,19,0)</f>
        <v>-1012.792856012597</v>
      </c>
      <c r="AA12" s="61">
        <f t="shared" si="7"/>
        <v>0.39548055201532367</v>
      </c>
      <c r="AB12" s="62">
        <f>Scale!C12</f>
        <v>0</v>
      </c>
      <c r="AC12" s="63"/>
    </row>
    <row r="13" spans="1:29" x14ac:dyDescent="0.25">
      <c r="A13" s="64">
        <f t="shared" si="8"/>
        <v>43041</v>
      </c>
      <c r="B13" s="65">
        <f t="shared" si="9"/>
        <v>11</v>
      </c>
      <c r="C13" s="66">
        <f t="shared" si="10"/>
        <v>189.18230887764864</v>
      </c>
      <c r="D13" s="66">
        <f t="shared" si="11"/>
        <v>144.92675936341774</v>
      </c>
      <c r="E13" s="67">
        <f t="shared" si="0"/>
        <v>44.255549514230893</v>
      </c>
      <c r="F13" s="56"/>
      <c r="G13" s="68">
        <f>C13*TDEE!$B$5</f>
        <v>2391.9744295579721</v>
      </c>
      <c r="H13" s="66">
        <f t="shared" si="12"/>
        <v>1371.9220349411576</v>
      </c>
      <c r="I13" s="66">
        <f t="shared" si="13"/>
        <v>1020.0523946168146</v>
      </c>
      <c r="J13" s="58">
        <f t="shared" si="1"/>
        <v>0.39197772426890215</v>
      </c>
      <c r="K13" s="66">
        <f t="shared" si="2"/>
        <v>52.920751628208642</v>
      </c>
      <c r="L13" s="66">
        <v>20</v>
      </c>
      <c r="M13" s="54">
        <f>Protein_Amt!$B$6</f>
        <v>115.94140749073421</v>
      </c>
      <c r="N13" s="66">
        <f t="shared" si="3"/>
        <v>476.28676465387775</v>
      </c>
      <c r="O13" s="66">
        <f t="shared" si="4"/>
        <v>80</v>
      </c>
      <c r="P13" s="66">
        <f t="shared" si="5"/>
        <v>463.76562996293683</v>
      </c>
      <c r="Q13" s="67">
        <f t="shared" si="6"/>
        <v>1020.0523946168146</v>
      </c>
      <c r="S13" s="59">
        <f>VLOOKUP($A13,FoodLog!$A$1:$S$1122,12,0)</f>
        <v>0</v>
      </c>
      <c r="T13" s="59">
        <f>VLOOKUP($A13,FoodLog!$A$1:$S$1122,13,0)</f>
        <v>0</v>
      </c>
      <c r="U13" s="59">
        <f>VLOOKUP($A13,FoodLog!$A$1:$S$1122,14,0)</f>
        <v>0</v>
      </c>
      <c r="V13" s="59">
        <f>VLOOKUP($A13,FoodLog!$A$1:$S$1122,15,0)</f>
        <v>0</v>
      </c>
      <c r="W13" s="60">
        <f>-VLOOKUP($A13,FoodLog!$A$1:$S$1122,16,0)</f>
        <v>-476.28676465387775</v>
      </c>
      <c r="X13" s="60">
        <f>VLOOKUP($A13,FoodLog!$A$1:$S$1122,17,0)</f>
        <v>80</v>
      </c>
      <c r="Y13" s="60">
        <f>-VLOOKUP($A13,FoodLog!$A$1:$S$1122,18,0)</f>
        <v>-463.76562996293683</v>
      </c>
      <c r="Z13" s="60">
        <f>-VLOOKUP($A13,FoodLog!$A$1:$S$1122,19,0)</f>
        <v>-1020.0523946168146</v>
      </c>
      <c r="AA13" s="61">
        <f t="shared" si="7"/>
        <v>0.39197772426890215</v>
      </c>
      <c r="AB13" s="62">
        <f>Scale!C13</f>
        <v>0</v>
      </c>
      <c r="AC13" s="63"/>
    </row>
    <row r="14" spans="1:29" x14ac:dyDescent="0.25">
      <c r="A14" s="64">
        <f t="shared" si="8"/>
        <v>43042</v>
      </c>
      <c r="B14" s="65">
        <f t="shared" si="9"/>
        <v>12</v>
      </c>
      <c r="C14" s="66">
        <f t="shared" si="10"/>
        <v>188.79033115337973</v>
      </c>
      <c r="D14" s="66">
        <f t="shared" si="11"/>
        <v>144.92675936341774</v>
      </c>
      <c r="E14" s="67">
        <f t="shared" si="0"/>
        <v>43.863571789961981</v>
      </c>
      <c r="F14" s="56"/>
      <c r="G14" s="68">
        <f>C14*TDEE!$B$5</f>
        <v>2387.0183599393595</v>
      </c>
      <c r="H14" s="66">
        <f t="shared" si="12"/>
        <v>1359.7707254888214</v>
      </c>
      <c r="I14" s="66">
        <f t="shared" si="13"/>
        <v>1027.247634450538</v>
      </c>
      <c r="J14" s="58">
        <f t="shared" si="1"/>
        <v>0.38850592156823471</v>
      </c>
      <c r="K14" s="66">
        <f t="shared" si="2"/>
        <v>53.720222720844582</v>
      </c>
      <c r="L14" s="66">
        <v>20</v>
      </c>
      <c r="M14" s="54">
        <f>Protein_Amt!$B$6</f>
        <v>115.94140749073421</v>
      </c>
      <c r="N14" s="66">
        <f t="shared" si="3"/>
        <v>483.48200448760122</v>
      </c>
      <c r="O14" s="66">
        <f t="shared" si="4"/>
        <v>80</v>
      </c>
      <c r="P14" s="66">
        <f t="shared" si="5"/>
        <v>463.76562996293683</v>
      </c>
      <c r="Q14" s="67">
        <f t="shared" si="6"/>
        <v>1027.247634450538</v>
      </c>
      <c r="S14" s="59">
        <f>VLOOKUP($A14,FoodLog!$A$1:$S$1122,12,0)</f>
        <v>0</v>
      </c>
      <c r="T14" s="59">
        <f>VLOOKUP($A14,FoodLog!$A$1:$S$1122,13,0)</f>
        <v>0</v>
      </c>
      <c r="U14" s="59">
        <f>VLOOKUP($A14,FoodLog!$A$1:$S$1122,14,0)</f>
        <v>0</v>
      </c>
      <c r="V14" s="59">
        <f>VLOOKUP($A14,FoodLog!$A$1:$S$1122,15,0)</f>
        <v>0</v>
      </c>
      <c r="W14" s="60">
        <f>-VLOOKUP($A14,FoodLog!$A$1:$S$1122,16,0)</f>
        <v>-483.48200448760122</v>
      </c>
      <c r="X14" s="60">
        <f>VLOOKUP($A14,FoodLog!$A$1:$S$1122,17,0)</f>
        <v>80</v>
      </c>
      <c r="Y14" s="60">
        <f>-VLOOKUP($A14,FoodLog!$A$1:$S$1122,18,0)</f>
        <v>-463.76562996293683</v>
      </c>
      <c r="Z14" s="60">
        <f>-VLOOKUP($A14,FoodLog!$A$1:$S$1122,19,0)</f>
        <v>-1027.247634450538</v>
      </c>
      <c r="AA14" s="61">
        <f t="shared" si="7"/>
        <v>0.38850592156823471</v>
      </c>
      <c r="AB14" s="62">
        <f>Scale!C14</f>
        <v>0</v>
      </c>
      <c r="AC14" s="63"/>
    </row>
    <row r="15" spans="1:29" x14ac:dyDescent="0.25">
      <c r="A15" s="64">
        <f t="shared" si="8"/>
        <v>43043</v>
      </c>
      <c r="B15" s="65">
        <f t="shared" si="9"/>
        <v>13</v>
      </c>
      <c r="C15" s="66">
        <f t="shared" si="10"/>
        <v>188.4018252318115</v>
      </c>
      <c r="D15" s="66">
        <f t="shared" si="11"/>
        <v>144.92675936341774</v>
      </c>
      <c r="E15" s="67">
        <f t="shared" si="0"/>
        <v>43.475065868393756</v>
      </c>
      <c r="F15" s="56"/>
      <c r="G15" s="68">
        <f>C15*TDEE!$B$5</f>
        <v>2382.1061869373684</v>
      </c>
      <c r="H15" s="66">
        <f t="shared" si="12"/>
        <v>1347.7270419202064</v>
      </c>
      <c r="I15" s="66">
        <f t="shared" si="13"/>
        <v>1034.379145017162</v>
      </c>
      <c r="J15" s="58">
        <f t="shared" si="1"/>
        <v>0.38506486912005894</v>
      </c>
      <c r="K15" s="66">
        <f t="shared" si="2"/>
        <v>54.512612783802801</v>
      </c>
      <c r="L15" s="66">
        <v>20</v>
      </c>
      <c r="M15" s="54">
        <f>Protein_Amt!$B$6</f>
        <v>115.94140749073421</v>
      </c>
      <c r="N15" s="66">
        <f t="shared" si="3"/>
        <v>490.61351505422522</v>
      </c>
      <c r="O15" s="66">
        <f t="shared" si="4"/>
        <v>80</v>
      </c>
      <c r="P15" s="66">
        <f t="shared" si="5"/>
        <v>463.76562996293683</v>
      </c>
      <c r="Q15" s="67">
        <f t="shared" si="6"/>
        <v>1034.379145017162</v>
      </c>
      <c r="S15" s="63">
        <f>VLOOKUP($A15,FoodLog!$A$1:$Z$9562,12,0)</f>
        <v>0</v>
      </c>
      <c r="T15" s="63">
        <f>VLOOKUP($A15,FoodLog!$A$1:$Z$9562,13,0)</f>
        <v>0</v>
      </c>
      <c r="U15" s="63">
        <f>VLOOKUP($A15,FoodLog!$A$1:$Z$9562,14,0)</f>
        <v>0</v>
      </c>
      <c r="V15" s="63">
        <f>VLOOKUP($A15,FoodLog!$A$1:$Z$9562,15,0)</f>
        <v>0</v>
      </c>
      <c r="W15" s="60">
        <f>-VLOOKUP($A15,FoodLog!$A$1:$S$1122,16,0)</f>
        <v>-490.61351505422522</v>
      </c>
      <c r="X15" s="60">
        <f>VLOOKUP($A15,FoodLog!$A$1:$S$1122,17,0)</f>
        <v>80</v>
      </c>
      <c r="Y15" s="60">
        <f>-VLOOKUP($A15,FoodLog!$A$1:$S$1122,18,0)</f>
        <v>-463.76562996293683</v>
      </c>
      <c r="Z15" s="60">
        <f>-VLOOKUP($A15,FoodLog!$A$1:$S$1122,19,0)</f>
        <v>-1034.379145017162</v>
      </c>
      <c r="AA15" s="61">
        <f t="shared" si="7"/>
        <v>0.38506486912005894</v>
      </c>
      <c r="AB15" s="63">
        <f>Scale!C15</f>
        <v>0</v>
      </c>
      <c r="AC15" s="63"/>
    </row>
    <row r="16" spans="1:29" x14ac:dyDescent="0.25">
      <c r="A16" s="64">
        <f t="shared" si="8"/>
        <v>43044</v>
      </c>
      <c r="B16" s="65">
        <f t="shared" si="9"/>
        <v>14</v>
      </c>
      <c r="C16" s="66">
        <f t="shared" si="10"/>
        <v>188.01676036269143</v>
      </c>
      <c r="D16" s="66">
        <f t="shared" si="11"/>
        <v>144.92675936341774</v>
      </c>
      <c r="E16" s="67">
        <f t="shared" si="0"/>
        <v>43.090000999273684</v>
      </c>
      <c r="F16" s="56"/>
      <c r="G16" s="68">
        <f>C16*TDEE!$B$5</f>
        <v>2377.2375217533954</v>
      </c>
      <c r="H16" s="66">
        <f t="shared" si="12"/>
        <v>1335.7900309774841</v>
      </c>
      <c r="I16" s="66">
        <f t="shared" si="13"/>
        <v>1041.4474907759113</v>
      </c>
      <c r="J16" s="58">
        <f t="shared" si="1"/>
        <v>0.38165429456499544</v>
      </c>
      <c r="K16" s="66">
        <f t="shared" si="2"/>
        <v>55.29798453477494</v>
      </c>
      <c r="L16" s="66">
        <v>20</v>
      </c>
      <c r="M16" s="54">
        <f>Protein_Amt!$B$6</f>
        <v>115.94140749073421</v>
      </c>
      <c r="N16" s="66">
        <f t="shared" si="3"/>
        <v>497.68186081297449</v>
      </c>
      <c r="O16" s="66">
        <f t="shared" si="4"/>
        <v>80</v>
      </c>
      <c r="P16" s="66">
        <f t="shared" si="5"/>
        <v>463.76562996293683</v>
      </c>
      <c r="Q16" s="67">
        <f t="shared" si="6"/>
        <v>1041.4474907759113</v>
      </c>
      <c r="S16" s="63">
        <f>VLOOKUP($A16,FoodLog!$A$1:$Z$9562,12,0)</f>
        <v>0</v>
      </c>
      <c r="T16" s="63">
        <f>VLOOKUP($A16,FoodLog!$A$1:$Z$9562,13,0)</f>
        <v>0</v>
      </c>
      <c r="U16" s="63">
        <f>VLOOKUP($A16,FoodLog!$A$1:$Z$9562,14,0)</f>
        <v>0</v>
      </c>
      <c r="V16" s="63">
        <f>VLOOKUP($A16,FoodLog!$A$1:$Z$9562,15,0)</f>
        <v>0</v>
      </c>
      <c r="W16" s="60">
        <f>-VLOOKUP($A16,FoodLog!$A$1:$S$1122,16,0)</f>
        <v>-497.68186081297449</v>
      </c>
      <c r="X16" s="60">
        <f>VLOOKUP($A16,FoodLog!$A$1:$S$1122,17,0)</f>
        <v>80</v>
      </c>
      <c r="Y16" s="60">
        <f>-VLOOKUP($A16,FoodLog!$A$1:$S$1122,18,0)</f>
        <v>-463.76562996293683</v>
      </c>
      <c r="Z16" s="60">
        <f>-VLOOKUP($A16,FoodLog!$A$1:$S$1122,19,0)</f>
        <v>-1041.4474907759113</v>
      </c>
      <c r="AA16" s="61">
        <f t="shared" si="7"/>
        <v>0.38165429456499544</v>
      </c>
      <c r="AB16" s="63">
        <f>Scale!C16</f>
        <v>0</v>
      </c>
      <c r="AC16" s="63"/>
    </row>
    <row r="17" spans="1:29" x14ac:dyDescent="0.25">
      <c r="A17" s="64">
        <f t="shared" si="8"/>
        <v>43045</v>
      </c>
      <c r="B17" s="65">
        <f t="shared" si="9"/>
        <v>15</v>
      </c>
      <c r="C17" s="66">
        <f t="shared" si="10"/>
        <v>187.63510606812645</v>
      </c>
      <c r="D17" s="66">
        <f t="shared" si="11"/>
        <v>144.92675936341774</v>
      </c>
      <c r="E17" s="67">
        <f t="shared" si="0"/>
        <v>42.708346704708703</v>
      </c>
      <c r="F17" s="56"/>
      <c r="G17" s="68">
        <f>C17*TDEE!$B$5</f>
        <v>2372.4119790324803</v>
      </c>
      <c r="H17" s="66">
        <f t="shared" si="12"/>
        <v>1323.9587478459698</v>
      </c>
      <c r="I17" s="66">
        <f t="shared" si="13"/>
        <v>1048.4532311865105</v>
      </c>
      <c r="J17" s="58">
        <f t="shared" si="1"/>
        <v>0.37827392795599135</v>
      </c>
      <c r="K17" s="66">
        <f t="shared" si="2"/>
        <v>56.076400135952632</v>
      </c>
      <c r="L17" s="66">
        <v>20</v>
      </c>
      <c r="M17" s="54">
        <f>Protein_Amt!$B$6</f>
        <v>115.94140749073421</v>
      </c>
      <c r="N17" s="66">
        <f t="shared" si="3"/>
        <v>504.68760122357367</v>
      </c>
      <c r="O17" s="66">
        <f t="shared" si="4"/>
        <v>80</v>
      </c>
      <c r="P17" s="66">
        <f t="shared" si="5"/>
        <v>463.76562996293683</v>
      </c>
      <c r="Q17" s="67">
        <f t="shared" si="6"/>
        <v>1048.4532311865105</v>
      </c>
      <c r="S17" s="63">
        <f>VLOOKUP($A17,FoodLog!$A$1:$Z$9562,12,0)</f>
        <v>0</v>
      </c>
      <c r="T17" s="63">
        <f>VLOOKUP($A17,FoodLog!$A$1:$Z$9562,13,0)</f>
        <v>0</v>
      </c>
      <c r="U17" s="63">
        <f>VLOOKUP($A17,FoodLog!$A$1:$Z$9562,14,0)</f>
        <v>0</v>
      </c>
      <c r="V17" s="63">
        <f>VLOOKUP($A17,FoodLog!$A$1:$Z$9562,15,0)</f>
        <v>0</v>
      </c>
      <c r="W17" s="60">
        <f>-VLOOKUP($A17,FoodLog!$A$1:$S$1122,16,0)</f>
        <v>-504.68760122357367</v>
      </c>
      <c r="X17" s="60">
        <f>VLOOKUP($A17,FoodLog!$A$1:$S$1122,17,0)</f>
        <v>80</v>
      </c>
      <c r="Y17" s="60">
        <f>-VLOOKUP($A17,FoodLog!$A$1:$S$1122,18,0)</f>
        <v>-463.76562996293683</v>
      </c>
      <c r="Z17" s="60">
        <f>-VLOOKUP($A17,FoodLog!$A$1:$S$1122,19,0)</f>
        <v>-1048.4532311865105</v>
      </c>
      <c r="AA17" s="61">
        <f t="shared" si="7"/>
        <v>0.37827392795599135</v>
      </c>
      <c r="AB17" s="63">
        <f>Scale!C17</f>
        <v>0</v>
      </c>
      <c r="AC17" s="63"/>
    </row>
    <row r="18" spans="1:29" x14ac:dyDescent="0.25">
      <c r="A18" s="64">
        <f t="shared" si="8"/>
        <v>43046</v>
      </c>
      <c r="B18" s="65">
        <f t="shared" si="9"/>
        <v>16</v>
      </c>
      <c r="C18" s="66">
        <f t="shared" si="10"/>
        <v>187.25683214017045</v>
      </c>
      <c r="D18" s="66">
        <f t="shared" si="11"/>
        <v>144.92675936341774</v>
      </c>
      <c r="E18" s="67">
        <f t="shared" si="0"/>
        <v>42.330072776752701</v>
      </c>
      <c r="F18" s="56"/>
      <c r="G18" s="68">
        <f>C18*TDEE!$B$5</f>
        <v>2367.6291768328074</v>
      </c>
      <c r="H18" s="66">
        <f t="shared" si="12"/>
        <v>1312.2322560793336</v>
      </c>
      <c r="I18" s="66">
        <f t="shared" si="13"/>
        <v>1055.3969207534738</v>
      </c>
      <c r="J18" s="58">
        <f t="shared" si="1"/>
        <v>0.37492350173695249</v>
      </c>
      <c r="K18" s="66">
        <f t="shared" si="2"/>
        <v>56.847921198948548</v>
      </c>
      <c r="L18" s="66">
        <v>20</v>
      </c>
      <c r="M18" s="54">
        <f>Protein_Amt!$B$6</f>
        <v>115.94140749073421</v>
      </c>
      <c r="N18" s="66">
        <f t="shared" si="3"/>
        <v>511.63129079053692</v>
      </c>
      <c r="O18" s="66">
        <f t="shared" si="4"/>
        <v>80</v>
      </c>
      <c r="P18" s="66">
        <f t="shared" si="5"/>
        <v>463.76562996293683</v>
      </c>
      <c r="Q18" s="67">
        <f t="shared" si="6"/>
        <v>1055.3969207534738</v>
      </c>
      <c r="S18" s="63">
        <f>VLOOKUP($A18,FoodLog!$A$1:$Z$9562,12,0)</f>
        <v>0</v>
      </c>
      <c r="T18" s="63">
        <f>VLOOKUP($A18,FoodLog!$A$1:$Z$9562,13,0)</f>
        <v>0</v>
      </c>
      <c r="U18" s="63">
        <f>VLOOKUP($A18,FoodLog!$A$1:$Z$9562,14,0)</f>
        <v>0</v>
      </c>
      <c r="V18" s="63">
        <f>VLOOKUP($A18,FoodLog!$A$1:$Z$9562,15,0)</f>
        <v>0</v>
      </c>
      <c r="W18" s="60">
        <f>-VLOOKUP($A18,FoodLog!$A$1:$S$1122,16,0)</f>
        <v>-511.63129079053692</v>
      </c>
      <c r="X18" s="60">
        <f>VLOOKUP($A18,FoodLog!$A$1:$S$1122,17,0)</f>
        <v>80</v>
      </c>
      <c r="Y18" s="60">
        <f>-VLOOKUP($A18,FoodLog!$A$1:$S$1122,18,0)</f>
        <v>-463.76562996293683</v>
      </c>
      <c r="Z18" s="60">
        <f>-VLOOKUP($A18,FoodLog!$A$1:$S$1122,19,0)</f>
        <v>-1055.3969207534738</v>
      </c>
      <c r="AA18" s="61">
        <f t="shared" si="7"/>
        <v>0.37492350173695249</v>
      </c>
      <c r="AB18" s="62">
        <f>Scale!C18</f>
        <v>0</v>
      </c>
      <c r="AC18" s="63"/>
    </row>
    <row r="19" spans="1:29" x14ac:dyDescent="0.25">
      <c r="A19" s="64">
        <f t="shared" si="8"/>
        <v>43047</v>
      </c>
      <c r="B19" s="65">
        <f t="shared" si="9"/>
        <v>17</v>
      </c>
      <c r="C19" s="66">
        <f t="shared" si="10"/>
        <v>186.88190863843349</v>
      </c>
      <c r="D19" s="66">
        <f t="shared" si="11"/>
        <v>144.92675936341774</v>
      </c>
      <c r="E19" s="67">
        <f t="shared" si="0"/>
        <v>41.955149275015742</v>
      </c>
      <c r="F19" s="56"/>
      <c r="G19" s="68">
        <f>C19*TDEE!$B$5</f>
        <v>2362.8887365954747</v>
      </c>
      <c r="H19" s="66">
        <f t="shared" si="12"/>
        <v>1300.6096275254881</v>
      </c>
      <c r="I19" s="66">
        <f t="shared" si="13"/>
        <v>1062.2791090699866</v>
      </c>
      <c r="J19" s="58">
        <f t="shared" si="1"/>
        <v>0.37160275072156801</v>
      </c>
      <c r="K19" s="66">
        <f t="shared" si="2"/>
        <v>57.612608789672194</v>
      </c>
      <c r="L19" s="66">
        <v>20</v>
      </c>
      <c r="M19" s="54">
        <f>Protein_Amt!$B$6</f>
        <v>115.94140749073421</v>
      </c>
      <c r="N19" s="66">
        <f t="shared" si="3"/>
        <v>518.51347910704976</v>
      </c>
      <c r="O19" s="66">
        <f t="shared" si="4"/>
        <v>80</v>
      </c>
      <c r="P19" s="66">
        <f t="shared" si="5"/>
        <v>463.76562996293683</v>
      </c>
      <c r="Q19" s="67">
        <f t="shared" si="6"/>
        <v>1062.2791090699866</v>
      </c>
      <c r="S19" s="63">
        <f>VLOOKUP($A19,FoodLog!$A$1:$Z$9562,12,0)</f>
        <v>0</v>
      </c>
      <c r="T19" s="63">
        <f>VLOOKUP($A19,FoodLog!$A$1:$Z$9562,13,0)</f>
        <v>0</v>
      </c>
      <c r="U19" s="63">
        <f>VLOOKUP($A19,FoodLog!$A$1:$Z$9562,14,0)</f>
        <v>0</v>
      </c>
      <c r="V19" s="63">
        <f>VLOOKUP($A19,FoodLog!$A$1:$Z$9562,15,0)</f>
        <v>0</v>
      </c>
      <c r="W19" s="60">
        <f>-VLOOKUP($A19,FoodLog!$A$1:$S$1122,16,0)</f>
        <v>-518.51347910704976</v>
      </c>
      <c r="X19" s="60">
        <f>VLOOKUP($A19,FoodLog!$A$1:$S$1122,17,0)</f>
        <v>80</v>
      </c>
      <c r="Y19" s="60">
        <f>-VLOOKUP($A19,FoodLog!$A$1:$S$1122,18,0)</f>
        <v>-463.76562996293683</v>
      </c>
      <c r="Z19" s="60">
        <f>-VLOOKUP($A19,FoodLog!$A$1:$S$1122,19,0)</f>
        <v>-1062.2791090699866</v>
      </c>
      <c r="AA19" s="61">
        <f t="shared" si="7"/>
        <v>0.37160275072156801</v>
      </c>
      <c r="AB19" s="62">
        <f>Scale!C19</f>
        <v>0</v>
      </c>
      <c r="AC19" s="63"/>
    </row>
    <row r="20" spans="1:29" x14ac:dyDescent="0.25">
      <c r="A20" s="64">
        <f t="shared" si="8"/>
        <v>43048</v>
      </c>
      <c r="B20" s="65">
        <f t="shared" si="9"/>
        <v>18</v>
      </c>
      <c r="C20" s="66">
        <f t="shared" si="10"/>
        <v>186.51030588771192</v>
      </c>
      <c r="D20" s="66">
        <f t="shared" si="11"/>
        <v>144.92675936341774</v>
      </c>
      <c r="E20" s="67">
        <f t="shared" si="0"/>
        <v>41.583546524294178</v>
      </c>
      <c r="F20" s="56"/>
      <c r="G20" s="68">
        <f>C20*TDEE!$B$5</f>
        <v>2358.1902831145298</v>
      </c>
      <c r="H20" s="66">
        <f t="shared" si="12"/>
        <v>1289.0899422531195</v>
      </c>
      <c r="I20" s="66">
        <f t="shared" si="13"/>
        <v>1069.1003408614104</v>
      </c>
      <c r="J20" s="58">
        <f t="shared" si="1"/>
        <v>0.36831141207231988</v>
      </c>
      <c r="K20" s="66">
        <f t="shared" si="2"/>
        <v>58.370523433163726</v>
      </c>
      <c r="L20" s="66">
        <v>20</v>
      </c>
      <c r="M20" s="54">
        <f>Protein_Amt!$B$6</f>
        <v>115.94140749073421</v>
      </c>
      <c r="N20" s="66">
        <f t="shared" si="3"/>
        <v>525.33471089847353</v>
      </c>
      <c r="O20" s="66">
        <f t="shared" si="4"/>
        <v>80</v>
      </c>
      <c r="P20" s="66">
        <f t="shared" si="5"/>
        <v>463.76562996293683</v>
      </c>
      <c r="Q20" s="67">
        <f t="shared" si="6"/>
        <v>1069.1003408614104</v>
      </c>
      <c r="S20" s="63">
        <f>VLOOKUP($A20,FoodLog!$A$1:$Z$9562,12,0)</f>
        <v>0</v>
      </c>
      <c r="T20" s="63">
        <f>VLOOKUP($A20,FoodLog!$A$1:$Z$9562,13,0)</f>
        <v>0</v>
      </c>
      <c r="U20" s="63">
        <f>VLOOKUP($A20,FoodLog!$A$1:$Z$9562,14,0)</f>
        <v>0</v>
      </c>
      <c r="V20" s="63">
        <f>VLOOKUP($A20,FoodLog!$A$1:$Z$9562,15,0)</f>
        <v>0</v>
      </c>
      <c r="W20" s="60">
        <f>-VLOOKUP($A20,FoodLog!$A$1:$S$1122,16,0)</f>
        <v>-525.33471089847353</v>
      </c>
      <c r="X20" s="60">
        <f>VLOOKUP($A20,FoodLog!$A$1:$S$1122,17,0)</f>
        <v>80</v>
      </c>
      <c r="Y20" s="60">
        <f>-VLOOKUP($A20,FoodLog!$A$1:$S$1122,18,0)</f>
        <v>-463.76562996293683</v>
      </c>
      <c r="Z20" s="60">
        <f>-VLOOKUP($A20,FoodLog!$A$1:$S$1122,19,0)</f>
        <v>-1069.1003408614104</v>
      </c>
      <c r="AA20" s="61">
        <f t="shared" si="7"/>
        <v>0.36831141207231988</v>
      </c>
      <c r="AB20" s="62">
        <f>Scale!C20</f>
        <v>0</v>
      </c>
      <c r="AC20" s="63"/>
    </row>
    <row r="21" spans="1:29" x14ac:dyDescent="0.25">
      <c r="A21" s="64">
        <f t="shared" si="8"/>
        <v>43049</v>
      </c>
      <c r="B21" s="65">
        <f t="shared" si="9"/>
        <v>19</v>
      </c>
      <c r="C21" s="66">
        <f t="shared" si="10"/>
        <v>186.14199447563959</v>
      </c>
      <c r="D21" s="66">
        <f t="shared" si="11"/>
        <v>144.92675936341774</v>
      </c>
      <c r="E21" s="67">
        <f t="shared" si="0"/>
        <v>41.215235112221848</v>
      </c>
      <c r="F21" s="56"/>
      <c r="G21" s="68">
        <f>C21*TDEE!$B$5</f>
        <v>2353.5334445072731</v>
      </c>
      <c r="H21" s="66">
        <f t="shared" si="12"/>
        <v>1277.6722884788774</v>
      </c>
      <c r="I21" s="66">
        <f t="shared" si="13"/>
        <v>1075.8611560283957</v>
      </c>
      <c r="J21" s="58">
        <f t="shared" si="1"/>
        <v>0.36504922527967926</v>
      </c>
      <c r="K21" s="66">
        <f t="shared" si="2"/>
        <v>59.121725118384319</v>
      </c>
      <c r="L21" s="66">
        <v>20</v>
      </c>
      <c r="M21" s="54">
        <f>Protein_Amt!$B$6</f>
        <v>115.94140749073421</v>
      </c>
      <c r="N21" s="66">
        <f t="shared" si="3"/>
        <v>532.0955260654589</v>
      </c>
      <c r="O21" s="66">
        <f t="shared" si="4"/>
        <v>80</v>
      </c>
      <c r="P21" s="66">
        <f t="shared" si="5"/>
        <v>463.76562996293683</v>
      </c>
      <c r="Q21" s="67">
        <f t="shared" si="6"/>
        <v>1075.8611560283957</v>
      </c>
      <c r="S21" s="63">
        <f>VLOOKUP($A21,FoodLog!$A$1:$Z$9562,12,0)</f>
        <v>0</v>
      </c>
      <c r="T21" s="63">
        <f>VLOOKUP($A21,FoodLog!$A$1:$Z$9562,13,0)</f>
        <v>0</v>
      </c>
      <c r="U21" s="63">
        <f>VLOOKUP($A21,FoodLog!$A$1:$Z$9562,14,0)</f>
        <v>0</v>
      </c>
      <c r="V21" s="63">
        <f>VLOOKUP($A21,FoodLog!$A$1:$Z$9562,15,0)</f>
        <v>0</v>
      </c>
      <c r="W21" s="60">
        <f>-VLOOKUP($A21,FoodLog!$A$1:$S$1122,16,0)</f>
        <v>-532.0955260654589</v>
      </c>
      <c r="X21" s="60">
        <f>VLOOKUP($A21,FoodLog!$A$1:$S$1122,17,0)</f>
        <v>80</v>
      </c>
      <c r="Y21" s="60">
        <f>-VLOOKUP($A21,FoodLog!$A$1:$S$1122,18,0)</f>
        <v>-463.76562996293683</v>
      </c>
      <c r="Z21" s="60">
        <f>-VLOOKUP($A21,FoodLog!$A$1:$S$1122,19,0)</f>
        <v>-1075.8611560283957</v>
      </c>
      <c r="AA21" s="61">
        <f t="shared" si="7"/>
        <v>0.36504922527967926</v>
      </c>
      <c r="AB21" s="62">
        <f>Scale!C21</f>
        <v>0</v>
      </c>
      <c r="AC21" s="63"/>
    </row>
    <row r="22" spans="1:29" x14ac:dyDescent="0.25">
      <c r="A22" s="64">
        <f t="shared" si="8"/>
        <v>43050</v>
      </c>
      <c r="B22" s="65">
        <f t="shared" si="9"/>
        <v>20</v>
      </c>
      <c r="C22" s="66">
        <f t="shared" si="10"/>
        <v>185.77694525035992</v>
      </c>
      <c r="D22" s="66">
        <f t="shared" si="11"/>
        <v>144.92675936341774</v>
      </c>
      <c r="E22" s="67">
        <f t="shared" si="0"/>
        <v>40.850185886942171</v>
      </c>
      <c r="F22" s="56"/>
      <c r="G22" s="68">
        <f>C22*TDEE!$B$5</f>
        <v>2348.9178521848235</v>
      </c>
      <c r="H22" s="66">
        <f t="shared" si="12"/>
        <v>1266.3557624952073</v>
      </c>
      <c r="I22" s="66">
        <f t="shared" si="13"/>
        <v>1082.5620896896162</v>
      </c>
      <c r="J22" s="58">
        <f t="shared" si="1"/>
        <v>0.36181593214148777</v>
      </c>
      <c r="K22" s="66">
        <f t="shared" si="2"/>
        <v>59.866273302964373</v>
      </c>
      <c r="L22" s="66">
        <v>20</v>
      </c>
      <c r="M22" s="54">
        <f>Protein_Amt!$B$6</f>
        <v>115.94140749073421</v>
      </c>
      <c r="N22" s="66">
        <f t="shared" si="3"/>
        <v>538.79645972667936</v>
      </c>
      <c r="O22" s="66">
        <f t="shared" si="4"/>
        <v>80</v>
      </c>
      <c r="P22" s="66">
        <f t="shared" si="5"/>
        <v>463.76562996293683</v>
      </c>
      <c r="Q22" s="67">
        <f t="shared" si="6"/>
        <v>1082.5620896896162</v>
      </c>
      <c r="S22" s="63">
        <f>VLOOKUP($A22,FoodLog!$A$1:$Z$9562,12,0)</f>
        <v>0</v>
      </c>
      <c r="T22" s="63">
        <f>VLOOKUP($A22,FoodLog!$A$1:$Z$9562,13,0)</f>
        <v>0</v>
      </c>
      <c r="U22" s="63">
        <f>VLOOKUP($A22,FoodLog!$A$1:$Z$9562,14,0)</f>
        <v>0</v>
      </c>
      <c r="V22" s="63">
        <f>VLOOKUP($A22,FoodLog!$A$1:$Z$9562,15,0)</f>
        <v>0</v>
      </c>
      <c r="W22" s="60">
        <f>-VLOOKUP($A22,FoodLog!$A$1:$S$1122,16,0)</f>
        <v>-538.79645972667936</v>
      </c>
      <c r="X22" s="60">
        <f>VLOOKUP($A22,FoodLog!$A$1:$S$1122,17,0)</f>
        <v>80</v>
      </c>
      <c r="Y22" s="60">
        <f>-VLOOKUP($A22,FoodLog!$A$1:$S$1122,18,0)</f>
        <v>-463.76562996293683</v>
      </c>
      <c r="Z22" s="60">
        <f>-VLOOKUP($A22,FoodLog!$A$1:$S$1122,19,0)</f>
        <v>-1082.5620896896162</v>
      </c>
      <c r="AA22" s="61">
        <f t="shared" si="7"/>
        <v>0.36181593214148777</v>
      </c>
      <c r="AB22" s="62">
        <f>Scale!C22</f>
        <v>0</v>
      </c>
      <c r="AC22" s="63"/>
    </row>
    <row r="23" spans="1:29" x14ac:dyDescent="0.25">
      <c r="A23" s="64">
        <f t="shared" si="8"/>
        <v>43051</v>
      </c>
      <c r="B23" s="65">
        <f t="shared" si="9"/>
        <v>21</v>
      </c>
      <c r="C23" s="66">
        <f t="shared" si="10"/>
        <v>185.41512931821842</v>
      </c>
      <c r="D23" s="66">
        <f t="shared" si="11"/>
        <v>144.92675936341774</v>
      </c>
      <c r="E23" s="67">
        <f t="shared" si="0"/>
        <v>40.488369954800675</v>
      </c>
      <c r="F23" s="56"/>
      <c r="G23" s="68">
        <f>C23*TDEE!$B$5</f>
        <v>2344.343140822944</v>
      </c>
      <c r="H23" s="66">
        <f t="shared" si="12"/>
        <v>1255.1394685988209</v>
      </c>
      <c r="I23" s="66">
        <f t="shared" si="13"/>
        <v>1089.203672224123</v>
      </c>
      <c r="J23" s="58">
        <f t="shared" si="1"/>
        <v>0.35861127674252025</v>
      </c>
      <c r="K23" s="66">
        <f t="shared" si="2"/>
        <v>60.604226917909578</v>
      </c>
      <c r="L23" s="66">
        <v>20</v>
      </c>
      <c r="M23" s="54">
        <f>Protein_Amt!$B$6</f>
        <v>115.94140749073421</v>
      </c>
      <c r="N23" s="66">
        <f t="shared" si="3"/>
        <v>545.43804226118618</v>
      </c>
      <c r="O23" s="66">
        <f t="shared" si="4"/>
        <v>80</v>
      </c>
      <c r="P23" s="66">
        <f t="shared" si="5"/>
        <v>463.76562996293683</v>
      </c>
      <c r="Q23" s="67">
        <f t="shared" si="6"/>
        <v>1089.203672224123</v>
      </c>
      <c r="S23" s="63">
        <f>VLOOKUP($A23,FoodLog!$A$1:$Z$9562,12,0)</f>
        <v>0</v>
      </c>
      <c r="T23" s="63">
        <f>VLOOKUP($A23,FoodLog!$A$1:$Z$9562,13,0)</f>
        <v>0</v>
      </c>
      <c r="U23" s="63">
        <f>VLOOKUP($A23,FoodLog!$A$1:$Z$9562,14,0)</f>
        <v>0</v>
      </c>
      <c r="V23" s="63">
        <f>VLOOKUP($A23,FoodLog!$A$1:$Z$9562,15,0)</f>
        <v>0</v>
      </c>
      <c r="W23" s="60">
        <f>-VLOOKUP($A23,FoodLog!$A$1:$S$1122,16,0)</f>
        <v>-545.43804226118618</v>
      </c>
      <c r="X23" s="60">
        <f>VLOOKUP($A23,FoodLog!$A$1:$S$1122,17,0)</f>
        <v>80</v>
      </c>
      <c r="Y23" s="60">
        <f>-VLOOKUP($A23,FoodLog!$A$1:$S$1122,18,0)</f>
        <v>-463.76562996293683</v>
      </c>
      <c r="Z23" s="60">
        <f>-VLOOKUP($A23,FoodLog!$A$1:$S$1122,19,0)</f>
        <v>-1089.203672224123</v>
      </c>
      <c r="AA23" s="61">
        <f t="shared" si="7"/>
        <v>0.35861127674252025</v>
      </c>
      <c r="AB23" s="62">
        <f>Scale!C23</f>
        <v>0</v>
      </c>
      <c r="AC23" s="63"/>
    </row>
    <row r="24" spans="1:29" x14ac:dyDescent="0.25">
      <c r="A24" s="64">
        <f t="shared" si="8"/>
        <v>43052</v>
      </c>
      <c r="B24" s="65">
        <f t="shared" si="9"/>
        <v>22</v>
      </c>
      <c r="C24" s="66">
        <f t="shared" si="10"/>
        <v>185.0565180414759</v>
      </c>
      <c r="D24" s="66">
        <f t="shared" si="11"/>
        <v>144.92675936341774</v>
      </c>
      <c r="E24" s="67">
        <f t="shared" si="0"/>
        <v>40.129758678058153</v>
      </c>
      <c r="F24" s="56"/>
      <c r="G24" s="68">
        <f>C24*TDEE!$B$5</f>
        <v>2339.8089483331273</v>
      </c>
      <c r="H24" s="66">
        <f t="shared" si="12"/>
        <v>1244.0225190198028</v>
      </c>
      <c r="I24" s="66">
        <f t="shared" si="13"/>
        <v>1095.7864293133246</v>
      </c>
      <c r="J24" s="58">
        <f t="shared" si="1"/>
        <v>0.35543500543422935</v>
      </c>
      <c r="K24" s="66">
        <f t="shared" si="2"/>
        <v>61.335644372265307</v>
      </c>
      <c r="L24" s="66">
        <v>20</v>
      </c>
      <c r="M24" s="54">
        <f>Protein_Amt!$B$6</f>
        <v>115.94140749073421</v>
      </c>
      <c r="N24" s="66">
        <f t="shared" si="3"/>
        <v>552.02079935038773</v>
      </c>
      <c r="O24" s="66">
        <f t="shared" si="4"/>
        <v>80</v>
      </c>
      <c r="P24" s="66">
        <f t="shared" si="5"/>
        <v>463.76562996293683</v>
      </c>
      <c r="Q24" s="67">
        <f t="shared" si="6"/>
        <v>1095.7864293133246</v>
      </c>
      <c r="S24" s="63">
        <f>VLOOKUP($A24,FoodLog!$A$1:$Z$9562,12,0)</f>
        <v>0</v>
      </c>
      <c r="T24" s="63">
        <f>VLOOKUP($A24,FoodLog!$A$1:$Z$9562,13,0)</f>
        <v>0</v>
      </c>
      <c r="U24" s="63">
        <f>VLOOKUP($A24,FoodLog!$A$1:$Z$9562,14,0)</f>
        <v>0</v>
      </c>
      <c r="V24" s="63">
        <f>VLOOKUP($A24,FoodLog!$A$1:$Z$9562,15,0)</f>
        <v>0</v>
      </c>
      <c r="W24" s="60">
        <f>-VLOOKUP($A24,FoodLog!$A$1:$S$1122,16,0)</f>
        <v>-552.02079935038773</v>
      </c>
      <c r="X24" s="60">
        <f>VLOOKUP($A24,FoodLog!$A$1:$S$1122,17,0)</f>
        <v>80</v>
      </c>
      <c r="Y24" s="60">
        <f>-VLOOKUP($A24,FoodLog!$A$1:$S$1122,18,0)</f>
        <v>-463.76562996293683</v>
      </c>
      <c r="Z24" s="60">
        <f>-VLOOKUP($A24,FoodLog!$A$1:$S$1122,19,0)</f>
        <v>-1095.7864293133246</v>
      </c>
      <c r="AA24" s="61">
        <f t="shared" si="7"/>
        <v>0.35543500543422935</v>
      </c>
      <c r="AB24" s="62">
        <f>Scale!C24</f>
        <v>0</v>
      </c>
      <c r="AC24" s="63"/>
    </row>
    <row r="25" spans="1:29" x14ac:dyDescent="0.25">
      <c r="A25" s="64">
        <f t="shared" si="8"/>
        <v>43053</v>
      </c>
      <c r="B25" s="65">
        <f t="shared" si="9"/>
        <v>23</v>
      </c>
      <c r="C25" s="66">
        <f t="shared" si="10"/>
        <v>184.70108303604167</v>
      </c>
      <c r="D25" s="66">
        <f t="shared" si="11"/>
        <v>144.92675936341774</v>
      </c>
      <c r="E25" s="67">
        <f t="shared" si="0"/>
        <v>39.774323672623922</v>
      </c>
      <c r="F25" s="56"/>
      <c r="G25" s="68">
        <f>C25*TDEE!$B$5</f>
        <v>2335.3149158339347</v>
      </c>
      <c r="H25" s="66">
        <f t="shared" si="12"/>
        <v>1233.0040338513415</v>
      </c>
      <c r="I25" s="66">
        <f t="shared" si="13"/>
        <v>1102.3108819825932</v>
      </c>
      <c r="J25" s="58">
        <f t="shared" si="1"/>
        <v>0.35228686681466903</v>
      </c>
      <c r="K25" s="66">
        <f t="shared" si="2"/>
        <v>62.060583557739591</v>
      </c>
      <c r="L25" s="66">
        <v>20</v>
      </c>
      <c r="M25" s="54">
        <f>Protein_Amt!$B$6</f>
        <v>115.94140749073421</v>
      </c>
      <c r="N25" s="66">
        <f t="shared" si="3"/>
        <v>558.54525201965635</v>
      </c>
      <c r="O25" s="66">
        <f t="shared" si="4"/>
        <v>80</v>
      </c>
      <c r="P25" s="66">
        <f t="shared" si="5"/>
        <v>463.76562996293683</v>
      </c>
      <c r="Q25" s="67">
        <f t="shared" si="6"/>
        <v>1102.3108819825932</v>
      </c>
      <c r="S25" s="63">
        <f>VLOOKUP($A25,FoodLog!$A$1:$Z$9562,12,0)</f>
        <v>0</v>
      </c>
      <c r="T25" s="63">
        <f>VLOOKUP($A25,FoodLog!$A$1:$Z$9562,13,0)</f>
        <v>0</v>
      </c>
      <c r="U25" s="63">
        <f>VLOOKUP($A25,FoodLog!$A$1:$Z$9562,14,0)</f>
        <v>0</v>
      </c>
      <c r="V25" s="63">
        <f>VLOOKUP($A25,FoodLog!$A$1:$Z$9562,15,0)</f>
        <v>0</v>
      </c>
      <c r="W25" s="60">
        <f>-VLOOKUP($A25,FoodLog!$A$1:$S$1122,16,0)</f>
        <v>-558.54525201965635</v>
      </c>
      <c r="X25" s="60">
        <f>VLOOKUP($A25,FoodLog!$A$1:$S$1122,17,0)</f>
        <v>80</v>
      </c>
      <c r="Y25" s="60">
        <f>-VLOOKUP($A25,FoodLog!$A$1:$S$1122,18,0)</f>
        <v>-463.76562996293683</v>
      </c>
      <c r="Z25" s="60">
        <f>-VLOOKUP($A25,FoodLog!$A$1:$S$1122,19,0)</f>
        <v>-1102.3108819825932</v>
      </c>
      <c r="AA25" s="61">
        <f t="shared" si="7"/>
        <v>0.35228686681466903</v>
      </c>
      <c r="AB25" s="62">
        <f>Scale!C25</f>
        <v>0</v>
      </c>
      <c r="AC25" s="65"/>
    </row>
    <row r="26" spans="1:29" x14ac:dyDescent="0.25">
      <c r="A26" s="64">
        <f t="shared" si="8"/>
        <v>43054</v>
      </c>
      <c r="B26" s="65">
        <f t="shared" si="9"/>
        <v>24</v>
      </c>
      <c r="C26" s="66">
        <f t="shared" si="10"/>
        <v>184.348796169227</v>
      </c>
      <c r="D26" s="66">
        <f t="shared" si="11"/>
        <v>144.92675936341774</v>
      </c>
      <c r="E26" s="67">
        <f t="shared" si="0"/>
        <v>39.422036805809256</v>
      </c>
      <c r="F26" s="56"/>
      <c r="G26" s="68">
        <f>C26*TDEE!$B$5</f>
        <v>2330.8606876225917</v>
      </c>
      <c r="H26" s="66">
        <f t="shared" si="12"/>
        <v>1222.0831409800869</v>
      </c>
      <c r="I26" s="66">
        <f t="shared" si="13"/>
        <v>1108.7775466425048</v>
      </c>
      <c r="J26" s="58">
        <f t="shared" si="1"/>
        <v>0.34916661170859625</v>
      </c>
      <c r="K26" s="66">
        <f t="shared" si="2"/>
        <v>62.779101853285333</v>
      </c>
      <c r="L26" s="66">
        <v>20</v>
      </c>
      <c r="M26" s="54">
        <f>Protein_Amt!$B$6</f>
        <v>115.94140749073421</v>
      </c>
      <c r="N26" s="66">
        <f t="shared" si="3"/>
        <v>565.011916679568</v>
      </c>
      <c r="O26" s="66">
        <f t="shared" si="4"/>
        <v>80</v>
      </c>
      <c r="P26" s="66">
        <f t="shared" si="5"/>
        <v>463.76562996293683</v>
      </c>
      <c r="Q26" s="67">
        <f t="shared" si="6"/>
        <v>1108.7775466425048</v>
      </c>
      <c r="S26" s="63">
        <f>VLOOKUP($A26,FoodLog!$A$1:$Z$9562,12,0)</f>
        <v>0</v>
      </c>
      <c r="T26" s="63">
        <f>VLOOKUP($A26,FoodLog!$A$1:$Z$9562,13,0)</f>
        <v>0</v>
      </c>
      <c r="U26" s="63">
        <f>VLOOKUP($A26,FoodLog!$A$1:$Z$9562,14,0)</f>
        <v>0</v>
      </c>
      <c r="V26" s="63">
        <f>VLOOKUP($A26,FoodLog!$A$1:$Z$9562,15,0)</f>
        <v>0</v>
      </c>
      <c r="W26" s="60">
        <f>-VLOOKUP($A26,FoodLog!$A$1:$S$1122,16,0)</f>
        <v>-565.011916679568</v>
      </c>
      <c r="X26" s="60">
        <f>VLOOKUP($A26,FoodLog!$A$1:$S$1122,17,0)</f>
        <v>80</v>
      </c>
      <c r="Y26" s="60">
        <f>-VLOOKUP($A26,FoodLog!$A$1:$S$1122,18,0)</f>
        <v>-463.76562996293683</v>
      </c>
      <c r="Z26" s="60">
        <f>-VLOOKUP($A26,FoodLog!$A$1:$S$1122,19,0)</f>
        <v>-1108.7775466425048</v>
      </c>
      <c r="AA26" s="61">
        <f t="shared" si="7"/>
        <v>0.34916661170859625</v>
      </c>
      <c r="AB26" s="62">
        <f>Scale!C26</f>
        <v>0</v>
      </c>
      <c r="AC26" s="65"/>
    </row>
    <row r="27" spans="1:29" x14ac:dyDescent="0.25">
      <c r="A27" s="64">
        <f t="shared" si="8"/>
        <v>43055</v>
      </c>
      <c r="B27" s="65">
        <f t="shared" si="9"/>
        <v>25</v>
      </c>
      <c r="C27" s="66">
        <f t="shared" si="10"/>
        <v>183.9996295575184</v>
      </c>
      <c r="D27" s="66">
        <f t="shared" si="11"/>
        <v>144.92675936341774</v>
      </c>
      <c r="E27" s="67">
        <f t="shared" si="0"/>
        <v>39.072870194100659</v>
      </c>
      <c r="F27" s="56"/>
      <c r="G27" s="68">
        <f>C27*TDEE!$B$5</f>
        <v>2326.445911146835</v>
      </c>
      <c r="H27" s="66">
        <f t="shared" si="12"/>
        <v>1211.2589760171204</v>
      </c>
      <c r="I27" s="66">
        <f t="shared" si="13"/>
        <v>1115.1869351297146</v>
      </c>
      <c r="J27" s="58">
        <f t="shared" si="1"/>
        <v>0.34607399314774867</v>
      </c>
      <c r="K27" s="66">
        <f t="shared" si="2"/>
        <v>63.491256129641975</v>
      </c>
      <c r="L27" s="66">
        <v>20</v>
      </c>
      <c r="M27" s="54">
        <f>Protein_Amt!$B$6</f>
        <v>115.94140749073421</v>
      </c>
      <c r="N27" s="66">
        <f t="shared" si="3"/>
        <v>571.42130516677776</v>
      </c>
      <c r="O27" s="66">
        <f t="shared" si="4"/>
        <v>80</v>
      </c>
      <c r="P27" s="66">
        <f t="shared" si="5"/>
        <v>463.76562996293683</v>
      </c>
      <c r="Q27" s="67">
        <f t="shared" si="6"/>
        <v>1115.1869351297146</v>
      </c>
      <c r="S27" s="63">
        <f>VLOOKUP($A27,FoodLog!$A$1:$Z$9562,12,0)</f>
        <v>0</v>
      </c>
      <c r="T27" s="63">
        <f>VLOOKUP($A27,FoodLog!$A$1:$Z$9562,13,0)</f>
        <v>0</v>
      </c>
      <c r="U27" s="63">
        <f>VLOOKUP($A27,FoodLog!$A$1:$Z$9562,14,0)</f>
        <v>0</v>
      </c>
      <c r="V27" s="63">
        <f>VLOOKUP($A27,FoodLog!$A$1:$Z$9562,15,0)</f>
        <v>0</v>
      </c>
      <c r="W27" s="60">
        <f>-VLOOKUP($A27,FoodLog!$A$1:$S$1122,16,0)</f>
        <v>-571.42130516677776</v>
      </c>
      <c r="X27" s="60">
        <f>VLOOKUP($A27,FoodLog!$A$1:$S$1122,17,0)</f>
        <v>80</v>
      </c>
      <c r="Y27" s="60">
        <f>-VLOOKUP($A27,FoodLog!$A$1:$S$1122,18,0)</f>
        <v>-463.76562996293683</v>
      </c>
      <c r="Z27" s="60">
        <f>-VLOOKUP($A27,FoodLog!$A$1:$S$1122,19,0)</f>
        <v>-1115.1869351297146</v>
      </c>
      <c r="AA27" s="61">
        <f t="shared" si="7"/>
        <v>0.34607399314774867</v>
      </c>
      <c r="AB27" s="62">
        <f>Scale!C27</f>
        <v>0</v>
      </c>
      <c r="AC27" s="65"/>
    </row>
    <row r="28" spans="1:29" x14ac:dyDescent="0.25">
      <c r="A28" s="64">
        <f t="shared" si="8"/>
        <v>43056</v>
      </c>
      <c r="B28" s="65">
        <f t="shared" si="9"/>
        <v>26</v>
      </c>
      <c r="C28" s="66">
        <f t="shared" si="10"/>
        <v>183.65355556437066</v>
      </c>
      <c r="D28" s="66">
        <f t="shared" si="11"/>
        <v>144.92675936341774</v>
      </c>
      <c r="E28" s="67">
        <f t="shared" si="0"/>
        <v>38.726796200952919</v>
      </c>
      <c r="F28" s="56"/>
      <c r="G28" s="68">
        <f>C28*TDEE!$B$5</f>
        <v>2322.070236977007</v>
      </c>
      <c r="H28" s="66">
        <f t="shared" si="12"/>
        <v>1200.5306822295404</v>
      </c>
      <c r="I28" s="66">
        <f t="shared" si="13"/>
        <v>1121.5395547474666</v>
      </c>
      <c r="J28" s="58">
        <f t="shared" si="1"/>
        <v>0.34300876635129723</v>
      </c>
      <c r="K28" s="66">
        <f t="shared" si="2"/>
        <v>64.197102753836646</v>
      </c>
      <c r="L28" s="66">
        <v>20</v>
      </c>
      <c r="M28" s="54">
        <f>Protein_Amt!$B$6</f>
        <v>115.94140749073421</v>
      </c>
      <c r="N28" s="66">
        <f t="shared" si="3"/>
        <v>577.77392478452975</v>
      </c>
      <c r="O28" s="66">
        <f t="shared" si="4"/>
        <v>80</v>
      </c>
      <c r="P28" s="66">
        <f t="shared" si="5"/>
        <v>463.76562996293683</v>
      </c>
      <c r="Q28" s="67">
        <f t="shared" si="6"/>
        <v>1121.5395547474666</v>
      </c>
      <c r="S28" s="63">
        <f>VLOOKUP($A28,FoodLog!$A$1:$Z$9562,12,0)</f>
        <v>0</v>
      </c>
      <c r="T28" s="63">
        <f>VLOOKUP($A28,FoodLog!$A$1:$Z$9562,13,0)</f>
        <v>0</v>
      </c>
      <c r="U28" s="63">
        <f>VLOOKUP($A28,FoodLog!$A$1:$Z$9562,14,0)</f>
        <v>0</v>
      </c>
      <c r="V28" s="63">
        <f>VLOOKUP($A28,FoodLog!$A$1:$Z$9562,15,0)</f>
        <v>0</v>
      </c>
      <c r="W28" s="60">
        <f>-VLOOKUP($A28,FoodLog!$A$1:$S$1122,16,0)</f>
        <v>-577.77392478452975</v>
      </c>
      <c r="X28" s="60">
        <f>VLOOKUP($A28,FoodLog!$A$1:$S$1122,17,0)</f>
        <v>80</v>
      </c>
      <c r="Y28" s="60">
        <f>-VLOOKUP($A28,FoodLog!$A$1:$S$1122,18,0)</f>
        <v>-463.76562996293683</v>
      </c>
      <c r="Z28" s="60">
        <f>-VLOOKUP($A28,FoodLog!$A$1:$S$1122,19,0)</f>
        <v>-1121.5395547474666</v>
      </c>
      <c r="AA28" s="61">
        <f t="shared" si="7"/>
        <v>0.34300876635129723</v>
      </c>
      <c r="AB28" s="62">
        <f>Scale!C28</f>
        <v>0</v>
      </c>
      <c r="AC28" s="65"/>
    </row>
    <row r="29" spans="1:29" x14ac:dyDescent="0.25">
      <c r="A29" s="64">
        <f t="shared" si="8"/>
        <v>43057</v>
      </c>
      <c r="B29" s="65">
        <f t="shared" si="9"/>
        <v>27</v>
      </c>
      <c r="C29" s="66">
        <f t="shared" si="10"/>
        <v>183.31054679801937</v>
      </c>
      <c r="D29" s="66">
        <f t="shared" si="11"/>
        <v>144.92675936341774</v>
      </c>
      <c r="E29" s="67">
        <f t="shared" si="0"/>
        <v>38.383787434601629</v>
      </c>
      <c r="F29" s="56"/>
      <c r="G29" s="68">
        <f>C29*TDEE!$B$5</f>
        <v>2317.733318778397</v>
      </c>
      <c r="H29" s="66">
        <f t="shared" si="12"/>
        <v>1189.8974104726506</v>
      </c>
      <c r="I29" s="66">
        <f t="shared" si="13"/>
        <v>1127.8359083057464</v>
      </c>
      <c r="J29" s="58">
        <f t="shared" si="1"/>
        <v>0.33997068870647157</v>
      </c>
      <c r="K29" s="66">
        <f t="shared" si="2"/>
        <v>64.896697593645513</v>
      </c>
      <c r="L29" s="66">
        <v>20</v>
      </c>
      <c r="M29" s="54">
        <f>Protein_Amt!$B$6</f>
        <v>115.94140749073421</v>
      </c>
      <c r="N29" s="66">
        <f t="shared" si="3"/>
        <v>584.07027834280962</v>
      </c>
      <c r="O29" s="66">
        <f t="shared" si="4"/>
        <v>80</v>
      </c>
      <c r="P29" s="66">
        <f t="shared" si="5"/>
        <v>463.76562996293683</v>
      </c>
      <c r="Q29" s="67">
        <f t="shared" si="6"/>
        <v>1127.8359083057464</v>
      </c>
      <c r="S29" s="63">
        <f>VLOOKUP($A29,FoodLog!$A$1:$Z$9562,12,0)</f>
        <v>0</v>
      </c>
      <c r="T29" s="63">
        <f>VLOOKUP($A29,FoodLog!$A$1:$Z$9562,13,0)</f>
        <v>0</v>
      </c>
      <c r="U29" s="63">
        <f>VLOOKUP($A29,FoodLog!$A$1:$Z$9562,14,0)</f>
        <v>0</v>
      </c>
      <c r="V29" s="63">
        <f>VLOOKUP($A29,FoodLog!$A$1:$Z$9562,15,0)</f>
        <v>0</v>
      </c>
      <c r="W29" s="60">
        <f>-VLOOKUP($A29,FoodLog!$A$1:$S$1122,16,0)</f>
        <v>-584.07027834280962</v>
      </c>
      <c r="X29" s="60">
        <f>VLOOKUP($A29,FoodLog!$A$1:$S$1122,17,0)</f>
        <v>80</v>
      </c>
      <c r="Y29" s="60">
        <f>-VLOOKUP($A29,FoodLog!$A$1:$S$1122,18,0)</f>
        <v>-463.76562996293683</v>
      </c>
      <c r="Z29" s="60">
        <f>-VLOOKUP($A29,FoodLog!$A$1:$S$1122,19,0)</f>
        <v>-1127.8359083057464</v>
      </c>
      <c r="AA29" s="61">
        <f t="shared" si="7"/>
        <v>0.33997068870647157</v>
      </c>
      <c r="AB29" s="62">
        <f>Scale!C29</f>
        <v>0</v>
      </c>
      <c r="AC29" s="65"/>
    </row>
    <row r="30" spans="1:29" x14ac:dyDescent="0.25">
      <c r="A30" s="64">
        <f t="shared" si="8"/>
        <v>43058</v>
      </c>
      <c r="B30" s="65">
        <f t="shared" si="9"/>
        <v>28</v>
      </c>
      <c r="C30" s="66">
        <f t="shared" si="10"/>
        <v>182.9705761093129</v>
      </c>
      <c r="D30" s="66">
        <f t="shared" si="11"/>
        <v>144.92675936341774</v>
      </c>
      <c r="E30" s="67">
        <f t="shared" si="0"/>
        <v>38.043816745895157</v>
      </c>
      <c r="F30" s="56"/>
      <c r="G30" s="68">
        <f>C30*TDEE!$B$5</f>
        <v>2313.4348132838318</v>
      </c>
      <c r="H30" s="66">
        <f t="shared" si="12"/>
        <v>1179.3583191227499</v>
      </c>
      <c r="I30" s="66">
        <f t="shared" si="13"/>
        <v>1134.0764941610819</v>
      </c>
      <c r="J30" s="58">
        <f t="shared" si="1"/>
        <v>0.33695951974935712</v>
      </c>
      <c r="K30" s="66">
        <f t="shared" si="2"/>
        <v>65.590096022016112</v>
      </c>
      <c r="L30" s="66">
        <v>20</v>
      </c>
      <c r="M30" s="54">
        <f>Protein_Amt!$B$6</f>
        <v>115.94140749073421</v>
      </c>
      <c r="N30" s="66">
        <f t="shared" si="3"/>
        <v>590.31086419814505</v>
      </c>
      <c r="O30" s="66">
        <f t="shared" si="4"/>
        <v>80</v>
      </c>
      <c r="P30" s="66">
        <f t="shared" si="5"/>
        <v>463.76562996293683</v>
      </c>
      <c r="Q30" s="67">
        <f t="shared" si="6"/>
        <v>1134.0764941610819</v>
      </c>
      <c r="S30" s="63">
        <f>VLOOKUP($A30,FoodLog!$A$1:$Z$9562,12,0)</f>
        <v>0</v>
      </c>
      <c r="T30" s="63">
        <f>VLOOKUP($A30,FoodLog!$A$1:$Z$9562,13,0)</f>
        <v>0</v>
      </c>
      <c r="U30" s="63">
        <f>VLOOKUP($A30,FoodLog!$A$1:$Z$9562,14,0)</f>
        <v>0</v>
      </c>
      <c r="V30" s="63">
        <f>VLOOKUP($A30,FoodLog!$A$1:$Z$9562,15,0)</f>
        <v>0</v>
      </c>
      <c r="W30" s="60">
        <f>-VLOOKUP($A30,FoodLog!$A$1:$S$1122,16,0)</f>
        <v>-590.31086419814505</v>
      </c>
      <c r="X30" s="60">
        <f>VLOOKUP($A30,FoodLog!$A$1:$S$1122,17,0)</f>
        <v>80</v>
      </c>
      <c r="Y30" s="60">
        <f>-VLOOKUP($A30,FoodLog!$A$1:$S$1122,18,0)</f>
        <v>-463.76562996293683</v>
      </c>
      <c r="Z30" s="60">
        <f>-VLOOKUP($A30,FoodLog!$A$1:$S$1122,19,0)</f>
        <v>-1134.0764941610819</v>
      </c>
      <c r="AA30" s="61">
        <f t="shared" si="7"/>
        <v>0.33695951974935712</v>
      </c>
      <c r="AB30" s="62">
        <f>Scale!C30</f>
        <v>0</v>
      </c>
      <c r="AC30" s="65"/>
    </row>
    <row r="31" spans="1:29" x14ac:dyDescent="0.25">
      <c r="A31" s="64">
        <f t="shared" si="8"/>
        <v>43059</v>
      </c>
      <c r="B31" s="65">
        <f t="shared" si="9"/>
        <v>29</v>
      </c>
      <c r="C31" s="66">
        <f t="shared" si="10"/>
        <v>182.63361658956353</v>
      </c>
      <c r="D31" s="66">
        <f t="shared" si="11"/>
        <v>144.92675936341774</v>
      </c>
      <c r="E31" s="67">
        <f t="shared" si="0"/>
        <v>37.706857226145786</v>
      </c>
      <c r="F31" s="56"/>
      <c r="G31" s="68">
        <f>C31*TDEE!$B$5</f>
        <v>2309.1743802665042</v>
      </c>
      <c r="H31" s="66">
        <f t="shared" si="12"/>
        <v>1168.9125740105194</v>
      </c>
      <c r="I31" s="66">
        <f t="shared" si="13"/>
        <v>1140.2618062559848</v>
      </c>
      <c r="J31" s="58">
        <f t="shared" si="1"/>
        <v>0.33397502114586269</v>
      </c>
      <c r="K31" s="66">
        <f t="shared" si="2"/>
        <v>66.277352921449776</v>
      </c>
      <c r="L31" s="66">
        <v>20</v>
      </c>
      <c r="M31" s="54">
        <f>Protein_Amt!$B$6</f>
        <v>115.94140749073421</v>
      </c>
      <c r="N31" s="66">
        <f t="shared" si="3"/>
        <v>596.49617629304794</v>
      </c>
      <c r="O31" s="66">
        <f t="shared" si="4"/>
        <v>80</v>
      </c>
      <c r="P31" s="66">
        <f t="shared" si="5"/>
        <v>463.76562996293683</v>
      </c>
      <c r="Q31" s="67">
        <f t="shared" si="6"/>
        <v>1140.2618062559848</v>
      </c>
      <c r="S31" s="63">
        <f>VLOOKUP($A31,FoodLog!$A$1:$Z$9562,12,0)</f>
        <v>0</v>
      </c>
      <c r="T31" s="63">
        <f>VLOOKUP($A31,FoodLog!$A$1:$Z$9562,13,0)</f>
        <v>0</v>
      </c>
      <c r="U31" s="63">
        <f>VLOOKUP($A31,FoodLog!$A$1:$Z$9562,14,0)</f>
        <v>0</v>
      </c>
      <c r="V31" s="63">
        <f>VLOOKUP($A31,FoodLog!$A$1:$Z$9562,15,0)</f>
        <v>0</v>
      </c>
      <c r="W31" s="60">
        <f>-VLOOKUP($A31,FoodLog!$A$1:$S$1122,16,0)</f>
        <v>-596.49617629304794</v>
      </c>
      <c r="X31" s="60">
        <f>VLOOKUP($A31,FoodLog!$A$1:$S$1122,17,0)</f>
        <v>80</v>
      </c>
      <c r="Y31" s="60">
        <f>-VLOOKUP($A31,FoodLog!$A$1:$S$1122,18,0)</f>
        <v>-463.76562996293683</v>
      </c>
      <c r="Z31" s="60">
        <f>-VLOOKUP($A31,FoodLog!$A$1:$S$1122,19,0)</f>
        <v>-1140.2618062559848</v>
      </c>
      <c r="AA31" s="61">
        <f t="shared" si="7"/>
        <v>0.33397502114586269</v>
      </c>
      <c r="AB31" s="62">
        <f>Scale!C31</f>
        <v>0</v>
      </c>
      <c r="AC31" s="65"/>
    </row>
    <row r="32" spans="1:29" x14ac:dyDescent="0.25">
      <c r="A32" s="64">
        <f t="shared" si="8"/>
        <v>43060</v>
      </c>
      <c r="B32" s="65">
        <f t="shared" si="9"/>
        <v>30</v>
      </c>
      <c r="C32" s="66">
        <f t="shared" si="10"/>
        <v>182.29964156841766</v>
      </c>
      <c r="D32" s="66">
        <f t="shared" si="11"/>
        <v>144.92675936341774</v>
      </c>
      <c r="E32" s="67">
        <f t="shared" si="0"/>
        <v>37.372882204999911</v>
      </c>
      <c r="F32" s="56"/>
      <c r="G32" s="68">
        <f>C32*TDEE!$B$5</f>
        <v>2304.951682513044</v>
      </c>
      <c r="H32" s="66">
        <f t="shared" si="12"/>
        <v>1158.5593483549972</v>
      </c>
      <c r="I32" s="66">
        <f t="shared" si="13"/>
        <v>1146.3923341580469</v>
      </c>
      <c r="J32" s="58">
        <f t="shared" si="1"/>
        <v>0.33101695667285636</v>
      </c>
      <c r="K32" s="66">
        <f t="shared" si="2"/>
        <v>66.958522688345568</v>
      </c>
      <c r="L32" s="66">
        <v>20</v>
      </c>
      <c r="M32" s="54">
        <f>Protein_Amt!$B$6</f>
        <v>115.94140749073421</v>
      </c>
      <c r="N32" s="66">
        <f t="shared" si="3"/>
        <v>602.62670419511005</v>
      </c>
      <c r="O32" s="66">
        <f t="shared" si="4"/>
        <v>80</v>
      </c>
      <c r="P32" s="66">
        <f t="shared" si="5"/>
        <v>463.76562996293683</v>
      </c>
      <c r="Q32" s="67">
        <f t="shared" si="6"/>
        <v>1146.3923341580469</v>
      </c>
      <c r="S32" s="63">
        <f>VLOOKUP($A32,FoodLog!$A$1:$Z$9562,12,0)</f>
        <v>0</v>
      </c>
      <c r="T32" s="63">
        <f>VLOOKUP($A32,FoodLog!$A$1:$Z$9562,13,0)</f>
        <v>0</v>
      </c>
      <c r="U32" s="63">
        <f>VLOOKUP($A32,FoodLog!$A$1:$Z$9562,14,0)</f>
        <v>0</v>
      </c>
      <c r="V32" s="63">
        <f>VLOOKUP($A32,FoodLog!$A$1:$Z$9562,15,0)</f>
        <v>0</v>
      </c>
      <c r="W32" s="60">
        <f>-VLOOKUP($A32,FoodLog!$A$1:$S$1122,16,0)</f>
        <v>-602.62670419511005</v>
      </c>
      <c r="X32" s="60">
        <f>VLOOKUP($A32,FoodLog!$A$1:$S$1122,17,0)</f>
        <v>80</v>
      </c>
      <c r="Y32" s="60">
        <f>-VLOOKUP($A32,FoodLog!$A$1:$S$1122,18,0)</f>
        <v>-463.76562996293683</v>
      </c>
      <c r="Z32" s="60">
        <f>-VLOOKUP($A32,FoodLog!$A$1:$S$1122,19,0)</f>
        <v>-1146.3923341580469</v>
      </c>
      <c r="AA32" s="61">
        <f t="shared" si="7"/>
        <v>0.33101695667285636</v>
      </c>
      <c r="AB32" s="62">
        <f>Scale!C32</f>
        <v>0</v>
      </c>
      <c r="AC32" s="65"/>
    </row>
    <row r="33" spans="1:29" x14ac:dyDescent="0.25">
      <c r="A33" s="64">
        <f t="shared" si="8"/>
        <v>43061</v>
      </c>
      <c r="B33" s="65">
        <f t="shared" si="9"/>
        <v>31</v>
      </c>
      <c r="C33" s="66">
        <f t="shared" si="10"/>
        <v>181.96862461174479</v>
      </c>
      <c r="D33" s="66">
        <f t="shared" si="11"/>
        <v>144.92675936341774</v>
      </c>
      <c r="E33" s="67">
        <f t="shared" si="0"/>
        <v>37.041865248327042</v>
      </c>
      <c r="F33" s="56"/>
      <c r="G33" s="68">
        <f>C33*TDEE!$B$5</f>
        <v>2300.7663857968291</v>
      </c>
      <c r="H33" s="66">
        <f t="shared" si="12"/>
        <v>1148.2978226981384</v>
      </c>
      <c r="I33" s="66">
        <f t="shared" si="13"/>
        <v>1152.4685630986908</v>
      </c>
      <c r="J33" s="58">
        <f t="shared" si="1"/>
        <v>0.32808509219946808</v>
      </c>
      <c r="K33" s="66">
        <f t="shared" si="2"/>
        <v>67.633659237305991</v>
      </c>
      <c r="L33" s="66">
        <v>20</v>
      </c>
      <c r="M33" s="54">
        <f>Protein_Amt!$B$6</f>
        <v>115.94140749073421</v>
      </c>
      <c r="N33" s="66">
        <f t="shared" si="3"/>
        <v>608.70293313575394</v>
      </c>
      <c r="O33" s="66">
        <f t="shared" si="4"/>
        <v>80</v>
      </c>
      <c r="P33" s="66">
        <f t="shared" si="5"/>
        <v>463.76562996293683</v>
      </c>
      <c r="Q33" s="67">
        <f t="shared" si="6"/>
        <v>1152.4685630986908</v>
      </c>
      <c r="S33" s="63">
        <f>VLOOKUP($A33,FoodLog!$A$1:$Z$9562,12,0)</f>
        <v>0</v>
      </c>
      <c r="T33" s="63">
        <f>VLOOKUP($A33,FoodLog!$A$1:$Z$9562,13,0)</f>
        <v>0</v>
      </c>
      <c r="U33" s="63">
        <f>VLOOKUP($A33,FoodLog!$A$1:$Z$9562,14,0)</f>
        <v>0</v>
      </c>
      <c r="V33" s="63">
        <f>VLOOKUP($A33,FoodLog!$A$1:$Z$9562,15,0)</f>
        <v>0</v>
      </c>
      <c r="W33" s="60">
        <f>-VLOOKUP($A33,FoodLog!$A$1:$S$1122,16,0)</f>
        <v>-608.70293313575394</v>
      </c>
      <c r="X33" s="60">
        <f>VLOOKUP($A33,FoodLog!$A$1:$S$1122,17,0)</f>
        <v>80</v>
      </c>
      <c r="Y33" s="60">
        <f>-VLOOKUP($A33,FoodLog!$A$1:$S$1122,18,0)</f>
        <v>-463.76562996293683</v>
      </c>
      <c r="Z33" s="60">
        <f>-VLOOKUP($A33,FoodLog!$A$1:$S$1122,19,0)</f>
        <v>-1152.4685630986908</v>
      </c>
      <c r="AA33" s="61">
        <f t="shared" si="7"/>
        <v>0.32808509219946808</v>
      </c>
      <c r="AB33" s="62">
        <f>Scale!C33</f>
        <v>0</v>
      </c>
      <c r="AC33" s="65"/>
    </row>
    <row r="34" spans="1:29" x14ac:dyDescent="0.25">
      <c r="A34" s="64">
        <f t="shared" si="8"/>
        <v>43062</v>
      </c>
      <c r="B34" s="65">
        <f t="shared" si="9"/>
        <v>32</v>
      </c>
      <c r="C34" s="66">
        <f t="shared" si="10"/>
        <v>181.64053951954531</v>
      </c>
      <c r="D34" s="66">
        <f t="shared" si="11"/>
        <v>144.92675936341774</v>
      </c>
      <c r="E34" s="67">
        <f t="shared" si="0"/>
        <v>36.713780156127569</v>
      </c>
      <c r="F34" s="56"/>
      <c r="G34" s="68">
        <f>C34*TDEE!$B$5</f>
        <v>2296.6181588515292</v>
      </c>
      <c r="H34" s="66">
        <f t="shared" si="12"/>
        <v>1138.1271848399547</v>
      </c>
      <c r="I34" s="66">
        <f t="shared" si="13"/>
        <v>1158.4909740115745</v>
      </c>
      <c r="J34" s="58">
        <f t="shared" si="1"/>
        <v>0.32517919566855846</v>
      </c>
      <c r="K34" s="66">
        <f t="shared" si="2"/>
        <v>68.302816005404182</v>
      </c>
      <c r="L34" s="66">
        <v>20</v>
      </c>
      <c r="M34" s="54">
        <f>Protein_Amt!$B$6</f>
        <v>115.94140749073421</v>
      </c>
      <c r="N34" s="66">
        <f t="shared" si="3"/>
        <v>614.72534404863768</v>
      </c>
      <c r="O34" s="66">
        <f t="shared" si="4"/>
        <v>80</v>
      </c>
      <c r="P34" s="66">
        <f t="shared" si="5"/>
        <v>463.76562996293683</v>
      </c>
      <c r="Q34" s="67">
        <f t="shared" si="6"/>
        <v>1158.4909740115745</v>
      </c>
      <c r="S34" s="63">
        <f>VLOOKUP($A34,FoodLog!$A$1:$Z$9562,12,0)</f>
        <v>0</v>
      </c>
      <c r="T34" s="63">
        <f>VLOOKUP($A34,FoodLog!$A$1:$Z$9562,13,0)</f>
        <v>0</v>
      </c>
      <c r="U34" s="63">
        <f>VLOOKUP($A34,FoodLog!$A$1:$Z$9562,14,0)</f>
        <v>0</v>
      </c>
      <c r="V34" s="63">
        <f>VLOOKUP($A34,FoodLog!$A$1:$Z$9562,15,0)</f>
        <v>0</v>
      </c>
      <c r="W34" s="60">
        <f>-VLOOKUP($A34,FoodLog!$A$1:$S$1122,16,0)</f>
        <v>-614.72534404863768</v>
      </c>
      <c r="X34" s="60">
        <f>VLOOKUP($A34,FoodLog!$A$1:$S$1122,17,0)</f>
        <v>80</v>
      </c>
      <c r="Y34" s="60">
        <f>-VLOOKUP($A34,FoodLog!$A$1:$S$1122,18,0)</f>
        <v>-463.76562996293683</v>
      </c>
      <c r="Z34" s="60">
        <f>-VLOOKUP($A34,FoodLog!$A$1:$S$1122,19,0)</f>
        <v>-1158.4909740115745</v>
      </c>
      <c r="AA34" s="61">
        <f t="shared" si="7"/>
        <v>0.32517919566855846</v>
      </c>
      <c r="AB34" s="62">
        <f>Scale!C34</f>
        <v>0</v>
      </c>
      <c r="AC34" s="65"/>
    </row>
    <row r="35" spans="1:29" x14ac:dyDescent="0.25">
      <c r="A35" s="64">
        <f t="shared" si="8"/>
        <v>43063</v>
      </c>
      <c r="B35" s="65">
        <f t="shared" si="9"/>
        <v>33</v>
      </c>
      <c r="C35" s="66">
        <f t="shared" si="10"/>
        <v>181.31536032387675</v>
      </c>
      <c r="D35" s="66">
        <f t="shared" si="11"/>
        <v>144.92675936341774</v>
      </c>
      <c r="E35" s="67">
        <f t="shared" ref="E35:E66" si="14">C35-D35</f>
        <v>36.388600960459001</v>
      </c>
      <c r="F35" s="56"/>
      <c r="G35" s="68">
        <f>C35*TDEE!$B$5</f>
        <v>2292.5066733448875</v>
      </c>
      <c r="H35" s="66">
        <f t="shared" si="12"/>
        <v>1128.0466297742291</v>
      </c>
      <c r="I35" s="66">
        <f t="shared" si="13"/>
        <v>1164.4600435706584</v>
      </c>
      <c r="J35" s="58">
        <f t="shared" ref="J35:J66" si="15">H35/3500</f>
        <v>0.32229903707835117</v>
      </c>
      <c r="K35" s="66">
        <f t="shared" ref="K35:K66" si="16">N35/9</f>
        <v>68.96604595641351</v>
      </c>
      <c r="L35" s="66">
        <v>20</v>
      </c>
      <c r="M35" s="54">
        <f>Protein_Amt!$B$6</f>
        <v>115.94140749073421</v>
      </c>
      <c r="N35" s="66">
        <f t="shared" ref="N35:N66" si="17">MAX(0,I35-(O35+P35))</f>
        <v>620.69441360772157</v>
      </c>
      <c r="O35" s="66">
        <f t="shared" ref="O35:O66" si="18">4*L35</f>
        <v>80</v>
      </c>
      <c r="P35" s="66">
        <f t="shared" ref="P35:P66" si="19">4*M35</f>
        <v>463.76562996293683</v>
      </c>
      <c r="Q35" s="67">
        <f t="shared" ref="Q35:Q66" si="20">SUM(N35:P35)</f>
        <v>1164.4600435706584</v>
      </c>
      <c r="S35" s="63">
        <f>VLOOKUP($A35,FoodLog!$A$1:$Z$9562,12,0)</f>
        <v>0</v>
      </c>
      <c r="T35" s="63">
        <f>VLOOKUP($A35,FoodLog!$A$1:$Z$9562,13,0)</f>
        <v>0</v>
      </c>
      <c r="U35" s="63">
        <f>VLOOKUP($A35,FoodLog!$A$1:$Z$9562,14,0)</f>
        <v>0</v>
      </c>
      <c r="V35" s="63">
        <f>VLOOKUP($A35,FoodLog!$A$1:$Z$9562,15,0)</f>
        <v>0</v>
      </c>
      <c r="W35" s="60">
        <f>-VLOOKUP($A35,FoodLog!$A$1:$S$1122,16,0)</f>
        <v>-620.69441360772157</v>
      </c>
      <c r="X35" s="60">
        <f>VLOOKUP($A35,FoodLog!$A$1:$S$1122,17,0)</f>
        <v>80</v>
      </c>
      <c r="Y35" s="60">
        <f>-VLOOKUP($A35,FoodLog!$A$1:$S$1122,18,0)</f>
        <v>-463.76562996293683</v>
      </c>
      <c r="Z35" s="60">
        <f>-VLOOKUP($A35,FoodLog!$A$1:$S$1122,19,0)</f>
        <v>-1164.4600435706584</v>
      </c>
      <c r="AA35" s="61">
        <f t="shared" ref="AA35:AA66" si="21">MIN($H35/3500,($G35+Z35)/3500)</f>
        <v>0.32229903707835117</v>
      </c>
      <c r="AB35" s="62">
        <f>Scale!C35</f>
        <v>0</v>
      </c>
      <c r="AC35" s="65"/>
    </row>
    <row r="36" spans="1:29" x14ac:dyDescent="0.25">
      <c r="A36" s="64">
        <f t="shared" ref="A36:A67" si="22">A35+1</f>
        <v>43064</v>
      </c>
      <c r="B36" s="65">
        <f t="shared" ref="B36:B67" si="23">B35+1</f>
        <v>34</v>
      </c>
      <c r="C36" s="66">
        <f t="shared" ref="C36:C67" si="24">C35-AA35</f>
        <v>180.99306128679839</v>
      </c>
      <c r="D36" s="66">
        <f t="shared" ref="D36:D67" si="25">$D$3</f>
        <v>144.92675936341774</v>
      </c>
      <c r="E36" s="67">
        <f t="shared" si="14"/>
        <v>36.066301923380649</v>
      </c>
      <c r="F36" s="56"/>
      <c r="G36" s="68">
        <f>C36*TDEE!$B$5</f>
        <v>2288.4316038527336</v>
      </c>
      <c r="H36" s="66">
        <f t="shared" ref="H36:H67" si="26">$E36*31</f>
        <v>1118.0553596248001</v>
      </c>
      <c r="I36" s="66">
        <f t="shared" ref="I36:I67" si="27">$G36-$H36</f>
        <v>1170.3762442279335</v>
      </c>
      <c r="J36" s="58">
        <f t="shared" si="15"/>
        <v>0.31944438846422857</v>
      </c>
      <c r="K36" s="66">
        <f t="shared" si="16"/>
        <v>69.623401584999627</v>
      </c>
      <c r="L36" s="66">
        <v>20</v>
      </c>
      <c r="M36" s="54">
        <f>Protein_Amt!$B$6</f>
        <v>115.94140749073421</v>
      </c>
      <c r="N36" s="66">
        <f t="shared" si="17"/>
        <v>626.61061426499668</v>
      </c>
      <c r="O36" s="66">
        <f t="shared" si="18"/>
        <v>80</v>
      </c>
      <c r="P36" s="66">
        <f t="shared" si="19"/>
        <v>463.76562996293683</v>
      </c>
      <c r="Q36" s="67">
        <f t="shared" si="20"/>
        <v>1170.3762442279335</v>
      </c>
      <c r="S36" s="63">
        <f>VLOOKUP($A36,FoodLog!$A$1:$Z$9562,12,0)</f>
        <v>0</v>
      </c>
      <c r="T36" s="63">
        <f>VLOOKUP($A36,FoodLog!$A$1:$Z$9562,13,0)</f>
        <v>0</v>
      </c>
      <c r="U36" s="63">
        <f>VLOOKUP($A36,FoodLog!$A$1:$Z$9562,14,0)</f>
        <v>0</v>
      </c>
      <c r="V36" s="63">
        <f>VLOOKUP($A36,FoodLog!$A$1:$Z$9562,15,0)</f>
        <v>0</v>
      </c>
      <c r="W36" s="60">
        <f>-VLOOKUP($A36,FoodLog!$A$1:$S$1122,16,0)</f>
        <v>-626.61061426499668</v>
      </c>
      <c r="X36" s="60">
        <f>VLOOKUP($A36,FoodLog!$A$1:$S$1122,17,0)</f>
        <v>80</v>
      </c>
      <c r="Y36" s="60">
        <f>-VLOOKUP($A36,FoodLog!$A$1:$S$1122,18,0)</f>
        <v>-463.76562996293683</v>
      </c>
      <c r="Z36" s="60">
        <f>-VLOOKUP($A36,FoodLog!$A$1:$S$1122,19,0)</f>
        <v>-1170.3762442279335</v>
      </c>
      <c r="AA36" s="61">
        <f t="shared" si="21"/>
        <v>0.31944438846422857</v>
      </c>
      <c r="AB36" s="62">
        <f>Scale!C36</f>
        <v>0</v>
      </c>
      <c r="AC36" s="65"/>
    </row>
    <row r="37" spans="1:29" x14ac:dyDescent="0.25">
      <c r="A37" s="64">
        <f t="shared" si="22"/>
        <v>43065</v>
      </c>
      <c r="B37" s="65">
        <f t="shared" si="23"/>
        <v>35</v>
      </c>
      <c r="C37" s="66">
        <f t="shared" si="24"/>
        <v>180.67361689833416</v>
      </c>
      <c r="D37" s="66">
        <f t="shared" si="25"/>
        <v>144.92675936341774</v>
      </c>
      <c r="E37" s="67">
        <f t="shared" si="14"/>
        <v>35.746857534916415</v>
      </c>
      <c r="F37" s="56"/>
      <c r="G37" s="68">
        <f>C37*TDEE!$B$5</f>
        <v>2284.3926278332242</v>
      </c>
      <c r="H37" s="66">
        <f t="shared" si="26"/>
        <v>1108.1525835824089</v>
      </c>
      <c r="I37" s="66">
        <f t="shared" si="27"/>
        <v>1176.2400442508153</v>
      </c>
      <c r="J37" s="58">
        <f t="shared" si="15"/>
        <v>0.31661502388068824</v>
      </c>
      <c r="K37" s="66">
        <f t="shared" si="16"/>
        <v>70.274934920875396</v>
      </c>
      <c r="L37" s="66">
        <v>20</v>
      </c>
      <c r="M37" s="54">
        <f>Protein_Amt!$B$6</f>
        <v>115.94140749073421</v>
      </c>
      <c r="N37" s="66">
        <f t="shared" si="17"/>
        <v>632.47441428787852</v>
      </c>
      <c r="O37" s="66">
        <f t="shared" si="18"/>
        <v>80</v>
      </c>
      <c r="P37" s="66">
        <f t="shared" si="19"/>
        <v>463.76562996293683</v>
      </c>
      <c r="Q37" s="67">
        <f t="shared" si="20"/>
        <v>1176.2400442508153</v>
      </c>
      <c r="S37" s="63">
        <f>VLOOKUP($A37,FoodLog!$A$1:$Z$9562,12,0)</f>
        <v>0</v>
      </c>
      <c r="T37" s="63">
        <f>VLOOKUP($A37,FoodLog!$A$1:$Z$9562,13,0)</f>
        <v>0</v>
      </c>
      <c r="U37" s="63">
        <f>VLOOKUP($A37,FoodLog!$A$1:$Z$9562,14,0)</f>
        <v>0</v>
      </c>
      <c r="V37" s="63">
        <f>VLOOKUP($A37,FoodLog!$A$1:$Z$9562,15,0)</f>
        <v>0</v>
      </c>
      <c r="W37" s="60">
        <f>-VLOOKUP($A37,FoodLog!$A$1:$S$1122,16,0)</f>
        <v>-632.47441428787852</v>
      </c>
      <c r="X37" s="60">
        <f>VLOOKUP($A37,FoodLog!$A$1:$S$1122,17,0)</f>
        <v>80</v>
      </c>
      <c r="Y37" s="60">
        <f>-VLOOKUP($A37,FoodLog!$A$1:$S$1122,18,0)</f>
        <v>-463.76562996293683</v>
      </c>
      <c r="Z37" s="60">
        <f>-VLOOKUP($A37,FoodLog!$A$1:$S$1122,19,0)</f>
        <v>-1176.2400442508153</v>
      </c>
      <c r="AA37" s="61">
        <f t="shared" si="21"/>
        <v>0.31661502388068824</v>
      </c>
      <c r="AB37" s="62">
        <f>Scale!C37</f>
        <v>0</v>
      </c>
      <c r="AC37" s="65"/>
    </row>
    <row r="38" spans="1:29" x14ac:dyDescent="0.25">
      <c r="A38" s="64">
        <f t="shared" si="22"/>
        <v>43066</v>
      </c>
      <c r="B38" s="65">
        <f t="shared" si="23"/>
        <v>36</v>
      </c>
      <c r="C38" s="66">
        <f t="shared" si="24"/>
        <v>180.35700187445346</v>
      </c>
      <c r="D38" s="66">
        <f t="shared" si="25"/>
        <v>144.92675936341774</v>
      </c>
      <c r="E38" s="67">
        <f t="shared" si="14"/>
        <v>35.430242511035715</v>
      </c>
      <c r="F38" s="56"/>
      <c r="G38" s="68">
        <f>C38*TDEE!$B$5</f>
        <v>2280.3894256013159</v>
      </c>
      <c r="H38" s="66">
        <f t="shared" si="26"/>
        <v>1098.3375178421072</v>
      </c>
      <c r="I38" s="66">
        <f t="shared" si="27"/>
        <v>1182.0519077592087</v>
      </c>
      <c r="J38" s="58">
        <f t="shared" si="15"/>
        <v>0.31381071938345922</v>
      </c>
      <c r="K38" s="66">
        <f t="shared" si="16"/>
        <v>70.920697532919093</v>
      </c>
      <c r="L38" s="66">
        <v>20</v>
      </c>
      <c r="M38" s="54">
        <f>Protein_Amt!$B$6</f>
        <v>115.94140749073421</v>
      </c>
      <c r="N38" s="66">
        <f t="shared" si="17"/>
        <v>638.28627779627186</v>
      </c>
      <c r="O38" s="66">
        <f t="shared" si="18"/>
        <v>80</v>
      </c>
      <c r="P38" s="66">
        <f t="shared" si="19"/>
        <v>463.76562996293683</v>
      </c>
      <c r="Q38" s="67">
        <f t="shared" si="20"/>
        <v>1182.0519077592087</v>
      </c>
      <c r="S38" s="63">
        <f>VLOOKUP($A38,FoodLog!$A$1:$Z$9562,12,0)</f>
        <v>0</v>
      </c>
      <c r="T38" s="63">
        <f>VLOOKUP($A38,FoodLog!$A$1:$Z$9562,13,0)</f>
        <v>0</v>
      </c>
      <c r="U38" s="63">
        <f>VLOOKUP($A38,FoodLog!$A$1:$Z$9562,14,0)</f>
        <v>0</v>
      </c>
      <c r="V38" s="63">
        <f>VLOOKUP($A38,FoodLog!$A$1:$Z$9562,15,0)</f>
        <v>0</v>
      </c>
      <c r="W38" s="60">
        <f>-VLOOKUP($A38,FoodLog!$A$1:$S$1122,16,0)</f>
        <v>-638.28627779627186</v>
      </c>
      <c r="X38" s="60">
        <f>VLOOKUP($A38,FoodLog!$A$1:$S$1122,17,0)</f>
        <v>80</v>
      </c>
      <c r="Y38" s="60">
        <f>-VLOOKUP($A38,FoodLog!$A$1:$S$1122,18,0)</f>
        <v>-463.76562996293683</v>
      </c>
      <c r="Z38" s="60">
        <f>-VLOOKUP($A38,FoodLog!$A$1:$S$1122,19,0)</f>
        <v>-1182.0519077592087</v>
      </c>
      <c r="AA38" s="61">
        <f t="shared" si="21"/>
        <v>0.31381071938345922</v>
      </c>
      <c r="AB38" s="62">
        <f>Scale!C38</f>
        <v>0</v>
      </c>
      <c r="AC38" s="65"/>
    </row>
    <row r="39" spans="1:29" x14ac:dyDescent="0.25">
      <c r="A39" s="64">
        <f t="shared" si="22"/>
        <v>43067</v>
      </c>
      <c r="B39" s="65">
        <f t="shared" si="23"/>
        <v>37</v>
      </c>
      <c r="C39" s="66">
        <f t="shared" si="24"/>
        <v>180.04319115506999</v>
      </c>
      <c r="D39" s="66">
        <f t="shared" si="25"/>
        <v>144.92675936341774</v>
      </c>
      <c r="E39" s="67">
        <f t="shared" si="14"/>
        <v>35.116431791652246</v>
      </c>
      <c r="F39" s="56"/>
      <c r="G39" s="68">
        <f>C39*TDEE!$B$5</f>
        <v>2276.4216803034619</v>
      </c>
      <c r="H39" s="66">
        <f t="shared" si="26"/>
        <v>1088.6093855412196</v>
      </c>
      <c r="I39" s="66">
        <f t="shared" si="27"/>
        <v>1187.8122947622423</v>
      </c>
      <c r="J39" s="58">
        <f t="shared" si="15"/>
        <v>0.31103125301177703</v>
      </c>
      <c r="K39" s="66">
        <f t="shared" si="16"/>
        <v>71.560740533256165</v>
      </c>
      <c r="L39" s="66">
        <v>20</v>
      </c>
      <c r="M39" s="54">
        <f>Protein_Amt!$B$6</f>
        <v>115.94140749073421</v>
      </c>
      <c r="N39" s="66">
        <f t="shared" si="17"/>
        <v>644.04666479930552</v>
      </c>
      <c r="O39" s="66">
        <f t="shared" si="18"/>
        <v>80</v>
      </c>
      <c r="P39" s="66">
        <f t="shared" si="19"/>
        <v>463.76562996293683</v>
      </c>
      <c r="Q39" s="67">
        <f t="shared" si="20"/>
        <v>1187.8122947622423</v>
      </c>
      <c r="S39" s="63">
        <f>VLOOKUP($A39,FoodLog!$A$1:$Z$9562,12,0)</f>
        <v>0</v>
      </c>
      <c r="T39" s="63">
        <f>VLOOKUP($A39,FoodLog!$A$1:$Z$9562,13,0)</f>
        <v>0</v>
      </c>
      <c r="U39" s="63">
        <f>VLOOKUP($A39,FoodLog!$A$1:$Z$9562,14,0)</f>
        <v>0</v>
      </c>
      <c r="V39" s="63">
        <f>VLOOKUP($A39,FoodLog!$A$1:$Z$9562,15,0)</f>
        <v>0</v>
      </c>
      <c r="W39" s="60">
        <f>-VLOOKUP($A39,FoodLog!$A$1:$S$1122,16,0)</f>
        <v>-644.04666479930552</v>
      </c>
      <c r="X39" s="60">
        <f>VLOOKUP($A39,FoodLog!$A$1:$S$1122,17,0)</f>
        <v>80</v>
      </c>
      <c r="Y39" s="60">
        <f>-VLOOKUP($A39,FoodLog!$A$1:$S$1122,18,0)</f>
        <v>-463.76562996293683</v>
      </c>
      <c r="Z39" s="60">
        <f>-VLOOKUP($A39,FoodLog!$A$1:$S$1122,19,0)</f>
        <v>-1187.8122947622423</v>
      </c>
      <c r="AA39" s="61">
        <f t="shared" si="21"/>
        <v>0.31103125301177703</v>
      </c>
      <c r="AB39" s="62">
        <f>Scale!C39</f>
        <v>0</v>
      </c>
      <c r="AC39" s="65"/>
    </row>
    <row r="40" spans="1:29" x14ac:dyDescent="0.25">
      <c r="A40" s="64">
        <f t="shared" si="22"/>
        <v>43068</v>
      </c>
      <c r="B40" s="65">
        <f t="shared" si="23"/>
        <v>38</v>
      </c>
      <c r="C40" s="66">
        <f t="shared" si="24"/>
        <v>179.73215990205821</v>
      </c>
      <c r="D40" s="66">
        <f t="shared" si="25"/>
        <v>144.92675936341774</v>
      </c>
      <c r="E40" s="67">
        <f t="shared" si="14"/>
        <v>34.80540053864047</v>
      </c>
      <c r="F40" s="56"/>
      <c r="G40" s="68">
        <f>C40*TDEE!$B$5</f>
        <v>2272.4890778925324</v>
      </c>
      <c r="H40" s="66">
        <f t="shared" si="26"/>
        <v>1078.9674166978546</v>
      </c>
      <c r="I40" s="66">
        <f t="shared" si="27"/>
        <v>1193.5216611946778</v>
      </c>
      <c r="J40" s="58">
        <f t="shared" si="15"/>
        <v>0.30827640477081558</v>
      </c>
      <c r="K40" s="66">
        <f t="shared" si="16"/>
        <v>72.195114581304551</v>
      </c>
      <c r="L40" s="66">
        <v>20</v>
      </c>
      <c r="M40" s="54">
        <f>Protein_Amt!$B$6</f>
        <v>115.94140749073421</v>
      </c>
      <c r="N40" s="66">
        <f t="shared" si="17"/>
        <v>649.75603123174096</v>
      </c>
      <c r="O40" s="66">
        <f t="shared" si="18"/>
        <v>80</v>
      </c>
      <c r="P40" s="66">
        <f t="shared" si="19"/>
        <v>463.76562996293683</v>
      </c>
      <c r="Q40" s="67">
        <f t="shared" si="20"/>
        <v>1193.5216611946778</v>
      </c>
      <c r="S40" s="63">
        <f>VLOOKUP($A40,FoodLog!$A$1:$Z$9562,12,0)</f>
        <v>0</v>
      </c>
      <c r="T40" s="63">
        <f>VLOOKUP($A40,FoodLog!$A$1:$Z$9562,13,0)</f>
        <v>0</v>
      </c>
      <c r="U40" s="63">
        <f>VLOOKUP($A40,FoodLog!$A$1:$Z$9562,14,0)</f>
        <v>0</v>
      </c>
      <c r="V40" s="63">
        <f>VLOOKUP($A40,FoodLog!$A$1:$Z$9562,15,0)</f>
        <v>0</v>
      </c>
      <c r="W40" s="60">
        <f>-VLOOKUP($A40,FoodLog!$A$1:$S$1122,16,0)</f>
        <v>-649.75603123174096</v>
      </c>
      <c r="X40" s="60">
        <f>VLOOKUP($A40,FoodLog!$A$1:$S$1122,17,0)</f>
        <v>80</v>
      </c>
      <c r="Y40" s="60">
        <f>-VLOOKUP($A40,FoodLog!$A$1:$S$1122,18,0)</f>
        <v>-463.76562996293683</v>
      </c>
      <c r="Z40" s="60">
        <f>-VLOOKUP($A40,FoodLog!$A$1:$S$1122,19,0)</f>
        <v>-1193.5216611946778</v>
      </c>
      <c r="AA40" s="61">
        <f t="shared" si="21"/>
        <v>0.30827640477081558</v>
      </c>
      <c r="AB40" s="62">
        <f>Scale!C40</f>
        <v>0</v>
      </c>
      <c r="AC40" s="65"/>
    </row>
    <row r="41" spans="1:29" x14ac:dyDescent="0.25">
      <c r="A41" s="64">
        <f t="shared" si="22"/>
        <v>43069</v>
      </c>
      <c r="B41" s="65">
        <f t="shared" si="23"/>
        <v>39</v>
      </c>
      <c r="C41" s="66">
        <f t="shared" si="24"/>
        <v>179.42388349728739</v>
      </c>
      <c r="D41" s="66">
        <f t="shared" si="25"/>
        <v>144.92675936341774</v>
      </c>
      <c r="E41" s="67">
        <f t="shared" si="14"/>
        <v>34.497124133869647</v>
      </c>
      <c r="F41" s="56"/>
      <c r="G41" s="68">
        <f>C41*TDEE!$B$5</f>
        <v>2268.5913071029559</v>
      </c>
      <c r="H41" s="66">
        <f t="shared" si="26"/>
        <v>1069.4108481499591</v>
      </c>
      <c r="I41" s="66">
        <f t="shared" si="27"/>
        <v>1199.1804589529968</v>
      </c>
      <c r="J41" s="58">
        <f t="shared" si="15"/>
        <v>0.30554595661427403</v>
      </c>
      <c r="K41" s="66">
        <f t="shared" si="16"/>
        <v>72.82386988778444</v>
      </c>
      <c r="L41" s="66">
        <v>20</v>
      </c>
      <c r="M41" s="54">
        <f>Protein_Amt!$B$6</f>
        <v>115.94140749073421</v>
      </c>
      <c r="N41" s="66">
        <f t="shared" si="17"/>
        <v>655.41482899005996</v>
      </c>
      <c r="O41" s="66">
        <f t="shared" si="18"/>
        <v>80</v>
      </c>
      <c r="P41" s="66">
        <f t="shared" si="19"/>
        <v>463.76562996293683</v>
      </c>
      <c r="Q41" s="67">
        <f t="shared" si="20"/>
        <v>1199.1804589529968</v>
      </c>
      <c r="S41" s="63">
        <f>VLOOKUP($A41,FoodLog!$A$1:$Z$9562,12,0)</f>
        <v>0</v>
      </c>
      <c r="T41" s="63">
        <f>VLOOKUP($A41,FoodLog!$A$1:$Z$9562,13,0)</f>
        <v>0</v>
      </c>
      <c r="U41" s="63">
        <f>VLOOKUP($A41,FoodLog!$A$1:$Z$9562,14,0)</f>
        <v>0</v>
      </c>
      <c r="V41" s="63">
        <f>VLOOKUP($A41,FoodLog!$A$1:$Z$9562,15,0)</f>
        <v>0</v>
      </c>
      <c r="W41" s="60">
        <f>-VLOOKUP($A41,FoodLog!$A$1:$S$1122,16,0)</f>
        <v>-655.41482899005996</v>
      </c>
      <c r="X41" s="60">
        <f>VLOOKUP($A41,FoodLog!$A$1:$S$1122,17,0)</f>
        <v>80</v>
      </c>
      <c r="Y41" s="60">
        <f>-VLOOKUP($A41,FoodLog!$A$1:$S$1122,18,0)</f>
        <v>-463.76562996293683</v>
      </c>
      <c r="Z41" s="60">
        <f>-VLOOKUP($A41,FoodLog!$A$1:$S$1122,19,0)</f>
        <v>-1199.1804589529968</v>
      </c>
      <c r="AA41" s="61">
        <f t="shared" si="21"/>
        <v>0.30554595661427403</v>
      </c>
      <c r="AB41" s="62">
        <f>Scale!C41</f>
        <v>0</v>
      </c>
      <c r="AC41" s="65"/>
    </row>
    <row r="42" spans="1:29" x14ac:dyDescent="0.25">
      <c r="A42" s="64">
        <f t="shared" si="22"/>
        <v>43070</v>
      </c>
      <c r="B42" s="65">
        <f t="shared" si="23"/>
        <v>40</v>
      </c>
      <c r="C42" s="66">
        <f t="shared" si="24"/>
        <v>179.11833754067311</v>
      </c>
      <c r="D42" s="66">
        <f t="shared" si="25"/>
        <v>144.92675936341774</v>
      </c>
      <c r="E42" s="67">
        <f t="shared" si="14"/>
        <v>34.191578177255366</v>
      </c>
      <c r="F42" s="56"/>
      <c r="G42" s="68">
        <f>C42*TDEE!$B$5</f>
        <v>2264.7280594260874</v>
      </c>
      <c r="H42" s="66">
        <f t="shared" si="26"/>
        <v>1059.9389234949163</v>
      </c>
      <c r="I42" s="66">
        <f t="shared" si="27"/>
        <v>1204.7891359311711</v>
      </c>
      <c r="J42" s="58">
        <f t="shared" si="15"/>
        <v>0.30283969242711894</v>
      </c>
      <c r="K42" s="66">
        <f t="shared" si="16"/>
        <v>73.447056218692694</v>
      </c>
      <c r="L42" s="66">
        <v>20</v>
      </c>
      <c r="M42" s="54">
        <f>Protein_Amt!$B$6</f>
        <v>115.94140749073421</v>
      </c>
      <c r="N42" s="66">
        <f t="shared" si="17"/>
        <v>661.0235059682343</v>
      </c>
      <c r="O42" s="66">
        <f t="shared" si="18"/>
        <v>80</v>
      </c>
      <c r="P42" s="66">
        <f t="shared" si="19"/>
        <v>463.76562996293683</v>
      </c>
      <c r="Q42" s="67">
        <f t="shared" si="20"/>
        <v>1204.7891359311711</v>
      </c>
      <c r="S42" s="63">
        <f>VLOOKUP($A42,FoodLog!$A$1:$Z$9562,12,0)</f>
        <v>0</v>
      </c>
      <c r="T42" s="63">
        <f>VLOOKUP($A42,FoodLog!$A$1:$Z$9562,13,0)</f>
        <v>0</v>
      </c>
      <c r="U42" s="63">
        <f>VLOOKUP($A42,FoodLog!$A$1:$Z$9562,14,0)</f>
        <v>0</v>
      </c>
      <c r="V42" s="63">
        <f>VLOOKUP($A42,FoodLog!$A$1:$Z$9562,15,0)</f>
        <v>0</v>
      </c>
      <c r="W42" s="60">
        <f>-VLOOKUP($A42,FoodLog!$A$1:$S$1122,16,0)</f>
        <v>-661.0235059682343</v>
      </c>
      <c r="X42" s="60">
        <f>VLOOKUP($A42,FoodLog!$A$1:$S$1122,17,0)</f>
        <v>80</v>
      </c>
      <c r="Y42" s="60">
        <f>-VLOOKUP($A42,FoodLog!$A$1:$S$1122,18,0)</f>
        <v>-463.76562996293683</v>
      </c>
      <c r="Z42" s="60">
        <f>-VLOOKUP($A42,FoodLog!$A$1:$S$1122,19,0)</f>
        <v>-1204.7891359311711</v>
      </c>
      <c r="AA42" s="61">
        <f t="shared" si="21"/>
        <v>0.30283969242711894</v>
      </c>
      <c r="AB42" s="62">
        <f>Scale!C42</f>
        <v>0</v>
      </c>
      <c r="AC42" s="65"/>
    </row>
    <row r="43" spans="1:29" x14ac:dyDescent="0.25">
      <c r="A43" s="64">
        <f t="shared" si="22"/>
        <v>43071</v>
      </c>
      <c r="B43" s="65">
        <f t="shared" si="23"/>
        <v>41</v>
      </c>
      <c r="C43" s="66">
        <f t="shared" si="24"/>
        <v>178.815497848246</v>
      </c>
      <c r="D43" s="66">
        <f t="shared" si="25"/>
        <v>144.92675936341774</v>
      </c>
      <c r="E43" s="67">
        <f t="shared" si="14"/>
        <v>33.888738484828252</v>
      </c>
      <c r="F43" s="56"/>
      <c r="G43" s="68">
        <f>C43*TDEE!$B$5</f>
        <v>2260.899029085786</v>
      </c>
      <c r="H43" s="66">
        <f t="shared" si="26"/>
        <v>1050.5508930296758</v>
      </c>
      <c r="I43" s="66">
        <f t="shared" si="27"/>
        <v>1210.3481360561102</v>
      </c>
      <c r="J43" s="58">
        <f t="shared" si="15"/>
        <v>0.30015739800847879</v>
      </c>
      <c r="K43" s="66">
        <f t="shared" si="16"/>
        <v>74.064722899241488</v>
      </c>
      <c r="L43" s="66">
        <v>20</v>
      </c>
      <c r="M43" s="54">
        <f>Protein_Amt!$B$6</f>
        <v>115.94140749073421</v>
      </c>
      <c r="N43" s="66">
        <f t="shared" si="17"/>
        <v>666.58250609317338</v>
      </c>
      <c r="O43" s="66">
        <f t="shared" si="18"/>
        <v>80</v>
      </c>
      <c r="P43" s="66">
        <f t="shared" si="19"/>
        <v>463.76562996293683</v>
      </c>
      <c r="Q43" s="67">
        <f t="shared" si="20"/>
        <v>1210.3481360561102</v>
      </c>
      <c r="S43" s="63">
        <f>VLOOKUP($A43,FoodLog!$A$1:$Z$9562,12,0)</f>
        <v>0</v>
      </c>
      <c r="T43" s="63">
        <f>VLOOKUP($A43,FoodLog!$A$1:$Z$9562,13,0)</f>
        <v>0</v>
      </c>
      <c r="U43" s="63">
        <f>VLOOKUP($A43,FoodLog!$A$1:$Z$9562,14,0)</f>
        <v>0</v>
      </c>
      <c r="V43" s="63">
        <f>VLOOKUP($A43,FoodLog!$A$1:$Z$9562,15,0)</f>
        <v>0</v>
      </c>
      <c r="W43" s="60">
        <f>-VLOOKUP($A43,FoodLog!$A$1:$S$1122,16,0)</f>
        <v>-666.58250609317338</v>
      </c>
      <c r="X43" s="60">
        <f>VLOOKUP($A43,FoodLog!$A$1:$S$1122,17,0)</f>
        <v>80</v>
      </c>
      <c r="Y43" s="60">
        <f>-VLOOKUP($A43,FoodLog!$A$1:$S$1122,18,0)</f>
        <v>-463.76562996293683</v>
      </c>
      <c r="Z43" s="60">
        <f>-VLOOKUP($A43,FoodLog!$A$1:$S$1122,19,0)</f>
        <v>-1210.3481360561102</v>
      </c>
      <c r="AA43" s="61">
        <f t="shared" si="21"/>
        <v>0.30015739800847879</v>
      </c>
      <c r="AB43" s="62">
        <f>Scale!C43</f>
        <v>0</v>
      </c>
      <c r="AC43" s="65"/>
    </row>
    <row r="44" spans="1:29" x14ac:dyDescent="0.25">
      <c r="A44" s="64">
        <f t="shared" si="22"/>
        <v>43072</v>
      </c>
      <c r="B44" s="65">
        <f t="shared" si="23"/>
        <v>42</v>
      </c>
      <c r="C44" s="66">
        <f t="shared" si="24"/>
        <v>178.51534045023752</v>
      </c>
      <c r="D44" s="66">
        <f t="shared" si="25"/>
        <v>144.92675936341774</v>
      </c>
      <c r="E44" s="67">
        <f t="shared" si="14"/>
        <v>33.588581086819772</v>
      </c>
      <c r="F44" s="56"/>
      <c r="G44" s="68">
        <f>C44*TDEE!$B$5</f>
        <v>2257.1039130142121</v>
      </c>
      <c r="H44" s="66">
        <f t="shared" si="26"/>
        <v>1041.2460136914128</v>
      </c>
      <c r="I44" s="66">
        <f t="shared" si="27"/>
        <v>1215.8578993227993</v>
      </c>
      <c r="J44" s="58">
        <f t="shared" si="15"/>
        <v>0.29749886105468937</v>
      </c>
      <c r="K44" s="66">
        <f t="shared" si="16"/>
        <v>74.676918817762498</v>
      </c>
      <c r="L44" s="66">
        <v>20</v>
      </c>
      <c r="M44" s="54">
        <f>Protein_Amt!$B$6</f>
        <v>115.94140749073421</v>
      </c>
      <c r="N44" s="66">
        <f t="shared" si="17"/>
        <v>672.09226935986248</v>
      </c>
      <c r="O44" s="66">
        <f t="shared" si="18"/>
        <v>80</v>
      </c>
      <c r="P44" s="66">
        <f t="shared" si="19"/>
        <v>463.76562996293683</v>
      </c>
      <c r="Q44" s="67">
        <f t="shared" si="20"/>
        <v>1215.8578993227993</v>
      </c>
      <c r="S44" s="63">
        <f>VLOOKUP($A44,FoodLog!$A$1:$Z$9562,12,0)</f>
        <v>0</v>
      </c>
      <c r="T44" s="63">
        <f>VLOOKUP($A44,FoodLog!$A$1:$Z$9562,13,0)</f>
        <v>0</v>
      </c>
      <c r="U44" s="63">
        <f>VLOOKUP($A44,FoodLog!$A$1:$Z$9562,14,0)</f>
        <v>0</v>
      </c>
      <c r="V44" s="63">
        <f>VLOOKUP($A44,FoodLog!$A$1:$Z$9562,15,0)</f>
        <v>0</v>
      </c>
      <c r="W44" s="60">
        <f>-VLOOKUP($A44,FoodLog!$A$1:$S$1122,16,0)</f>
        <v>-672.09226935986248</v>
      </c>
      <c r="X44" s="60">
        <f>VLOOKUP($A44,FoodLog!$A$1:$S$1122,17,0)</f>
        <v>80</v>
      </c>
      <c r="Y44" s="60">
        <f>-VLOOKUP($A44,FoodLog!$A$1:$S$1122,18,0)</f>
        <v>-463.76562996293683</v>
      </c>
      <c r="Z44" s="60">
        <f>-VLOOKUP($A44,FoodLog!$A$1:$S$1122,19,0)</f>
        <v>-1215.8578993227993</v>
      </c>
      <c r="AA44" s="61">
        <f t="shared" si="21"/>
        <v>0.29749886105468937</v>
      </c>
      <c r="AB44" s="62">
        <f>Scale!C44</f>
        <v>0</v>
      </c>
      <c r="AC44" s="65"/>
    </row>
    <row r="45" spans="1:29" x14ac:dyDescent="0.25">
      <c r="A45" s="64">
        <f t="shared" si="22"/>
        <v>43073</v>
      </c>
      <c r="B45" s="65">
        <f t="shared" si="23"/>
        <v>43</v>
      </c>
      <c r="C45" s="66">
        <f t="shared" si="24"/>
        <v>178.21784158918283</v>
      </c>
      <c r="D45" s="66">
        <f t="shared" si="25"/>
        <v>144.92675936341774</v>
      </c>
      <c r="E45" s="67">
        <f t="shared" si="14"/>
        <v>33.291082225765081</v>
      </c>
      <c r="F45" s="56"/>
      <c r="G45" s="68">
        <f>C45*TDEE!$B$5</f>
        <v>2253.3424108278441</v>
      </c>
      <c r="H45" s="66">
        <f t="shared" si="26"/>
        <v>1032.0235489987176</v>
      </c>
      <c r="I45" s="66">
        <f t="shared" si="27"/>
        <v>1221.3188618291265</v>
      </c>
      <c r="J45" s="58">
        <f t="shared" si="15"/>
        <v>0.29486387114249074</v>
      </c>
      <c r="K45" s="66">
        <f t="shared" si="16"/>
        <v>75.283692429576632</v>
      </c>
      <c r="L45" s="66">
        <v>20</v>
      </c>
      <c r="M45" s="54">
        <f>Protein_Amt!$B$6</f>
        <v>115.94140749073421</v>
      </c>
      <c r="N45" s="66">
        <f t="shared" si="17"/>
        <v>677.55323186618966</v>
      </c>
      <c r="O45" s="66">
        <f t="shared" si="18"/>
        <v>80</v>
      </c>
      <c r="P45" s="66">
        <f t="shared" si="19"/>
        <v>463.76562996293683</v>
      </c>
      <c r="Q45" s="67">
        <f t="shared" si="20"/>
        <v>1221.3188618291265</v>
      </c>
      <c r="S45" s="63">
        <f>VLOOKUP($A45,FoodLog!$A$1:$Z$9562,12,0)</f>
        <v>0</v>
      </c>
      <c r="T45" s="63">
        <f>VLOOKUP($A45,FoodLog!$A$1:$Z$9562,13,0)</f>
        <v>0</v>
      </c>
      <c r="U45" s="63">
        <f>VLOOKUP($A45,FoodLog!$A$1:$Z$9562,14,0)</f>
        <v>0</v>
      </c>
      <c r="V45" s="63">
        <f>VLOOKUP($A45,FoodLog!$A$1:$Z$9562,15,0)</f>
        <v>0</v>
      </c>
      <c r="W45" s="60">
        <f>-VLOOKUP($A45,FoodLog!$A$1:$S$1122,16,0)</f>
        <v>-677.55323186618966</v>
      </c>
      <c r="X45" s="60">
        <f>VLOOKUP($A45,FoodLog!$A$1:$S$1122,17,0)</f>
        <v>80</v>
      </c>
      <c r="Y45" s="60">
        <f>-VLOOKUP($A45,FoodLog!$A$1:$S$1122,18,0)</f>
        <v>-463.76562996293683</v>
      </c>
      <c r="Z45" s="60">
        <f>-VLOOKUP($A45,FoodLog!$A$1:$S$1122,19,0)</f>
        <v>-1221.3188618291265</v>
      </c>
      <c r="AA45" s="61">
        <f t="shared" si="21"/>
        <v>0.29486387114249074</v>
      </c>
      <c r="AB45" s="62">
        <f>Scale!C45</f>
        <v>0</v>
      </c>
      <c r="AC45" s="65"/>
    </row>
    <row r="46" spans="1:29" x14ac:dyDescent="0.25">
      <c r="A46" s="64">
        <f t="shared" si="22"/>
        <v>43074</v>
      </c>
      <c r="B46" s="65">
        <f t="shared" si="23"/>
        <v>44</v>
      </c>
      <c r="C46" s="66">
        <f t="shared" si="24"/>
        <v>177.92297771804033</v>
      </c>
      <c r="D46" s="66">
        <f t="shared" si="25"/>
        <v>144.92675936341774</v>
      </c>
      <c r="E46" s="67">
        <f t="shared" si="14"/>
        <v>32.996218354622584</v>
      </c>
      <c r="F46" s="56"/>
      <c r="G46" s="68">
        <f>C46*TDEE!$B$5</f>
        <v>2249.6142248036981</v>
      </c>
      <c r="H46" s="66">
        <f t="shared" si="26"/>
        <v>1022.8827689933001</v>
      </c>
      <c r="I46" s="66">
        <f t="shared" si="27"/>
        <v>1226.7314558103981</v>
      </c>
      <c r="J46" s="58">
        <f t="shared" si="15"/>
        <v>0.29225221971237147</v>
      </c>
      <c r="K46" s="66">
        <f t="shared" si="16"/>
        <v>75.885091760829027</v>
      </c>
      <c r="L46" s="66">
        <v>20</v>
      </c>
      <c r="M46" s="54">
        <f>Protein_Amt!$B$6</f>
        <v>115.94140749073421</v>
      </c>
      <c r="N46" s="66">
        <f t="shared" si="17"/>
        <v>682.96582584746125</v>
      </c>
      <c r="O46" s="66">
        <f t="shared" si="18"/>
        <v>80</v>
      </c>
      <c r="P46" s="66">
        <f t="shared" si="19"/>
        <v>463.76562996293683</v>
      </c>
      <c r="Q46" s="67">
        <f t="shared" si="20"/>
        <v>1226.7314558103981</v>
      </c>
      <c r="S46" s="63">
        <f>VLOOKUP($A46,FoodLog!$A$1:$Z$9562,12,0)</f>
        <v>0</v>
      </c>
      <c r="T46" s="63">
        <f>VLOOKUP($A46,FoodLog!$A$1:$Z$9562,13,0)</f>
        <v>0</v>
      </c>
      <c r="U46" s="63">
        <f>VLOOKUP($A46,FoodLog!$A$1:$Z$9562,14,0)</f>
        <v>0</v>
      </c>
      <c r="V46" s="63">
        <f>VLOOKUP($A46,FoodLog!$A$1:$Z$9562,15,0)</f>
        <v>0</v>
      </c>
      <c r="W46" s="60">
        <f>-VLOOKUP($A46,FoodLog!$A$1:$S$1122,16,0)</f>
        <v>-682.96582584746125</v>
      </c>
      <c r="X46" s="60">
        <f>VLOOKUP($A46,FoodLog!$A$1:$S$1122,17,0)</f>
        <v>80</v>
      </c>
      <c r="Y46" s="60">
        <f>-VLOOKUP($A46,FoodLog!$A$1:$S$1122,18,0)</f>
        <v>-463.76562996293683</v>
      </c>
      <c r="Z46" s="60">
        <f>-VLOOKUP($A46,FoodLog!$A$1:$S$1122,19,0)</f>
        <v>-1226.7314558103981</v>
      </c>
      <c r="AA46" s="61">
        <f t="shared" si="21"/>
        <v>0.29225221971237142</v>
      </c>
      <c r="AB46" s="62">
        <f>Scale!C46</f>
        <v>0</v>
      </c>
      <c r="AC46" s="65"/>
    </row>
    <row r="47" spans="1:29" x14ac:dyDescent="0.25">
      <c r="A47" s="64">
        <f t="shared" si="22"/>
        <v>43075</v>
      </c>
      <c r="B47" s="65">
        <f t="shared" si="23"/>
        <v>45</v>
      </c>
      <c r="C47" s="66">
        <f t="shared" si="24"/>
        <v>177.63072549832796</v>
      </c>
      <c r="D47" s="66">
        <f t="shared" si="25"/>
        <v>144.92675936341774</v>
      </c>
      <c r="E47" s="67">
        <f t="shared" si="14"/>
        <v>32.703966134910218</v>
      </c>
      <c r="F47" s="56"/>
      <c r="G47" s="68">
        <f>C47*TDEE!$B$5</f>
        <v>2245.9190598557661</v>
      </c>
      <c r="H47" s="66">
        <f t="shared" si="26"/>
        <v>1013.8229501822168</v>
      </c>
      <c r="I47" s="66">
        <f t="shared" si="27"/>
        <v>1232.0961096735493</v>
      </c>
      <c r="J47" s="58">
        <f t="shared" si="15"/>
        <v>0.28966370005206193</v>
      </c>
      <c r="K47" s="66">
        <f t="shared" si="16"/>
        <v>76.481164412290283</v>
      </c>
      <c r="L47" s="66">
        <v>20</v>
      </c>
      <c r="M47" s="54">
        <f>Protein_Amt!$B$6</f>
        <v>115.94140749073421</v>
      </c>
      <c r="N47" s="66">
        <f t="shared" si="17"/>
        <v>688.33047971061251</v>
      </c>
      <c r="O47" s="66">
        <f t="shared" si="18"/>
        <v>80</v>
      </c>
      <c r="P47" s="66">
        <f t="shared" si="19"/>
        <v>463.76562996293683</v>
      </c>
      <c r="Q47" s="67">
        <f t="shared" si="20"/>
        <v>1232.0961096735493</v>
      </c>
      <c r="S47" s="63">
        <f>VLOOKUP($A47,FoodLog!$A$1:$Z$9562,12,0)</f>
        <v>0</v>
      </c>
      <c r="T47" s="63">
        <f>VLOOKUP($A47,FoodLog!$A$1:$Z$9562,13,0)</f>
        <v>0</v>
      </c>
      <c r="U47" s="63">
        <f>VLOOKUP($A47,FoodLog!$A$1:$Z$9562,14,0)</f>
        <v>0</v>
      </c>
      <c r="V47" s="63">
        <f>VLOOKUP($A47,FoodLog!$A$1:$Z$9562,15,0)</f>
        <v>0</v>
      </c>
      <c r="W47" s="60">
        <f>-VLOOKUP($A47,FoodLog!$A$1:$S$1122,16,0)</f>
        <v>-688.33047971061251</v>
      </c>
      <c r="X47" s="60">
        <f>VLOOKUP($A47,FoodLog!$A$1:$S$1122,17,0)</f>
        <v>80</v>
      </c>
      <c r="Y47" s="60">
        <f>-VLOOKUP($A47,FoodLog!$A$1:$S$1122,18,0)</f>
        <v>-463.76562996293683</v>
      </c>
      <c r="Z47" s="60">
        <f>-VLOOKUP($A47,FoodLog!$A$1:$S$1122,19,0)</f>
        <v>-1232.0961096735493</v>
      </c>
      <c r="AA47" s="61">
        <f t="shared" si="21"/>
        <v>0.28966370005206193</v>
      </c>
      <c r="AB47" s="62">
        <f>Scale!C47</f>
        <v>0</v>
      </c>
      <c r="AC47" s="65"/>
    </row>
    <row r="48" spans="1:29" x14ac:dyDescent="0.25">
      <c r="A48" s="64">
        <f t="shared" si="22"/>
        <v>43076</v>
      </c>
      <c r="B48" s="65">
        <f t="shared" si="23"/>
        <v>46</v>
      </c>
      <c r="C48" s="66">
        <f t="shared" si="24"/>
        <v>177.34106179827589</v>
      </c>
      <c r="D48" s="66">
        <f t="shared" si="25"/>
        <v>144.92675936341774</v>
      </c>
      <c r="E48" s="67">
        <f t="shared" si="14"/>
        <v>32.414302434858143</v>
      </c>
      <c r="F48" s="56"/>
      <c r="G48" s="68">
        <f>C48*TDEE!$B$5</f>
        <v>2242.2566235116583</v>
      </c>
      <c r="H48" s="66">
        <f t="shared" si="26"/>
        <v>1004.8433754806024</v>
      </c>
      <c r="I48" s="66">
        <f t="shared" si="27"/>
        <v>1237.4132480310559</v>
      </c>
      <c r="J48" s="58">
        <f t="shared" si="15"/>
        <v>0.2870981072801721</v>
      </c>
      <c r="K48" s="66">
        <f t="shared" si="16"/>
        <v>77.071957563124343</v>
      </c>
      <c r="L48" s="66">
        <v>20</v>
      </c>
      <c r="M48" s="54">
        <f>Protein_Amt!$B$6</f>
        <v>115.94140749073421</v>
      </c>
      <c r="N48" s="66">
        <f t="shared" si="17"/>
        <v>693.64761806811907</v>
      </c>
      <c r="O48" s="66">
        <f t="shared" si="18"/>
        <v>80</v>
      </c>
      <c r="P48" s="66">
        <f t="shared" si="19"/>
        <v>463.76562996293683</v>
      </c>
      <c r="Q48" s="67">
        <f t="shared" si="20"/>
        <v>1237.4132480310559</v>
      </c>
      <c r="S48" s="63">
        <f>VLOOKUP($A48,FoodLog!$A$1:$Z$9562,12,0)</f>
        <v>0</v>
      </c>
      <c r="T48" s="63">
        <f>VLOOKUP($A48,FoodLog!$A$1:$Z$9562,13,0)</f>
        <v>0</v>
      </c>
      <c r="U48" s="63">
        <f>VLOOKUP($A48,FoodLog!$A$1:$Z$9562,14,0)</f>
        <v>0</v>
      </c>
      <c r="V48" s="63">
        <f>VLOOKUP($A48,FoodLog!$A$1:$Z$9562,15,0)</f>
        <v>0</v>
      </c>
      <c r="W48" s="60">
        <f>-VLOOKUP($A48,FoodLog!$A$1:$S$1122,16,0)</f>
        <v>-693.64761806811907</v>
      </c>
      <c r="X48" s="60">
        <f>VLOOKUP($A48,FoodLog!$A$1:$S$1122,17,0)</f>
        <v>80</v>
      </c>
      <c r="Y48" s="60">
        <f>-VLOOKUP($A48,FoodLog!$A$1:$S$1122,18,0)</f>
        <v>-463.76562996293683</v>
      </c>
      <c r="Z48" s="60">
        <f>-VLOOKUP($A48,FoodLog!$A$1:$S$1122,19,0)</f>
        <v>-1237.4132480310559</v>
      </c>
      <c r="AA48" s="61">
        <f t="shared" si="21"/>
        <v>0.2870981072801721</v>
      </c>
      <c r="AB48" s="62">
        <f>Scale!C48</f>
        <v>0</v>
      </c>
      <c r="AC48" s="65"/>
    </row>
    <row r="49" spans="1:29" x14ac:dyDescent="0.25">
      <c r="A49" s="64">
        <f t="shared" si="22"/>
        <v>43077</v>
      </c>
      <c r="B49" s="65">
        <f t="shared" si="23"/>
        <v>47</v>
      </c>
      <c r="C49" s="66">
        <f t="shared" si="24"/>
        <v>177.05396369099572</v>
      </c>
      <c r="D49" s="66">
        <f t="shared" si="25"/>
        <v>144.92675936341774</v>
      </c>
      <c r="E49" s="67">
        <f t="shared" si="14"/>
        <v>32.127204327577971</v>
      </c>
      <c r="F49" s="56"/>
      <c r="G49" s="68">
        <f>C49*TDEE!$B$5</f>
        <v>2238.6266258894557</v>
      </c>
      <c r="H49" s="66">
        <f t="shared" si="26"/>
        <v>995.94333415491712</v>
      </c>
      <c r="I49" s="66">
        <f t="shared" si="27"/>
        <v>1242.6832917345387</v>
      </c>
      <c r="J49" s="58">
        <f t="shared" si="15"/>
        <v>0.28455523832997631</v>
      </c>
      <c r="K49" s="66">
        <f t="shared" si="16"/>
        <v>77.657517974622422</v>
      </c>
      <c r="L49" s="66">
        <v>20</v>
      </c>
      <c r="M49" s="54">
        <f>Protein_Amt!$B$6</f>
        <v>115.94140749073421</v>
      </c>
      <c r="N49" s="66">
        <f t="shared" si="17"/>
        <v>698.91766177160184</v>
      </c>
      <c r="O49" s="66">
        <f t="shared" si="18"/>
        <v>80</v>
      </c>
      <c r="P49" s="66">
        <f t="shared" si="19"/>
        <v>463.76562996293683</v>
      </c>
      <c r="Q49" s="67">
        <f t="shared" si="20"/>
        <v>1242.6832917345387</v>
      </c>
      <c r="S49" s="63">
        <f>VLOOKUP($A49,FoodLog!$A$1:$Z$9562,12,0)</f>
        <v>0</v>
      </c>
      <c r="T49" s="63">
        <f>VLOOKUP($A49,FoodLog!$A$1:$Z$9562,13,0)</f>
        <v>0</v>
      </c>
      <c r="U49" s="63">
        <f>VLOOKUP($A49,FoodLog!$A$1:$Z$9562,14,0)</f>
        <v>0</v>
      </c>
      <c r="V49" s="63">
        <f>VLOOKUP($A49,FoodLog!$A$1:$Z$9562,15,0)</f>
        <v>0</v>
      </c>
      <c r="W49" s="60">
        <f>-VLOOKUP($A49,FoodLog!$A$1:$S$1122,16,0)</f>
        <v>-698.91766177160184</v>
      </c>
      <c r="X49" s="60">
        <f>VLOOKUP($A49,FoodLog!$A$1:$S$1122,17,0)</f>
        <v>80</v>
      </c>
      <c r="Y49" s="60">
        <f>-VLOOKUP($A49,FoodLog!$A$1:$S$1122,18,0)</f>
        <v>-463.76562996293683</v>
      </c>
      <c r="Z49" s="60">
        <f>-VLOOKUP($A49,FoodLog!$A$1:$S$1122,19,0)</f>
        <v>-1242.6832917345387</v>
      </c>
      <c r="AA49" s="61">
        <f t="shared" si="21"/>
        <v>0.28455523832997631</v>
      </c>
      <c r="AB49" s="62">
        <f>Scale!C49</f>
        <v>0</v>
      </c>
      <c r="AC49" s="65"/>
    </row>
    <row r="50" spans="1:29" x14ac:dyDescent="0.25">
      <c r="A50" s="64">
        <f t="shared" si="22"/>
        <v>43078</v>
      </c>
      <c r="B50" s="65">
        <f t="shared" si="23"/>
        <v>48</v>
      </c>
      <c r="C50" s="66">
        <f t="shared" si="24"/>
        <v>176.76940845266574</v>
      </c>
      <c r="D50" s="66">
        <f t="shared" si="25"/>
        <v>144.92675936341774</v>
      </c>
      <c r="E50" s="67">
        <f t="shared" si="14"/>
        <v>31.842649089247999</v>
      </c>
      <c r="F50" s="56"/>
      <c r="G50" s="68">
        <f>C50*TDEE!$B$5</f>
        <v>2235.0287796747643</v>
      </c>
      <c r="H50" s="66">
        <f t="shared" si="26"/>
        <v>987.122121766688</v>
      </c>
      <c r="I50" s="66">
        <f t="shared" si="27"/>
        <v>1247.9066579080763</v>
      </c>
      <c r="J50" s="58">
        <f t="shared" si="15"/>
        <v>0.28203489193333942</v>
      </c>
      <c r="K50" s="66">
        <f t="shared" si="16"/>
        <v>78.237891993904384</v>
      </c>
      <c r="L50" s="66">
        <v>20</v>
      </c>
      <c r="M50" s="54">
        <f>Protein_Amt!$B$6</f>
        <v>115.94140749073421</v>
      </c>
      <c r="N50" s="66">
        <f t="shared" si="17"/>
        <v>704.14102794513951</v>
      </c>
      <c r="O50" s="66">
        <f t="shared" si="18"/>
        <v>80</v>
      </c>
      <c r="P50" s="66">
        <f t="shared" si="19"/>
        <v>463.76562996293683</v>
      </c>
      <c r="Q50" s="67">
        <f t="shared" si="20"/>
        <v>1247.9066579080763</v>
      </c>
      <c r="S50" s="63">
        <f>VLOOKUP($A50,FoodLog!$A$1:$Z$9562,12,0)</f>
        <v>0</v>
      </c>
      <c r="T50" s="63">
        <f>VLOOKUP($A50,FoodLog!$A$1:$Z$9562,13,0)</f>
        <v>0</v>
      </c>
      <c r="U50" s="63">
        <f>VLOOKUP($A50,FoodLog!$A$1:$Z$9562,14,0)</f>
        <v>0</v>
      </c>
      <c r="V50" s="63">
        <f>VLOOKUP($A50,FoodLog!$A$1:$Z$9562,15,0)</f>
        <v>0</v>
      </c>
      <c r="W50" s="60">
        <f>-VLOOKUP($A50,FoodLog!$A$1:$S$1122,16,0)</f>
        <v>-704.14102794513951</v>
      </c>
      <c r="X50" s="60">
        <f>VLOOKUP($A50,FoodLog!$A$1:$S$1122,17,0)</f>
        <v>80</v>
      </c>
      <c r="Y50" s="60">
        <f>-VLOOKUP($A50,FoodLog!$A$1:$S$1122,18,0)</f>
        <v>-463.76562996293683</v>
      </c>
      <c r="Z50" s="60">
        <f>-VLOOKUP($A50,FoodLog!$A$1:$S$1122,19,0)</f>
        <v>-1247.9066579080763</v>
      </c>
      <c r="AA50" s="61">
        <f t="shared" si="21"/>
        <v>0.28203489193333942</v>
      </c>
      <c r="AB50" s="62">
        <f>Scale!C50</f>
        <v>0</v>
      </c>
      <c r="AC50" s="65"/>
    </row>
    <row r="51" spans="1:29" x14ac:dyDescent="0.25">
      <c r="A51" s="64">
        <f t="shared" si="22"/>
        <v>43079</v>
      </c>
      <c r="B51" s="65">
        <f t="shared" si="23"/>
        <v>49</v>
      </c>
      <c r="C51" s="66">
        <f t="shared" si="24"/>
        <v>176.48737356073241</v>
      </c>
      <c r="D51" s="66">
        <f t="shared" si="25"/>
        <v>144.92675936341774</v>
      </c>
      <c r="E51" s="67">
        <f t="shared" si="14"/>
        <v>31.560614197314663</v>
      </c>
      <c r="F51" s="56"/>
      <c r="G51" s="68">
        <f>C51*TDEE!$B$5</f>
        <v>2231.4628000979742</v>
      </c>
      <c r="H51" s="66">
        <f t="shared" si="26"/>
        <v>978.3790401167546</v>
      </c>
      <c r="I51" s="66">
        <f t="shared" si="27"/>
        <v>1253.0837599812196</v>
      </c>
      <c r="J51" s="58">
        <f t="shared" si="15"/>
        <v>0.27953686860478705</v>
      </c>
      <c r="K51" s="66">
        <f t="shared" si="16"/>
        <v>78.813125557586972</v>
      </c>
      <c r="L51" s="66">
        <v>20</v>
      </c>
      <c r="M51" s="54">
        <f>Protein_Amt!$B$6</f>
        <v>115.94140749073421</v>
      </c>
      <c r="N51" s="66">
        <f t="shared" si="17"/>
        <v>709.31813001828277</v>
      </c>
      <c r="O51" s="66">
        <f t="shared" si="18"/>
        <v>80</v>
      </c>
      <c r="P51" s="66">
        <f t="shared" si="19"/>
        <v>463.76562996293683</v>
      </c>
      <c r="Q51" s="67">
        <f t="shared" si="20"/>
        <v>1253.0837599812196</v>
      </c>
      <c r="S51" s="63">
        <f>VLOOKUP($A51,FoodLog!$A$1:$Z$9562,12,0)</f>
        <v>0</v>
      </c>
      <c r="T51" s="63">
        <f>VLOOKUP($A51,FoodLog!$A$1:$Z$9562,13,0)</f>
        <v>0</v>
      </c>
      <c r="U51" s="63">
        <f>VLOOKUP($A51,FoodLog!$A$1:$Z$9562,14,0)</f>
        <v>0</v>
      </c>
      <c r="V51" s="63">
        <f>VLOOKUP($A51,FoodLog!$A$1:$Z$9562,15,0)</f>
        <v>0</v>
      </c>
      <c r="W51" s="60">
        <f>-VLOOKUP($A51,FoodLog!$A$1:$S$1122,16,0)</f>
        <v>-709.31813001828277</v>
      </c>
      <c r="X51" s="60">
        <f>VLOOKUP($A51,FoodLog!$A$1:$S$1122,17,0)</f>
        <v>80</v>
      </c>
      <c r="Y51" s="60">
        <f>-VLOOKUP($A51,FoodLog!$A$1:$S$1122,18,0)</f>
        <v>-463.76562996293683</v>
      </c>
      <c r="Z51" s="60">
        <f>-VLOOKUP($A51,FoodLog!$A$1:$S$1122,19,0)</f>
        <v>-1253.0837599812196</v>
      </c>
      <c r="AA51" s="61">
        <f t="shared" si="21"/>
        <v>0.27953686860478705</v>
      </c>
      <c r="AB51" s="62">
        <f>Scale!C51</f>
        <v>0</v>
      </c>
      <c r="AC51" s="65"/>
    </row>
    <row r="52" spans="1:29" x14ac:dyDescent="0.25">
      <c r="A52" s="64">
        <f t="shared" si="22"/>
        <v>43080</v>
      </c>
      <c r="B52" s="65">
        <f t="shared" si="23"/>
        <v>50</v>
      </c>
      <c r="C52" s="66">
        <f t="shared" si="24"/>
        <v>176.20783669212761</v>
      </c>
      <c r="D52" s="66">
        <f t="shared" si="25"/>
        <v>144.92675936341774</v>
      </c>
      <c r="E52" s="67">
        <f t="shared" si="14"/>
        <v>31.28107732870987</v>
      </c>
      <c r="F52" s="56"/>
      <c r="G52" s="68">
        <f>C52*TDEE!$B$5</f>
        <v>2227.9284049117214</v>
      </c>
      <c r="H52" s="66">
        <f t="shared" si="26"/>
        <v>969.71339719000594</v>
      </c>
      <c r="I52" s="66">
        <f t="shared" si="27"/>
        <v>1258.2150077217154</v>
      </c>
      <c r="J52" s="58">
        <f t="shared" si="15"/>
        <v>0.277060970625716</v>
      </c>
      <c r="K52" s="66">
        <f t="shared" si="16"/>
        <v>79.383264195419841</v>
      </c>
      <c r="L52" s="66">
        <v>20</v>
      </c>
      <c r="M52" s="54">
        <f>Protein_Amt!$B$6</f>
        <v>115.94140749073421</v>
      </c>
      <c r="N52" s="66">
        <f t="shared" si="17"/>
        <v>714.44937775877861</v>
      </c>
      <c r="O52" s="66">
        <f t="shared" si="18"/>
        <v>80</v>
      </c>
      <c r="P52" s="66">
        <f t="shared" si="19"/>
        <v>463.76562996293683</v>
      </c>
      <c r="Q52" s="67">
        <f t="shared" si="20"/>
        <v>1258.2150077217154</v>
      </c>
      <c r="S52" s="63">
        <f>VLOOKUP($A52,FoodLog!$A$1:$Z$9562,12,0)</f>
        <v>0</v>
      </c>
      <c r="T52" s="63">
        <f>VLOOKUP($A52,FoodLog!$A$1:$Z$9562,13,0)</f>
        <v>0</v>
      </c>
      <c r="U52" s="63">
        <f>VLOOKUP($A52,FoodLog!$A$1:$Z$9562,14,0)</f>
        <v>0</v>
      </c>
      <c r="V52" s="63">
        <f>VLOOKUP($A52,FoodLog!$A$1:$Z$9562,15,0)</f>
        <v>0</v>
      </c>
      <c r="W52" s="60">
        <f>-VLOOKUP($A52,FoodLog!$A$1:$S$1122,16,0)</f>
        <v>-714.44937775877861</v>
      </c>
      <c r="X52" s="60">
        <f>VLOOKUP($A52,FoodLog!$A$1:$S$1122,17,0)</f>
        <v>80</v>
      </c>
      <c r="Y52" s="60">
        <f>-VLOOKUP($A52,FoodLog!$A$1:$S$1122,18,0)</f>
        <v>-463.76562996293683</v>
      </c>
      <c r="Z52" s="60">
        <f>-VLOOKUP($A52,FoodLog!$A$1:$S$1122,19,0)</f>
        <v>-1258.2150077217154</v>
      </c>
      <c r="AA52" s="61">
        <f t="shared" si="21"/>
        <v>0.277060970625716</v>
      </c>
      <c r="AB52" s="62">
        <f>Scale!C52</f>
        <v>0</v>
      </c>
      <c r="AC52" s="65"/>
    </row>
    <row r="53" spans="1:29" x14ac:dyDescent="0.25">
      <c r="A53" s="64">
        <f t="shared" si="22"/>
        <v>43081</v>
      </c>
      <c r="B53" s="65">
        <f t="shared" si="23"/>
        <v>51</v>
      </c>
      <c r="C53" s="66">
        <f t="shared" si="24"/>
        <v>175.9307757215019</v>
      </c>
      <c r="D53" s="66">
        <f t="shared" si="25"/>
        <v>144.92675936341774</v>
      </c>
      <c r="E53" s="67">
        <f t="shared" si="14"/>
        <v>31.004016358084158</v>
      </c>
      <c r="F53" s="56"/>
      <c r="G53" s="68">
        <f>C53*TDEE!$B$5</f>
        <v>2224.4253143685464</v>
      </c>
      <c r="H53" s="66">
        <f t="shared" si="26"/>
        <v>961.12450710060887</v>
      </c>
      <c r="I53" s="66">
        <f t="shared" si="27"/>
        <v>1263.3008072679377</v>
      </c>
      <c r="J53" s="58">
        <f t="shared" si="15"/>
        <v>0.27460700202874538</v>
      </c>
      <c r="K53" s="66">
        <f t="shared" si="16"/>
        <v>79.948353033888978</v>
      </c>
      <c r="L53" s="66">
        <v>20</v>
      </c>
      <c r="M53" s="54">
        <f>Protein_Amt!$B$6</f>
        <v>115.94140749073421</v>
      </c>
      <c r="N53" s="66">
        <f t="shared" si="17"/>
        <v>719.53517730500084</v>
      </c>
      <c r="O53" s="66">
        <f t="shared" si="18"/>
        <v>80</v>
      </c>
      <c r="P53" s="66">
        <f t="shared" si="19"/>
        <v>463.76562996293683</v>
      </c>
      <c r="Q53" s="67">
        <f t="shared" si="20"/>
        <v>1263.3008072679377</v>
      </c>
      <c r="S53" s="63">
        <f>VLOOKUP($A53,FoodLog!$A$1:$Z$9562,12,0)</f>
        <v>0</v>
      </c>
      <c r="T53" s="63">
        <f>VLOOKUP($A53,FoodLog!$A$1:$Z$9562,13,0)</f>
        <v>0</v>
      </c>
      <c r="U53" s="63">
        <f>VLOOKUP($A53,FoodLog!$A$1:$Z$9562,14,0)</f>
        <v>0</v>
      </c>
      <c r="V53" s="63">
        <f>VLOOKUP($A53,FoodLog!$A$1:$Z$9562,15,0)</f>
        <v>0</v>
      </c>
      <c r="W53" s="60">
        <f>-VLOOKUP($A53,FoodLog!$A$1:$S$1122,16,0)</f>
        <v>-719.53517730500084</v>
      </c>
      <c r="X53" s="60">
        <f>VLOOKUP($A53,FoodLog!$A$1:$S$1122,17,0)</f>
        <v>80</v>
      </c>
      <c r="Y53" s="60">
        <f>-VLOOKUP($A53,FoodLog!$A$1:$S$1122,18,0)</f>
        <v>-463.76562996293683</v>
      </c>
      <c r="Z53" s="60">
        <f>-VLOOKUP($A53,FoodLog!$A$1:$S$1122,19,0)</f>
        <v>-1263.3008072679377</v>
      </c>
      <c r="AA53" s="61">
        <f t="shared" si="21"/>
        <v>0.27460700202874538</v>
      </c>
      <c r="AB53" s="62">
        <f>Scale!C53</f>
        <v>0</v>
      </c>
      <c r="AC53" s="65"/>
    </row>
    <row r="54" spans="1:29" x14ac:dyDescent="0.25">
      <c r="A54" s="64">
        <f t="shared" si="22"/>
        <v>43082</v>
      </c>
      <c r="B54" s="65">
        <f t="shared" si="23"/>
        <v>52</v>
      </c>
      <c r="C54" s="66">
        <f t="shared" si="24"/>
        <v>175.65616871947316</v>
      </c>
      <c r="D54" s="66">
        <f t="shared" si="25"/>
        <v>144.92675936341774</v>
      </c>
      <c r="E54" s="67">
        <f t="shared" si="14"/>
        <v>30.729409356055413</v>
      </c>
      <c r="F54" s="56"/>
      <c r="G54" s="68">
        <f>C54*TDEE!$B$5</f>
        <v>2220.9532511987545</v>
      </c>
      <c r="H54" s="66">
        <f t="shared" si="26"/>
        <v>952.61169003771784</v>
      </c>
      <c r="I54" s="66">
        <f t="shared" si="27"/>
        <v>1268.3415611610367</v>
      </c>
      <c r="J54" s="58">
        <f t="shared" si="15"/>
        <v>0.27217476858220507</v>
      </c>
      <c r="K54" s="66">
        <f t="shared" si="16"/>
        <v>80.508436799788868</v>
      </c>
      <c r="L54" s="66">
        <v>20</v>
      </c>
      <c r="M54" s="54">
        <f>Protein_Amt!$B$6</f>
        <v>115.94140749073421</v>
      </c>
      <c r="N54" s="66">
        <f t="shared" si="17"/>
        <v>724.57593119809985</v>
      </c>
      <c r="O54" s="66">
        <f t="shared" si="18"/>
        <v>80</v>
      </c>
      <c r="P54" s="66">
        <f t="shared" si="19"/>
        <v>463.76562996293683</v>
      </c>
      <c r="Q54" s="67">
        <f t="shared" si="20"/>
        <v>1268.3415611610367</v>
      </c>
      <c r="S54" s="63">
        <f>VLOOKUP($A54,FoodLog!$A$1:$Z$9562,12,0)</f>
        <v>0</v>
      </c>
      <c r="T54" s="63">
        <f>VLOOKUP($A54,FoodLog!$A$1:$Z$9562,13,0)</f>
        <v>0</v>
      </c>
      <c r="U54" s="63">
        <f>VLOOKUP($A54,FoodLog!$A$1:$Z$9562,14,0)</f>
        <v>0</v>
      </c>
      <c r="V54" s="63">
        <f>VLOOKUP($A54,FoodLog!$A$1:$Z$9562,15,0)</f>
        <v>0</v>
      </c>
      <c r="W54" s="60">
        <f>-VLOOKUP($A54,FoodLog!$A$1:$S$1122,16,0)</f>
        <v>-724.57593119809985</v>
      </c>
      <c r="X54" s="60">
        <f>VLOOKUP($A54,FoodLog!$A$1:$S$1122,17,0)</f>
        <v>80</v>
      </c>
      <c r="Y54" s="60">
        <f>-VLOOKUP($A54,FoodLog!$A$1:$S$1122,18,0)</f>
        <v>-463.76562996293683</v>
      </c>
      <c r="Z54" s="60">
        <f>-VLOOKUP($A54,FoodLog!$A$1:$S$1122,19,0)</f>
        <v>-1268.3415611610367</v>
      </c>
      <c r="AA54" s="61">
        <f t="shared" si="21"/>
        <v>0.27217476858220507</v>
      </c>
      <c r="AB54" s="62">
        <f>Scale!C54</f>
        <v>0</v>
      </c>
      <c r="AC54" s="65"/>
    </row>
    <row r="55" spans="1:29" x14ac:dyDescent="0.25">
      <c r="A55" s="64">
        <f t="shared" si="22"/>
        <v>43083</v>
      </c>
      <c r="B55" s="65">
        <f t="shared" si="23"/>
        <v>53</v>
      </c>
      <c r="C55" s="66">
        <f t="shared" si="24"/>
        <v>175.38399395089095</v>
      </c>
      <c r="D55" s="66">
        <f t="shared" si="25"/>
        <v>144.92675936341774</v>
      </c>
      <c r="E55" s="67">
        <f t="shared" si="14"/>
        <v>30.457234587473209</v>
      </c>
      <c r="F55" s="56"/>
      <c r="G55" s="68">
        <f>C55*TDEE!$B$5</f>
        <v>2217.5119405884661</v>
      </c>
      <c r="H55" s="66">
        <f t="shared" si="26"/>
        <v>944.17427221166952</v>
      </c>
      <c r="I55" s="66">
        <f t="shared" si="27"/>
        <v>1273.3376683767965</v>
      </c>
      <c r="J55" s="58">
        <f t="shared" si="15"/>
        <v>0.26976407777476274</v>
      </c>
      <c r="K55" s="66">
        <f t="shared" si="16"/>
        <v>81.063559823762191</v>
      </c>
      <c r="L55" s="66">
        <v>20</v>
      </c>
      <c r="M55" s="54">
        <f>Protein_Amt!$B$6</f>
        <v>115.94140749073421</v>
      </c>
      <c r="N55" s="66">
        <f t="shared" si="17"/>
        <v>729.57203841385967</v>
      </c>
      <c r="O55" s="66">
        <f t="shared" si="18"/>
        <v>80</v>
      </c>
      <c r="P55" s="66">
        <f t="shared" si="19"/>
        <v>463.76562996293683</v>
      </c>
      <c r="Q55" s="67">
        <f t="shared" si="20"/>
        <v>1273.3376683767965</v>
      </c>
      <c r="S55" s="63">
        <f>VLOOKUP($A55,FoodLog!$A$1:$Z$9562,12,0)</f>
        <v>0</v>
      </c>
      <c r="T55" s="63">
        <f>VLOOKUP($A55,FoodLog!$A$1:$Z$9562,13,0)</f>
        <v>0</v>
      </c>
      <c r="U55" s="63">
        <f>VLOOKUP($A55,FoodLog!$A$1:$Z$9562,14,0)</f>
        <v>0</v>
      </c>
      <c r="V55" s="63">
        <f>VLOOKUP($A55,FoodLog!$A$1:$Z$9562,15,0)</f>
        <v>0</v>
      </c>
      <c r="W55" s="60">
        <f>-VLOOKUP($A55,FoodLog!$A$1:$S$1122,16,0)</f>
        <v>-729.57203841385967</v>
      </c>
      <c r="X55" s="60">
        <f>VLOOKUP($A55,FoodLog!$A$1:$S$1122,17,0)</f>
        <v>80</v>
      </c>
      <c r="Y55" s="60">
        <f>-VLOOKUP($A55,FoodLog!$A$1:$S$1122,18,0)</f>
        <v>-463.76562996293683</v>
      </c>
      <c r="Z55" s="60">
        <f>-VLOOKUP($A55,FoodLog!$A$1:$S$1122,19,0)</f>
        <v>-1273.3376683767965</v>
      </c>
      <c r="AA55" s="61">
        <f t="shared" si="21"/>
        <v>0.26976407777476274</v>
      </c>
      <c r="AB55" s="62">
        <f>Scale!C55</f>
        <v>0</v>
      </c>
      <c r="AC55" s="65"/>
    </row>
    <row r="56" spans="1:29" x14ac:dyDescent="0.25">
      <c r="A56" s="64">
        <f t="shared" si="22"/>
        <v>43084</v>
      </c>
      <c r="B56" s="65">
        <f t="shared" si="23"/>
        <v>54</v>
      </c>
      <c r="C56" s="66">
        <f t="shared" si="24"/>
        <v>175.11422987311619</v>
      </c>
      <c r="D56" s="66">
        <f t="shared" si="25"/>
        <v>144.92675936341774</v>
      </c>
      <c r="E56" s="67">
        <f t="shared" si="14"/>
        <v>30.187470509698443</v>
      </c>
      <c r="F56" s="56"/>
      <c r="G56" s="68">
        <f>C56*TDEE!$B$5</f>
        <v>2214.1011101578688</v>
      </c>
      <c r="H56" s="66">
        <f t="shared" si="26"/>
        <v>935.81158580065176</v>
      </c>
      <c r="I56" s="66">
        <f t="shared" si="27"/>
        <v>1278.289524357217</v>
      </c>
      <c r="J56" s="58">
        <f t="shared" si="15"/>
        <v>0.2673747388001862</v>
      </c>
      <c r="K56" s="66">
        <f t="shared" si="16"/>
        <v>81.613766043808909</v>
      </c>
      <c r="L56" s="66">
        <v>20</v>
      </c>
      <c r="M56" s="54">
        <f>Protein_Amt!$B$6</f>
        <v>115.94140749073421</v>
      </c>
      <c r="N56" s="66">
        <f t="shared" si="17"/>
        <v>734.52389439428021</v>
      </c>
      <c r="O56" s="66">
        <f t="shared" si="18"/>
        <v>80</v>
      </c>
      <c r="P56" s="66">
        <f t="shared" si="19"/>
        <v>463.76562996293683</v>
      </c>
      <c r="Q56" s="67">
        <f t="shared" si="20"/>
        <v>1278.289524357217</v>
      </c>
      <c r="S56" s="63">
        <f>VLOOKUP($A56,FoodLog!$A$1:$Z$9562,12,0)</f>
        <v>0</v>
      </c>
      <c r="T56" s="63">
        <f>VLOOKUP($A56,FoodLog!$A$1:$Z$9562,13,0)</f>
        <v>0</v>
      </c>
      <c r="U56" s="63">
        <f>VLOOKUP($A56,FoodLog!$A$1:$Z$9562,14,0)</f>
        <v>0</v>
      </c>
      <c r="V56" s="63">
        <f>VLOOKUP($A56,FoodLog!$A$1:$Z$9562,15,0)</f>
        <v>0</v>
      </c>
      <c r="W56" s="60">
        <f>-VLOOKUP($A56,FoodLog!$A$1:$S$1122,16,0)</f>
        <v>-734.52389439428021</v>
      </c>
      <c r="X56" s="60">
        <f>VLOOKUP($A56,FoodLog!$A$1:$S$1122,17,0)</f>
        <v>80</v>
      </c>
      <c r="Y56" s="60">
        <f>-VLOOKUP($A56,FoodLog!$A$1:$S$1122,18,0)</f>
        <v>-463.76562996293683</v>
      </c>
      <c r="Z56" s="60">
        <f>-VLOOKUP($A56,FoodLog!$A$1:$S$1122,19,0)</f>
        <v>-1278.289524357217</v>
      </c>
      <c r="AA56" s="61">
        <f t="shared" si="21"/>
        <v>0.2673747388001862</v>
      </c>
      <c r="AB56" s="62">
        <f>Scale!C56</f>
        <v>0</v>
      </c>
      <c r="AC56" s="65"/>
    </row>
    <row r="57" spans="1:29" x14ac:dyDescent="0.25">
      <c r="A57" s="64">
        <f t="shared" si="22"/>
        <v>43085</v>
      </c>
      <c r="B57" s="65">
        <f t="shared" si="23"/>
        <v>55</v>
      </c>
      <c r="C57" s="66">
        <f t="shared" si="24"/>
        <v>174.846855134316</v>
      </c>
      <c r="D57" s="66">
        <f t="shared" si="25"/>
        <v>144.92675936341774</v>
      </c>
      <c r="E57" s="67">
        <f t="shared" si="14"/>
        <v>29.920095770898257</v>
      </c>
      <c r="F57" s="56"/>
      <c r="G57" s="68">
        <f>C57*TDEE!$B$5</f>
        <v>2210.720489939657</v>
      </c>
      <c r="H57" s="66">
        <f t="shared" si="26"/>
        <v>927.522968897846</v>
      </c>
      <c r="I57" s="66">
        <f t="shared" si="27"/>
        <v>1283.1975210418109</v>
      </c>
      <c r="J57" s="58">
        <f t="shared" si="15"/>
        <v>0.2650065625422417</v>
      </c>
      <c r="K57" s="66">
        <f t="shared" si="16"/>
        <v>82.159099008763789</v>
      </c>
      <c r="L57" s="66">
        <v>20</v>
      </c>
      <c r="M57" s="54">
        <f>Protein_Amt!$B$6</f>
        <v>115.94140749073421</v>
      </c>
      <c r="N57" s="66">
        <f t="shared" si="17"/>
        <v>739.43189107887406</v>
      </c>
      <c r="O57" s="66">
        <f t="shared" si="18"/>
        <v>80</v>
      </c>
      <c r="P57" s="66">
        <f t="shared" si="19"/>
        <v>463.76562996293683</v>
      </c>
      <c r="Q57" s="67">
        <f t="shared" si="20"/>
        <v>1283.1975210418109</v>
      </c>
      <c r="S57" s="63">
        <f>VLOOKUP($A57,FoodLog!$A$1:$Z$9562,12,0)</f>
        <v>0</v>
      </c>
      <c r="T57" s="63">
        <f>VLOOKUP($A57,FoodLog!$A$1:$Z$9562,13,0)</f>
        <v>0</v>
      </c>
      <c r="U57" s="63">
        <f>VLOOKUP($A57,FoodLog!$A$1:$Z$9562,14,0)</f>
        <v>0</v>
      </c>
      <c r="V57" s="63">
        <f>VLOOKUP($A57,FoodLog!$A$1:$Z$9562,15,0)</f>
        <v>0</v>
      </c>
      <c r="W57" s="60">
        <f>-VLOOKUP($A57,FoodLog!$A$1:$S$1122,16,0)</f>
        <v>-739.43189107887406</v>
      </c>
      <c r="X57" s="60">
        <f>VLOOKUP($A57,FoodLog!$A$1:$S$1122,17,0)</f>
        <v>80</v>
      </c>
      <c r="Y57" s="60">
        <f>-VLOOKUP($A57,FoodLog!$A$1:$S$1122,18,0)</f>
        <v>-463.76562996293683</v>
      </c>
      <c r="Z57" s="60">
        <f>-VLOOKUP($A57,FoodLog!$A$1:$S$1122,19,0)</f>
        <v>-1283.1975210418109</v>
      </c>
      <c r="AA57" s="61">
        <f t="shared" si="21"/>
        <v>0.2650065625422417</v>
      </c>
      <c r="AB57" s="62">
        <f>Scale!C57</f>
        <v>0</v>
      </c>
      <c r="AC57" s="65"/>
    </row>
    <row r="58" spans="1:29" x14ac:dyDescent="0.25">
      <c r="A58" s="64">
        <f t="shared" si="22"/>
        <v>43086</v>
      </c>
      <c r="B58" s="65">
        <f t="shared" si="23"/>
        <v>56</v>
      </c>
      <c r="C58" s="66">
        <f t="shared" si="24"/>
        <v>174.58184857177375</v>
      </c>
      <c r="D58" s="66">
        <f t="shared" si="25"/>
        <v>144.92675936341774</v>
      </c>
      <c r="E58" s="67">
        <f t="shared" si="14"/>
        <v>29.655089208356003</v>
      </c>
      <c r="F58" s="56"/>
      <c r="G58" s="68">
        <f>C58*TDEE!$B$5</f>
        <v>2207.3698123576632</v>
      </c>
      <c r="H58" s="66">
        <f t="shared" si="26"/>
        <v>919.30776545903609</v>
      </c>
      <c r="I58" s="66">
        <f t="shared" si="27"/>
        <v>1288.0620468986272</v>
      </c>
      <c r="J58" s="58">
        <f t="shared" si="15"/>
        <v>0.26265936155972458</v>
      </c>
      <c r="K58" s="66">
        <f t="shared" si="16"/>
        <v>82.699601881743376</v>
      </c>
      <c r="L58" s="66">
        <v>20</v>
      </c>
      <c r="M58" s="54">
        <f>Protein_Amt!$B$6</f>
        <v>115.94140749073421</v>
      </c>
      <c r="N58" s="66">
        <f t="shared" si="17"/>
        <v>744.29641693569033</v>
      </c>
      <c r="O58" s="66">
        <f t="shared" si="18"/>
        <v>80</v>
      </c>
      <c r="P58" s="66">
        <f t="shared" si="19"/>
        <v>463.76562996293683</v>
      </c>
      <c r="Q58" s="67">
        <f t="shared" si="20"/>
        <v>1288.0620468986272</v>
      </c>
      <c r="S58" s="63">
        <f>VLOOKUP($A58,FoodLog!$A$1:$Z$9562,12,0)</f>
        <v>0</v>
      </c>
      <c r="T58" s="63">
        <f>VLOOKUP($A58,FoodLog!$A$1:$Z$9562,13,0)</f>
        <v>0</v>
      </c>
      <c r="U58" s="63">
        <f>VLOOKUP($A58,FoodLog!$A$1:$Z$9562,14,0)</f>
        <v>0</v>
      </c>
      <c r="V58" s="63">
        <f>VLOOKUP($A58,FoodLog!$A$1:$Z$9562,15,0)</f>
        <v>0</v>
      </c>
      <c r="W58" s="60">
        <f>-VLOOKUP($A58,FoodLog!$A$1:$S$1122,16,0)</f>
        <v>-744.29641693569033</v>
      </c>
      <c r="X58" s="60">
        <f>VLOOKUP($A58,FoodLog!$A$1:$S$1122,17,0)</f>
        <v>80</v>
      </c>
      <c r="Y58" s="60">
        <f>-VLOOKUP($A58,FoodLog!$A$1:$S$1122,18,0)</f>
        <v>-463.76562996293683</v>
      </c>
      <c r="Z58" s="60">
        <f>-VLOOKUP($A58,FoodLog!$A$1:$S$1122,19,0)</f>
        <v>-1288.0620468986272</v>
      </c>
      <c r="AA58" s="61">
        <f t="shared" si="21"/>
        <v>0.26265936155972458</v>
      </c>
      <c r="AB58" s="62">
        <f>Scale!C58</f>
        <v>0</v>
      </c>
      <c r="AC58" s="65"/>
    </row>
    <row r="59" spans="1:29" x14ac:dyDescent="0.25">
      <c r="A59" s="64">
        <f t="shared" si="22"/>
        <v>43087</v>
      </c>
      <c r="B59" s="65">
        <f t="shared" si="23"/>
        <v>57</v>
      </c>
      <c r="C59" s="66">
        <f t="shared" si="24"/>
        <v>174.31918921021403</v>
      </c>
      <c r="D59" s="66">
        <f t="shared" si="25"/>
        <v>144.92675936341774</v>
      </c>
      <c r="E59" s="67">
        <f t="shared" si="14"/>
        <v>29.39242984679629</v>
      </c>
      <c r="F59" s="56"/>
      <c r="G59" s="68">
        <f>C59*TDEE!$B$5</f>
        <v>2204.0488122056822</v>
      </c>
      <c r="H59" s="66">
        <f t="shared" si="26"/>
        <v>911.16532525068499</v>
      </c>
      <c r="I59" s="66">
        <f t="shared" si="27"/>
        <v>1292.8834869549974</v>
      </c>
      <c r="J59" s="58">
        <f t="shared" si="15"/>
        <v>0.26033295007162427</v>
      </c>
      <c r="K59" s="66">
        <f t="shared" si="16"/>
        <v>83.23531744356228</v>
      </c>
      <c r="L59" s="66">
        <v>20</v>
      </c>
      <c r="M59" s="54">
        <f>Protein_Amt!$B$6</f>
        <v>115.94140749073421</v>
      </c>
      <c r="N59" s="66">
        <f t="shared" si="17"/>
        <v>749.11785699206052</v>
      </c>
      <c r="O59" s="66">
        <f t="shared" si="18"/>
        <v>80</v>
      </c>
      <c r="P59" s="66">
        <f t="shared" si="19"/>
        <v>463.76562996293683</v>
      </c>
      <c r="Q59" s="67">
        <f t="shared" si="20"/>
        <v>1292.8834869549974</v>
      </c>
      <c r="S59" s="63">
        <f>VLOOKUP($A59,FoodLog!$A$1:$Z$9562,12,0)</f>
        <v>0</v>
      </c>
      <c r="T59" s="63">
        <f>VLOOKUP($A59,FoodLog!$A$1:$Z$9562,13,0)</f>
        <v>0</v>
      </c>
      <c r="U59" s="63">
        <f>VLOOKUP($A59,FoodLog!$A$1:$Z$9562,14,0)</f>
        <v>0</v>
      </c>
      <c r="V59" s="63">
        <f>VLOOKUP($A59,FoodLog!$A$1:$Z$9562,15,0)</f>
        <v>0</v>
      </c>
      <c r="W59" s="60">
        <f>-VLOOKUP($A59,FoodLog!$A$1:$S$1122,16,0)</f>
        <v>-749.11785699206052</v>
      </c>
      <c r="X59" s="60">
        <f>VLOOKUP($A59,FoodLog!$A$1:$S$1122,17,0)</f>
        <v>80</v>
      </c>
      <c r="Y59" s="60">
        <f>-VLOOKUP($A59,FoodLog!$A$1:$S$1122,18,0)</f>
        <v>-463.76562996293683</v>
      </c>
      <c r="Z59" s="60">
        <f>-VLOOKUP($A59,FoodLog!$A$1:$S$1122,19,0)</f>
        <v>-1292.8834869549974</v>
      </c>
      <c r="AA59" s="61">
        <f t="shared" si="21"/>
        <v>0.26033295007162427</v>
      </c>
      <c r="AB59" s="62">
        <f>Scale!C59</f>
        <v>0</v>
      </c>
      <c r="AC59" s="65"/>
    </row>
    <row r="60" spans="1:29" x14ac:dyDescent="0.25">
      <c r="A60" s="64">
        <f t="shared" si="22"/>
        <v>43088</v>
      </c>
      <c r="B60" s="65">
        <f t="shared" si="23"/>
        <v>58</v>
      </c>
      <c r="C60" s="66">
        <f t="shared" si="24"/>
        <v>174.05885626014242</v>
      </c>
      <c r="D60" s="66">
        <f t="shared" si="25"/>
        <v>144.92675936341774</v>
      </c>
      <c r="E60" s="67">
        <f t="shared" si="14"/>
        <v>29.132096896724676</v>
      </c>
      <c r="F60" s="56"/>
      <c r="G60" s="68">
        <f>C60*TDEE!$B$5</f>
        <v>2200.7572266264756</v>
      </c>
      <c r="H60" s="66">
        <f t="shared" si="26"/>
        <v>903.09500379846497</v>
      </c>
      <c r="I60" s="66">
        <f t="shared" si="27"/>
        <v>1297.6622228280107</v>
      </c>
      <c r="J60" s="58">
        <f t="shared" si="15"/>
        <v>0.25802714394241855</v>
      </c>
      <c r="K60" s="66">
        <f t="shared" si="16"/>
        <v>83.766288096119325</v>
      </c>
      <c r="L60" s="66">
        <v>20</v>
      </c>
      <c r="M60" s="54">
        <f>Protein_Amt!$B$6</f>
        <v>115.94140749073421</v>
      </c>
      <c r="N60" s="66">
        <f t="shared" si="17"/>
        <v>753.8965928650739</v>
      </c>
      <c r="O60" s="66">
        <f t="shared" si="18"/>
        <v>80</v>
      </c>
      <c r="P60" s="66">
        <f t="shared" si="19"/>
        <v>463.76562996293683</v>
      </c>
      <c r="Q60" s="67">
        <f t="shared" si="20"/>
        <v>1297.6622228280107</v>
      </c>
      <c r="S60" s="63">
        <f>VLOOKUP($A60,FoodLog!$A$1:$Z$9562,12,0)</f>
        <v>0</v>
      </c>
      <c r="T60" s="63">
        <f>VLOOKUP($A60,FoodLog!$A$1:$Z$9562,13,0)</f>
        <v>0</v>
      </c>
      <c r="U60" s="63">
        <f>VLOOKUP($A60,FoodLog!$A$1:$Z$9562,14,0)</f>
        <v>0</v>
      </c>
      <c r="V60" s="63">
        <f>VLOOKUP($A60,FoodLog!$A$1:$Z$9562,15,0)</f>
        <v>0</v>
      </c>
      <c r="W60" s="60">
        <f>-VLOOKUP($A60,FoodLog!$A$1:$S$1122,16,0)</f>
        <v>-753.8965928650739</v>
      </c>
      <c r="X60" s="60">
        <f>VLOOKUP($A60,FoodLog!$A$1:$S$1122,17,0)</f>
        <v>80</v>
      </c>
      <c r="Y60" s="60">
        <f>-VLOOKUP($A60,FoodLog!$A$1:$S$1122,18,0)</f>
        <v>-463.76562996293683</v>
      </c>
      <c r="Z60" s="60">
        <f>-VLOOKUP($A60,FoodLog!$A$1:$S$1122,19,0)</f>
        <v>-1297.6622228280107</v>
      </c>
      <c r="AA60" s="61">
        <f t="shared" si="21"/>
        <v>0.25802714394241855</v>
      </c>
      <c r="AB60" s="62">
        <f>Scale!C60</f>
        <v>0</v>
      </c>
      <c r="AC60" s="65"/>
    </row>
    <row r="61" spans="1:29" x14ac:dyDescent="0.25">
      <c r="A61" s="64">
        <f t="shared" si="22"/>
        <v>43089</v>
      </c>
      <c r="B61" s="65">
        <f t="shared" si="23"/>
        <v>59</v>
      </c>
      <c r="C61" s="66">
        <f t="shared" si="24"/>
        <v>173.80082911619999</v>
      </c>
      <c r="D61" s="66">
        <f t="shared" si="25"/>
        <v>144.92675936341774</v>
      </c>
      <c r="E61" s="67">
        <f t="shared" si="14"/>
        <v>28.874069752782248</v>
      </c>
      <c r="F61" s="56"/>
      <c r="G61" s="68">
        <f>C61*TDEE!$B$5</f>
        <v>2197.49479509097</v>
      </c>
      <c r="H61" s="66">
        <f t="shared" si="26"/>
        <v>895.09616233624968</v>
      </c>
      <c r="I61" s="66">
        <f t="shared" si="27"/>
        <v>1302.3986327547204</v>
      </c>
      <c r="J61" s="58">
        <f t="shared" si="15"/>
        <v>0.25574176066749993</v>
      </c>
      <c r="K61" s="66">
        <f t="shared" si="16"/>
        <v>84.292555865753741</v>
      </c>
      <c r="L61" s="66">
        <v>20</v>
      </c>
      <c r="M61" s="54">
        <f>Protein_Amt!$B$6</f>
        <v>115.94140749073421</v>
      </c>
      <c r="N61" s="66">
        <f t="shared" si="17"/>
        <v>758.63300279178361</v>
      </c>
      <c r="O61" s="66">
        <f t="shared" si="18"/>
        <v>80</v>
      </c>
      <c r="P61" s="66">
        <f t="shared" si="19"/>
        <v>463.76562996293683</v>
      </c>
      <c r="Q61" s="67">
        <f t="shared" si="20"/>
        <v>1302.3986327547204</v>
      </c>
      <c r="S61" s="63">
        <f>VLOOKUP($A61,FoodLog!$A$1:$Z$9562,12,0)</f>
        <v>0</v>
      </c>
      <c r="T61" s="63">
        <f>VLOOKUP($A61,FoodLog!$A$1:$Z$9562,13,0)</f>
        <v>0</v>
      </c>
      <c r="U61" s="63">
        <f>VLOOKUP($A61,FoodLog!$A$1:$Z$9562,14,0)</f>
        <v>0</v>
      </c>
      <c r="V61" s="63">
        <f>VLOOKUP($A61,FoodLog!$A$1:$Z$9562,15,0)</f>
        <v>0</v>
      </c>
      <c r="W61" s="60">
        <f>-VLOOKUP($A61,FoodLog!$A$1:$S$1122,16,0)</f>
        <v>-758.63300279178361</v>
      </c>
      <c r="X61" s="60">
        <f>VLOOKUP($A61,FoodLog!$A$1:$S$1122,17,0)</f>
        <v>80</v>
      </c>
      <c r="Y61" s="60">
        <f>-VLOOKUP($A61,FoodLog!$A$1:$S$1122,18,0)</f>
        <v>-463.76562996293683</v>
      </c>
      <c r="Z61" s="60">
        <f>-VLOOKUP($A61,FoodLog!$A$1:$S$1122,19,0)</f>
        <v>-1302.3986327547204</v>
      </c>
      <c r="AA61" s="61">
        <f t="shared" si="21"/>
        <v>0.25574176066749987</v>
      </c>
      <c r="AB61" s="62">
        <f>Scale!C61</f>
        <v>0</v>
      </c>
      <c r="AC61" s="65"/>
    </row>
    <row r="62" spans="1:29" x14ac:dyDescent="0.25">
      <c r="A62" s="64">
        <f t="shared" si="22"/>
        <v>43090</v>
      </c>
      <c r="B62" s="65">
        <f t="shared" si="23"/>
        <v>60</v>
      </c>
      <c r="C62" s="66">
        <f t="shared" si="24"/>
        <v>173.5450873555325</v>
      </c>
      <c r="D62" s="66">
        <f t="shared" si="25"/>
        <v>144.92675936341774</v>
      </c>
      <c r="E62" s="67">
        <f t="shared" si="14"/>
        <v>28.618327992114757</v>
      </c>
      <c r="F62" s="56"/>
      <c r="G62" s="68">
        <f>C62*TDEE!$B$5</f>
        <v>2194.2612593776366</v>
      </c>
      <c r="H62" s="66">
        <f t="shared" si="26"/>
        <v>887.16816775555753</v>
      </c>
      <c r="I62" s="66">
        <f t="shared" si="27"/>
        <v>1307.0930916220791</v>
      </c>
      <c r="J62" s="58">
        <f t="shared" si="15"/>
        <v>0.25347661935873073</v>
      </c>
      <c r="K62" s="66">
        <f t="shared" si="16"/>
        <v>84.81416240657137</v>
      </c>
      <c r="L62" s="66">
        <v>20</v>
      </c>
      <c r="M62" s="54">
        <f>Protein_Amt!$B$6</f>
        <v>115.94140749073421</v>
      </c>
      <c r="N62" s="66">
        <f t="shared" si="17"/>
        <v>763.32746165914227</v>
      </c>
      <c r="O62" s="66">
        <f t="shared" si="18"/>
        <v>80</v>
      </c>
      <c r="P62" s="66">
        <f t="shared" si="19"/>
        <v>463.76562996293683</v>
      </c>
      <c r="Q62" s="67">
        <f t="shared" si="20"/>
        <v>1307.0930916220791</v>
      </c>
      <c r="S62" s="63">
        <f>VLOOKUP($A62,FoodLog!$A$1:$Z$9562,12,0)</f>
        <v>0</v>
      </c>
      <c r="T62" s="63">
        <f>VLOOKUP($A62,FoodLog!$A$1:$Z$9562,13,0)</f>
        <v>0</v>
      </c>
      <c r="U62" s="63">
        <f>VLOOKUP($A62,FoodLog!$A$1:$Z$9562,14,0)</f>
        <v>0</v>
      </c>
      <c r="V62" s="63">
        <f>VLOOKUP($A62,FoodLog!$A$1:$Z$9562,15,0)</f>
        <v>0</v>
      </c>
      <c r="W62" s="60">
        <f>-VLOOKUP($A62,FoodLog!$A$1:$S$1122,16,0)</f>
        <v>-763.32746165914227</v>
      </c>
      <c r="X62" s="60">
        <f>VLOOKUP($A62,FoodLog!$A$1:$S$1122,17,0)</f>
        <v>80</v>
      </c>
      <c r="Y62" s="60">
        <f>-VLOOKUP($A62,FoodLog!$A$1:$S$1122,18,0)</f>
        <v>-463.76562996293683</v>
      </c>
      <c r="Z62" s="60">
        <f>-VLOOKUP($A62,FoodLog!$A$1:$S$1122,19,0)</f>
        <v>-1307.0930916220791</v>
      </c>
      <c r="AA62" s="61">
        <f t="shared" si="21"/>
        <v>0.25347661935873073</v>
      </c>
      <c r="AB62" s="62">
        <f>Scale!C62</f>
        <v>0</v>
      </c>
      <c r="AC62" s="65"/>
    </row>
    <row r="63" spans="1:29" x14ac:dyDescent="0.25">
      <c r="A63" s="64">
        <f t="shared" si="22"/>
        <v>43091</v>
      </c>
      <c r="B63" s="65">
        <f t="shared" si="23"/>
        <v>61</v>
      </c>
      <c r="C63" s="66">
        <f t="shared" si="24"/>
        <v>173.29161073617377</v>
      </c>
      <c r="D63" s="66">
        <f t="shared" si="25"/>
        <v>144.92675936341774</v>
      </c>
      <c r="E63" s="67">
        <f t="shared" si="14"/>
        <v>28.364851372756021</v>
      </c>
      <c r="F63" s="56"/>
      <c r="G63" s="68">
        <f>C63*TDEE!$B$5</f>
        <v>2191.0563635520493</v>
      </c>
      <c r="H63" s="66">
        <f t="shared" si="26"/>
        <v>879.31039255543669</v>
      </c>
      <c r="I63" s="66">
        <f t="shared" si="27"/>
        <v>1311.7459709966126</v>
      </c>
      <c r="J63" s="58">
        <f t="shared" si="15"/>
        <v>0.25123154073012477</v>
      </c>
      <c r="K63" s="66">
        <f t="shared" si="16"/>
        <v>85.331149003741757</v>
      </c>
      <c r="L63" s="66">
        <v>20</v>
      </c>
      <c r="M63" s="54">
        <f>Protein_Amt!$B$6</f>
        <v>115.94140749073421</v>
      </c>
      <c r="N63" s="66">
        <f t="shared" si="17"/>
        <v>767.98034103367581</v>
      </c>
      <c r="O63" s="66">
        <f t="shared" si="18"/>
        <v>80</v>
      </c>
      <c r="P63" s="66">
        <f t="shared" si="19"/>
        <v>463.76562996293683</v>
      </c>
      <c r="Q63" s="67">
        <f t="shared" si="20"/>
        <v>1311.7459709966126</v>
      </c>
      <c r="S63" s="63">
        <f>VLOOKUP($A63,FoodLog!$A$1:$Z$9562,12,0)</f>
        <v>0</v>
      </c>
      <c r="T63" s="63">
        <f>VLOOKUP($A63,FoodLog!$A$1:$Z$9562,13,0)</f>
        <v>0</v>
      </c>
      <c r="U63" s="63">
        <f>VLOOKUP($A63,FoodLog!$A$1:$Z$9562,14,0)</f>
        <v>0</v>
      </c>
      <c r="V63" s="63">
        <f>VLOOKUP($A63,FoodLog!$A$1:$Z$9562,15,0)</f>
        <v>0</v>
      </c>
      <c r="W63" s="60">
        <f>-VLOOKUP($A63,FoodLog!$A$1:$S$1122,16,0)</f>
        <v>-767.98034103367581</v>
      </c>
      <c r="X63" s="60">
        <f>VLOOKUP($A63,FoodLog!$A$1:$S$1122,17,0)</f>
        <v>80</v>
      </c>
      <c r="Y63" s="60">
        <f>-VLOOKUP($A63,FoodLog!$A$1:$S$1122,18,0)</f>
        <v>-463.76562996293683</v>
      </c>
      <c r="Z63" s="60">
        <f>-VLOOKUP($A63,FoodLog!$A$1:$S$1122,19,0)</f>
        <v>-1311.7459709966126</v>
      </c>
      <c r="AA63" s="61">
        <f t="shared" si="21"/>
        <v>0.25123154073012477</v>
      </c>
      <c r="AB63" s="62">
        <f>Scale!C63</f>
        <v>0</v>
      </c>
      <c r="AC63" s="65"/>
    </row>
    <row r="64" spans="1:29" x14ac:dyDescent="0.25">
      <c r="A64" s="64">
        <f t="shared" si="22"/>
        <v>43092</v>
      </c>
      <c r="B64" s="65">
        <f t="shared" si="23"/>
        <v>62</v>
      </c>
      <c r="C64" s="66">
        <f t="shared" si="24"/>
        <v>173.04037919544365</v>
      </c>
      <c r="D64" s="66">
        <f t="shared" si="25"/>
        <v>144.92675936341774</v>
      </c>
      <c r="E64" s="67">
        <f t="shared" si="14"/>
        <v>28.113619832025904</v>
      </c>
      <c r="F64" s="56"/>
      <c r="G64" s="68">
        <f>C64*TDEE!$B$5</f>
        <v>2187.879853946632</v>
      </c>
      <c r="H64" s="66">
        <f t="shared" si="26"/>
        <v>871.52221479280297</v>
      </c>
      <c r="I64" s="66">
        <f t="shared" si="27"/>
        <v>1316.357639153829</v>
      </c>
      <c r="J64" s="58">
        <f t="shared" si="15"/>
        <v>0.24900634708365799</v>
      </c>
      <c r="K64" s="66">
        <f t="shared" si="16"/>
        <v>85.843556576765806</v>
      </c>
      <c r="L64" s="66">
        <v>20</v>
      </c>
      <c r="M64" s="54">
        <f>Protein_Amt!$B$6</f>
        <v>115.94140749073421</v>
      </c>
      <c r="N64" s="66">
        <f t="shared" si="17"/>
        <v>772.59200919089221</v>
      </c>
      <c r="O64" s="66">
        <f t="shared" si="18"/>
        <v>80</v>
      </c>
      <c r="P64" s="66">
        <f t="shared" si="19"/>
        <v>463.76562996293683</v>
      </c>
      <c r="Q64" s="67">
        <f t="shared" si="20"/>
        <v>1316.357639153829</v>
      </c>
      <c r="S64" s="63">
        <f>VLOOKUP($A64,FoodLog!$A$1:$Z$9562,12,0)</f>
        <v>0</v>
      </c>
      <c r="T64" s="63">
        <f>VLOOKUP($A64,FoodLog!$A$1:$Z$9562,13,0)</f>
        <v>0</v>
      </c>
      <c r="U64" s="63">
        <f>VLOOKUP($A64,FoodLog!$A$1:$Z$9562,14,0)</f>
        <v>0</v>
      </c>
      <c r="V64" s="63">
        <f>VLOOKUP($A64,FoodLog!$A$1:$Z$9562,15,0)</f>
        <v>0</v>
      </c>
      <c r="W64" s="60">
        <f>-VLOOKUP($A64,FoodLog!$A$1:$S$1122,16,0)</f>
        <v>-772.59200919089221</v>
      </c>
      <c r="X64" s="60">
        <f>VLOOKUP($A64,FoodLog!$A$1:$S$1122,17,0)</f>
        <v>80</v>
      </c>
      <c r="Y64" s="60">
        <f>-VLOOKUP($A64,FoodLog!$A$1:$S$1122,18,0)</f>
        <v>-463.76562996293683</v>
      </c>
      <c r="Z64" s="60">
        <f>-VLOOKUP($A64,FoodLog!$A$1:$S$1122,19,0)</f>
        <v>-1316.357639153829</v>
      </c>
      <c r="AA64" s="61">
        <f t="shared" si="21"/>
        <v>0.24900634708365799</v>
      </c>
      <c r="AB64" s="62">
        <f>Scale!C64</f>
        <v>0</v>
      </c>
      <c r="AC64" s="65"/>
    </row>
    <row r="65" spans="1:29" x14ac:dyDescent="0.25">
      <c r="A65" s="64">
        <f t="shared" si="22"/>
        <v>43093</v>
      </c>
      <c r="B65" s="65">
        <f t="shared" si="23"/>
        <v>63</v>
      </c>
      <c r="C65" s="66">
        <f t="shared" si="24"/>
        <v>172.79137284836</v>
      </c>
      <c r="D65" s="66">
        <f t="shared" si="25"/>
        <v>144.92675936341774</v>
      </c>
      <c r="E65" s="67">
        <f t="shared" si="14"/>
        <v>27.864613484942254</v>
      </c>
      <c r="F65" s="56"/>
      <c r="G65" s="68">
        <f>C65*TDEE!$B$5</f>
        <v>2184.731479140577</v>
      </c>
      <c r="H65" s="66">
        <f t="shared" si="26"/>
        <v>863.80301803320981</v>
      </c>
      <c r="I65" s="66">
        <f t="shared" si="27"/>
        <v>1320.9284611073672</v>
      </c>
      <c r="J65" s="58">
        <f t="shared" si="15"/>
        <v>0.24680086229520282</v>
      </c>
      <c r="K65" s="66">
        <f t="shared" si="16"/>
        <v>86.351425682714478</v>
      </c>
      <c r="L65" s="66">
        <v>20</v>
      </c>
      <c r="M65" s="54">
        <f>Protein_Amt!$B$6</f>
        <v>115.94140749073421</v>
      </c>
      <c r="N65" s="66">
        <f t="shared" si="17"/>
        <v>777.16283114443036</v>
      </c>
      <c r="O65" s="66">
        <f t="shared" si="18"/>
        <v>80</v>
      </c>
      <c r="P65" s="66">
        <f t="shared" si="19"/>
        <v>463.76562996293683</v>
      </c>
      <c r="Q65" s="67">
        <f t="shared" si="20"/>
        <v>1320.9284611073672</v>
      </c>
      <c r="S65" s="63">
        <f>VLOOKUP($A65,FoodLog!$A$1:$Z$9562,12,0)</f>
        <v>0</v>
      </c>
      <c r="T65" s="63">
        <f>VLOOKUP($A65,FoodLog!$A$1:$Z$9562,13,0)</f>
        <v>0</v>
      </c>
      <c r="U65" s="63">
        <f>VLOOKUP($A65,FoodLog!$A$1:$Z$9562,14,0)</f>
        <v>0</v>
      </c>
      <c r="V65" s="63">
        <f>VLOOKUP($A65,FoodLog!$A$1:$Z$9562,15,0)</f>
        <v>0</v>
      </c>
      <c r="W65" s="60">
        <f>-VLOOKUP($A65,FoodLog!$A$1:$S$1122,16,0)</f>
        <v>-777.16283114443036</v>
      </c>
      <c r="X65" s="60">
        <f>VLOOKUP($A65,FoodLog!$A$1:$S$1122,17,0)</f>
        <v>80</v>
      </c>
      <c r="Y65" s="60">
        <f>-VLOOKUP($A65,FoodLog!$A$1:$S$1122,18,0)</f>
        <v>-463.76562996293683</v>
      </c>
      <c r="Z65" s="60">
        <f>-VLOOKUP($A65,FoodLog!$A$1:$S$1122,19,0)</f>
        <v>-1320.9284611073672</v>
      </c>
      <c r="AA65" s="61">
        <f t="shared" si="21"/>
        <v>0.24680086229520282</v>
      </c>
      <c r="AB65" s="62">
        <f>Scale!C65</f>
        <v>0</v>
      </c>
      <c r="AC65" s="65"/>
    </row>
    <row r="66" spans="1:29" x14ac:dyDescent="0.25">
      <c r="A66" s="64">
        <f t="shared" si="22"/>
        <v>43094</v>
      </c>
      <c r="B66" s="65">
        <f t="shared" si="23"/>
        <v>64</v>
      </c>
      <c r="C66" s="66">
        <f t="shared" si="24"/>
        <v>172.5445719860648</v>
      </c>
      <c r="D66" s="66">
        <f t="shared" si="25"/>
        <v>144.92675936341774</v>
      </c>
      <c r="E66" s="67">
        <f t="shared" si="14"/>
        <v>27.617812622647051</v>
      </c>
      <c r="F66" s="56"/>
      <c r="G66" s="68">
        <f>C66*TDEE!$B$5</f>
        <v>2181.6109899399466</v>
      </c>
      <c r="H66" s="66">
        <f t="shared" si="26"/>
        <v>856.15219130205855</v>
      </c>
      <c r="I66" s="66">
        <f t="shared" si="27"/>
        <v>1325.4587986378881</v>
      </c>
      <c r="J66" s="58">
        <f t="shared" si="15"/>
        <v>0.24461491180058817</v>
      </c>
      <c r="K66" s="66">
        <f t="shared" si="16"/>
        <v>86.854796519439034</v>
      </c>
      <c r="L66" s="66">
        <v>20</v>
      </c>
      <c r="M66" s="54">
        <f>Protein_Amt!$B$6</f>
        <v>115.94140749073421</v>
      </c>
      <c r="N66" s="66">
        <f t="shared" si="17"/>
        <v>781.69316867495127</v>
      </c>
      <c r="O66" s="66">
        <f t="shared" si="18"/>
        <v>80</v>
      </c>
      <c r="P66" s="66">
        <f t="shared" si="19"/>
        <v>463.76562996293683</v>
      </c>
      <c r="Q66" s="67">
        <f t="shared" si="20"/>
        <v>1325.4587986378881</v>
      </c>
      <c r="S66" s="63">
        <f>VLOOKUP($A66,FoodLog!$A$1:$Z$9562,12,0)</f>
        <v>0</v>
      </c>
      <c r="T66" s="63">
        <f>VLOOKUP($A66,FoodLog!$A$1:$Z$9562,13,0)</f>
        <v>0</v>
      </c>
      <c r="U66" s="63">
        <f>VLOOKUP($A66,FoodLog!$A$1:$Z$9562,14,0)</f>
        <v>0</v>
      </c>
      <c r="V66" s="63">
        <f>VLOOKUP($A66,FoodLog!$A$1:$Z$9562,15,0)</f>
        <v>0</v>
      </c>
      <c r="W66" s="60">
        <f>-VLOOKUP($A66,FoodLog!$A$1:$S$1122,16,0)</f>
        <v>-781.69316867495127</v>
      </c>
      <c r="X66" s="60">
        <f>VLOOKUP($A66,FoodLog!$A$1:$S$1122,17,0)</f>
        <v>80</v>
      </c>
      <c r="Y66" s="60">
        <f>-VLOOKUP($A66,FoodLog!$A$1:$S$1122,18,0)</f>
        <v>-463.76562996293683</v>
      </c>
      <c r="Z66" s="60">
        <f>-VLOOKUP($A66,FoodLog!$A$1:$S$1122,19,0)</f>
        <v>-1325.4587986378881</v>
      </c>
      <c r="AA66" s="61">
        <f t="shared" si="21"/>
        <v>0.24461491180058817</v>
      </c>
      <c r="AB66" s="62">
        <f>Scale!C66</f>
        <v>0</v>
      </c>
      <c r="AC66" s="65"/>
    </row>
    <row r="67" spans="1:29" x14ac:dyDescent="0.25">
      <c r="A67" s="64">
        <f t="shared" si="22"/>
        <v>43095</v>
      </c>
      <c r="B67" s="65">
        <f t="shared" si="23"/>
        <v>65</v>
      </c>
      <c r="C67" s="66">
        <f t="shared" si="24"/>
        <v>172.2999570742642</v>
      </c>
      <c r="D67" s="66">
        <f t="shared" si="25"/>
        <v>144.92675936341774</v>
      </c>
      <c r="E67" s="67">
        <f t="shared" ref="E67:E98" si="28">C67-D67</f>
        <v>27.373197710846455</v>
      </c>
      <c r="F67" s="56"/>
      <c r="G67" s="68">
        <f>C67*TDEE!$B$5</f>
        <v>2178.5181393579505</v>
      </c>
      <c r="H67" s="66">
        <f t="shared" si="26"/>
        <v>848.56912903624016</v>
      </c>
      <c r="I67" s="66">
        <f t="shared" si="27"/>
        <v>1329.9490103217104</v>
      </c>
      <c r="J67" s="58">
        <f t="shared" ref="J67:J100" si="29">H67/3500</f>
        <v>0.24244832258178289</v>
      </c>
      <c r="K67" s="66">
        <f t="shared" ref="K67:K100" si="30">N67/9</f>
        <v>87.35370892875261</v>
      </c>
      <c r="L67" s="66">
        <v>20</v>
      </c>
      <c r="M67" s="54">
        <f>Protein_Amt!$B$6</f>
        <v>115.94140749073421</v>
      </c>
      <c r="N67" s="66">
        <f t="shared" ref="N67:N98" si="31">MAX(0,I67-(O67+P67))</f>
        <v>786.18338035877355</v>
      </c>
      <c r="O67" s="66">
        <f t="shared" ref="O67:O100" si="32">4*L67</f>
        <v>80</v>
      </c>
      <c r="P67" s="66">
        <f t="shared" ref="P67:P100" si="33">4*M67</f>
        <v>463.76562996293683</v>
      </c>
      <c r="Q67" s="67">
        <f t="shared" ref="Q67:Q98" si="34">SUM(N67:P67)</f>
        <v>1329.9490103217104</v>
      </c>
      <c r="S67" s="63">
        <f>VLOOKUP($A67,FoodLog!$A$1:$Z$9562,12,0)</f>
        <v>0</v>
      </c>
      <c r="T67" s="63">
        <f>VLOOKUP($A67,FoodLog!$A$1:$Z$9562,13,0)</f>
        <v>0</v>
      </c>
      <c r="U67" s="63">
        <f>VLOOKUP($A67,FoodLog!$A$1:$Z$9562,14,0)</f>
        <v>0</v>
      </c>
      <c r="V67" s="63">
        <f>VLOOKUP($A67,FoodLog!$A$1:$Z$9562,15,0)</f>
        <v>0</v>
      </c>
      <c r="W67" s="60">
        <f>-VLOOKUP($A67,FoodLog!$A$1:$S$1122,16,0)</f>
        <v>-786.18338035877355</v>
      </c>
      <c r="X67" s="60">
        <f>VLOOKUP($A67,FoodLog!$A$1:$S$1122,17,0)</f>
        <v>80</v>
      </c>
      <c r="Y67" s="60">
        <f>-VLOOKUP($A67,FoodLog!$A$1:$S$1122,18,0)</f>
        <v>-463.76562996293683</v>
      </c>
      <c r="Z67" s="60">
        <f>-VLOOKUP($A67,FoodLog!$A$1:$S$1122,19,0)</f>
        <v>-1329.9490103217104</v>
      </c>
      <c r="AA67" s="61">
        <f t="shared" ref="AA67:AA98" si="35">MIN($H67/3500,($G67+Z67)/3500)</f>
        <v>0.24244832258178289</v>
      </c>
      <c r="AB67" s="62">
        <f>Scale!C67</f>
        <v>0</v>
      </c>
      <c r="AC67" s="65"/>
    </row>
    <row r="68" spans="1:29" x14ac:dyDescent="0.25">
      <c r="A68" s="64">
        <f t="shared" ref="A68:A100" si="36">A67+1</f>
        <v>43096</v>
      </c>
      <c r="B68" s="65">
        <f t="shared" ref="B68:B100" si="37">B67+1</f>
        <v>66</v>
      </c>
      <c r="C68" s="66">
        <f t="shared" ref="C68:C100" si="38">C67-AA67</f>
        <v>172.05750875168241</v>
      </c>
      <c r="D68" s="66">
        <f t="shared" ref="D68:D100" si="39">$D$3</f>
        <v>144.92675936341774</v>
      </c>
      <c r="E68" s="67">
        <f t="shared" si="28"/>
        <v>27.130749388264661</v>
      </c>
      <c r="F68" s="56"/>
      <c r="G68" s="68">
        <f>C68*TDEE!$B$5</f>
        <v>2175.4526825953949</v>
      </c>
      <c r="H68" s="66">
        <f t="shared" ref="H68:H100" si="40">$E68*31</f>
        <v>841.05323103620447</v>
      </c>
      <c r="I68" s="66">
        <f t="shared" ref="I68:I100" si="41">$G68-$H68</f>
        <v>1334.3994515591903</v>
      </c>
      <c r="J68" s="58">
        <f t="shared" si="29"/>
        <v>0.24030092315320128</v>
      </c>
      <c r="K68" s="66">
        <f t="shared" si="30"/>
        <v>87.848202399583727</v>
      </c>
      <c r="L68" s="66">
        <v>20</v>
      </c>
      <c r="M68" s="54">
        <f>Protein_Amt!$B$6</f>
        <v>115.94140749073421</v>
      </c>
      <c r="N68" s="66">
        <f t="shared" si="31"/>
        <v>790.63382159625348</v>
      </c>
      <c r="O68" s="66">
        <f t="shared" si="32"/>
        <v>80</v>
      </c>
      <c r="P68" s="66">
        <f t="shared" si="33"/>
        <v>463.76562996293683</v>
      </c>
      <c r="Q68" s="67">
        <f t="shared" si="34"/>
        <v>1334.3994515591903</v>
      </c>
      <c r="S68" s="63">
        <f>VLOOKUP($A68,FoodLog!$A$1:$Z$9562,12,0)</f>
        <v>0</v>
      </c>
      <c r="T68" s="63">
        <f>VLOOKUP($A68,FoodLog!$A$1:$Z$9562,13,0)</f>
        <v>0</v>
      </c>
      <c r="U68" s="63">
        <f>VLOOKUP($A68,FoodLog!$A$1:$Z$9562,14,0)</f>
        <v>0</v>
      </c>
      <c r="V68" s="63">
        <f>VLOOKUP($A68,FoodLog!$A$1:$Z$9562,15,0)</f>
        <v>0</v>
      </c>
      <c r="W68" s="60">
        <f>-VLOOKUP($A68,FoodLog!$A$1:$S$1122,16,0)</f>
        <v>-790.63382159625348</v>
      </c>
      <c r="X68" s="60">
        <f>VLOOKUP($A68,FoodLog!$A$1:$S$1122,17,0)</f>
        <v>80</v>
      </c>
      <c r="Y68" s="60">
        <f>-VLOOKUP($A68,FoodLog!$A$1:$S$1122,18,0)</f>
        <v>-463.76562996293683</v>
      </c>
      <c r="Z68" s="60">
        <f>-VLOOKUP($A68,FoodLog!$A$1:$S$1122,19,0)</f>
        <v>-1334.3994515591903</v>
      </c>
      <c r="AA68" s="61">
        <f t="shared" si="35"/>
        <v>0.24030092315320128</v>
      </c>
      <c r="AB68" s="62">
        <f>Scale!C68</f>
        <v>0</v>
      </c>
      <c r="AC68" s="65"/>
    </row>
    <row r="69" spans="1:29" x14ac:dyDescent="0.25">
      <c r="A69" s="64">
        <f t="shared" si="36"/>
        <v>43097</v>
      </c>
      <c r="B69" s="65">
        <f t="shared" si="37"/>
        <v>67</v>
      </c>
      <c r="C69" s="66">
        <f t="shared" si="38"/>
        <v>171.81720782852921</v>
      </c>
      <c r="D69" s="66">
        <f t="shared" si="39"/>
        <v>144.92675936341774</v>
      </c>
      <c r="E69" s="67">
        <f t="shared" si="28"/>
        <v>26.890448465111461</v>
      </c>
      <c r="F69" s="56"/>
      <c r="G69" s="68">
        <f>C69*TDEE!$B$5</f>
        <v>2172.4143770213077</v>
      </c>
      <c r="H69" s="66">
        <f t="shared" si="40"/>
        <v>833.60390241845528</v>
      </c>
      <c r="I69" s="66">
        <f t="shared" si="41"/>
        <v>1338.8104746028525</v>
      </c>
      <c r="J69" s="58">
        <f t="shared" si="29"/>
        <v>0.23817254354813008</v>
      </c>
      <c r="K69" s="66">
        <f t="shared" si="30"/>
        <v>88.338316071101744</v>
      </c>
      <c r="L69" s="66">
        <v>20</v>
      </c>
      <c r="M69" s="54">
        <f>Protein_Amt!$B$6</f>
        <v>115.94140749073421</v>
      </c>
      <c r="N69" s="66">
        <f t="shared" si="31"/>
        <v>795.04484463991571</v>
      </c>
      <c r="O69" s="66">
        <f t="shared" si="32"/>
        <v>80</v>
      </c>
      <c r="P69" s="66">
        <f t="shared" si="33"/>
        <v>463.76562996293683</v>
      </c>
      <c r="Q69" s="67">
        <f t="shared" si="34"/>
        <v>1338.8104746028525</v>
      </c>
      <c r="S69" s="63">
        <f>VLOOKUP($A69,FoodLog!$A$1:$Z$9562,12,0)</f>
        <v>0</v>
      </c>
      <c r="T69" s="63">
        <f>VLOOKUP($A69,FoodLog!$A$1:$Z$9562,13,0)</f>
        <v>0</v>
      </c>
      <c r="U69" s="63">
        <f>VLOOKUP($A69,FoodLog!$A$1:$Z$9562,14,0)</f>
        <v>0</v>
      </c>
      <c r="V69" s="63">
        <f>VLOOKUP($A69,FoodLog!$A$1:$Z$9562,15,0)</f>
        <v>0</v>
      </c>
      <c r="W69" s="60">
        <f>-VLOOKUP($A69,FoodLog!$A$1:$S$1122,16,0)</f>
        <v>-795.04484463991571</v>
      </c>
      <c r="X69" s="60">
        <f>VLOOKUP($A69,FoodLog!$A$1:$S$1122,17,0)</f>
        <v>80</v>
      </c>
      <c r="Y69" s="60">
        <f>-VLOOKUP($A69,FoodLog!$A$1:$S$1122,18,0)</f>
        <v>-463.76562996293683</v>
      </c>
      <c r="Z69" s="60">
        <f>-VLOOKUP($A69,FoodLog!$A$1:$S$1122,19,0)</f>
        <v>-1338.8104746028525</v>
      </c>
      <c r="AA69" s="61">
        <f t="shared" si="35"/>
        <v>0.23817254354813006</v>
      </c>
      <c r="AB69" s="62">
        <f>Scale!C69</f>
        <v>0</v>
      </c>
      <c r="AC69" s="65"/>
    </row>
    <row r="70" spans="1:29" x14ac:dyDescent="0.25">
      <c r="A70" s="64">
        <f t="shared" si="36"/>
        <v>43098</v>
      </c>
      <c r="B70" s="65">
        <f t="shared" si="37"/>
        <v>68</v>
      </c>
      <c r="C70" s="66">
        <f t="shared" si="38"/>
        <v>171.57903528498107</v>
      </c>
      <c r="D70" s="66">
        <f t="shared" si="39"/>
        <v>144.92675936341774</v>
      </c>
      <c r="E70" s="67">
        <f t="shared" si="28"/>
        <v>26.65227592156333</v>
      </c>
      <c r="F70" s="56"/>
      <c r="G70" s="68">
        <f>C70*TDEE!$B$5</f>
        <v>2169.4029821537342</v>
      </c>
      <c r="H70" s="66">
        <f t="shared" si="40"/>
        <v>826.22055356846317</v>
      </c>
      <c r="I70" s="66">
        <f t="shared" si="41"/>
        <v>1343.1824285852711</v>
      </c>
      <c r="J70" s="58">
        <f t="shared" si="29"/>
        <v>0.23606301530527518</v>
      </c>
      <c r="K70" s="66">
        <f t="shared" si="30"/>
        <v>88.824088735814911</v>
      </c>
      <c r="L70" s="66">
        <v>20</v>
      </c>
      <c r="M70" s="54">
        <f>Protein_Amt!$B$6</f>
        <v>115.94140749073421</v>
      </c>
      <c r="N70" s="66">
        <f t="shared" si="31"/>
        <v>799.41679862233423</v>
      </c>
      <c r="O70" s="66">
        <f t="shared" si="32"/>
        <v>80</v>
      </c>
      <c r="P70" s="66">
        <f t="shared" si="33"/>
        <v>463.76562996293683</v>
      </c>
      <c r="Q70" s="67">
        <f t="shared" si="34"/>
        <v>1343.1824285852711</v>
      </c>
      <c r="S70" s="63">
        <f>VLOOKUP($A70,FoodLog!$A$1:$Z$9562,12,0)</f>
        <v>0</v>
      </c>
      <c r="T70" s="63">
        <f>VLOOKUP($A70,FoodLog!$A$1:$Z$9562,13,0)</f>
        <v>0</v>
      </c>
      <c r="U70" s="63">
        <f>VLOOKUP($A70,FoodLog!$A$1:$Z$9562,14,0)</f>
        <v>0</v>
      </c>
      <c r="V70" s="63">
        <f>VLOOKUP($A70,FoodLog!$A$1:$Z$9562,15,0)</f>
        <v>0</v>
      </c>
      <c r="W70" s="60">
        <f>-VLOOKUP($A70,FoodLog!$A$1:$S$1122,16,0)</f>
        <v>-799.41679862233423</v>
      </c>
      <c r="X70" s="60">
        <f>VLOOKUP($A70,FoodLog!$A$1:$S$1122,17,0)</f>
        <v>80</v>
      </c>
      <c r="Y70" s="60">
        <f>-VLOOKUP($A70,FoodLog!$A$1:$S$1122,18,0)</f>
        <v>-463.76562996293683</v>
      </c>
      <c r="Z70" s="60">
        <f>-VLOOKUP($A70,FoodLog!$A$1:$S$1122,19,0)</f>
        <v>-1343.1824285852711</v>
      </c>
      <c r="AA70" s="61">
        <f t="shared" si="35"/>
        <v>0.23606301530527518</v>
      </c>
      <c r="AB70" s="62">
        <f>Scale!C70</f>
        <v>0</v>
      </c>
      <c r="AC70" s="65"/>
    </row>
    <row r="71" spans="1:29" x14ac:dyDescent="0.25">
      <c r="A71" s="64">
        <f t="shared" si="36"/>
        <v>43099</v>
      </c>
      <c r="B71" s="65">
        <f t="shared" si="37"/>
        <v>69</v>
      </c>
      <c r="C71" s="66">
        <f t="shared" si="38"/>
        <v>171.34297226967581</v>
      </c>
      <c r="D71" s="66">
        <f t="shared" si="39"/>
        <v>144.92675936341774</v>
      </c>
      <c r="E71" s="67">
        <f t="shared" si="28"/>
        <v>26.416212906258068</v>
      </c>
      <c r="F71" s="56"/>
      <c r="G71" s="68">
        <f>C71*TDEE!$B$5</f>
        <v>2166.4182596407018</v>
      </c>
      <c r="H71" s="66">
        <f t="shared" si="40"/>
        <v>818.90260009400004</v>
      </c>
      <c r="I71" s="66">
        <f t="shared" si="41"/>
        <v>1347.5156595467017</v>
      </c>
      <c r="J71" s="58">
        <f t="shared" si="29"/>
        <v>0.23397217145542859</v>
      </c>
      <c r="K71" s="66">
        <f t="shared" si="30"/>
        <v>89.305558842640551</v>
      </c>
      <c r="L71" s="66">
        <v>20</v>
      </c>
      <c r="M71" s="54">
        <f>Protein_Amt!$B$6</f>
        <v>115.94140749073421</v>
      </c>
      <c r="N71" s="66">
        <f t="shared" si="31"/>
        <v>803.7500295837649</v>
      </c>
      <c r="O71" s="66">
        <f t="shared" si="32"/>
        <v>80</v>
      </c>
      <c r="P71" s="66">
        <f t="shared" si="33"/>
        <v>463.76562996293683</v>
      </c>
      <c r="Q71" s="67">
        <f t="shared" si="34"/>
        <v>1347.5156595467017</v>
      </c>
      <c r="S71" s="63">
        <f>VLOOKUP($A71,FoodLog!$A$1:$Z$9562,12,0)</f>
        <v>0</v>
      </c>
      <c r="T71" s="63">
        <f>VLOOKUP($A71,FoodLog!$A$1:$Z$9562,13,0)</f>
        <v>0</v>
      </c>
      <c r="U71" s="63">
        <f>VLOOKUP($A71,FoodLog!$A$1:$Z$9562,14,0)</f>
        <v>0</v>
      </c>
      <c r="V71" s="63">
        <f>VLOOKUP($A71,FoodLog!$A$1:$Z$9562,15,0)</f>
        <v>0</v>
      </c>
      <c r="W71" s="60">
        <f>-VLOOKUP($A71,FoodLog!$A$1:$S$1122,16,0)</f>
        <v>-803.7500295837649</v>
      </c>
      <c r="X71" s="60">
        <f>VLOOKUP($A71,FoodLog!$A$1:$S$1122,17,0)</f>
        <v>80</v>
      </c>
      <c r="Y71" s="60">
        <f>-VLOOKUP($A71,FoodLog!$A$1:$S$1122,18,0)</f>
        <v>-463.76562996293683</v>
      </c>
      <c r="Z71" s="60">
        <f>-VLOOKUP($A71,FoodLog!$A$1:$S$1122,19,0)</f>
        <v>-1347.5156595467017</v>
      </c>
      <c r="AA71" s="61">
        <f t="shared" si="35"/>
        <v>0.23397217145542859</v>
      </c>
      <c r="AB71" s="62">
        <f>Scale!C71</f>
        <v>0</v>
      </c>
      <c r="AC71" s="65"/>
    </row>
    <row r="72" spans="1:29" x14ac:dyDescent="0.25">
      <c r="A72" s="64">
        <f t="shared" si="36"/>
        <v>43100</v>
      </c>
      <c r="B72" s="65">
        <f t="shared" si="37"/>
        <v>70</v>
      </c>
      <c r="C72" s="66">
        <f t="shared" si="38"/>
        <v>171.10900009822038</v>
      </c>
      <c r="D72" s="66">
        <f t="shared" si="39"/>
        <v>144.92675936341774</v>
      </c>
      <c r="E72" s="67">
        <f t="shared" si="28"/>
        <v>26.182240734802633</v>
      </c>
      <c r="F72" s="56"/>
      <c r="G72" s="68">
        <f>C72*TDEE!$B$5</f>
        <v>2163.4599732413562</v>
      </c>
      <c r="H72" s="66">
        <f t="shared" si="40"/>
        <v>811.64946277888157</v>
      </c>
      <c r="I72" s="66">
        <f t="shared" si="41"/>
        <v>1351.8105104624747</v>
      </c>
      <c r="J72" s="58">
        <f t="shared" si="29"/>
        <v>0.23189984650825188</v>
      </c>
      <c r="K72" s="66">
        <f t="shared" si="30"/>
        <v>89.782764499948655</v>
      </c>
      <c r="L72" s="66">
        <v>20</v>
      </c>
      <c r="M72" s="54">
        <f>Protein_Amt!$B$6</f>
        <v>115.94140749073421</v>
      </c>
      <c r="N72" s="66">
        <f t="shared" si="31"/>
        <v>808.04488049953784</v>
      </c>
      <c r="O72" s="66">
        <f t="shared" si="32"/>
        <v>80</v>
      </c>
      <c r="P72" s="66">
        <f t="shared" si="33"/>
        <v>463.76562996293683</v>
      </c>
      <c r="Q72" s="67">
        <f t="shared" si="34"/>
        <v>1351.8105104624747</v>
      </c>
      <c r="S72" s="63">
        <f>VLOOKUP($A72,FoodLog!$A$1:$Z$9562,12,0)</f>
        <v>0</v>
      </c>
      <c r="T72" s="63">
        <f>VLOOKUP($A72,FoodLog!$A$1:$Z$9562,13,0)</f>
        <v>0</v>
      </c>
      <c r="U72" s="63">
        <f>VLOOKUP($A72,FoodLog!$A$1:$Z$9562,14,0)</f>
        <v>0</v>
      </c>
      <c r="V72" s="63">
        <f>VLOOKUP($A72,FoodLog!$A$1:$Z$9562,15,0)</f>
        <v>0</v>
      </c>
      <c r="W72" s="60">
        <f>-VLOOKUP($A72,FoodLog!$A$1:$S$1122,16,0)</f>
        <v>-808.04488049953784</v>
      </c>
      <c r="X72" s="60">
        <f>VLOOKUP($A72,FoodLog!$A$1:$S$1122,17,0)</f>
        <v>80</v>
      </c>
      <c r="Y72" s="60">
        <f>-VLOOKUP($A72,FoodLog!$A$1:$S$1122,18,0)</f>
        <v>-463.76562996293683</v>
      </c>
      <c r="Z72" s="60">
        <f>-VLOOKUP($A72,FoodLog!$A$1:$S$1122,19,0)</f>
        <v>-1351.8105104624747</v>
      </c>
      <c r="AA72" s="61">
        <f t="shared" si="35"/>
        <v>0.23189984650825188</v>
      </c>
      <c r="AB72" s="62">
        <f>Scale!C72</f>
        <v>0</v>
      </c>
      <c r="AC72" s="65"/>
    </row>
    <row r="73" spans="1:29" x14ac:dyDescent="0.25">
      <c r="A73" s="64">
        <f t="shared" si="36"/>
        <v>43101</v>
      </c>
      <c r="B73" s="65">
        <f t="shared" si="37"/>
        <v>71</v>
      </c>
      <c r="C73" s="66">
        <f t="shared" si="38"/>
        <v>170.87710025171214</v>
      </c>
      <c r="D73" s="66">
        <f t="shared" si="39"/>
        <v>144.92675936341774</v>
      </c>
      <c r="E73" s="67">
        <f t="shared" si="28"/>
        <v>25.950340888294392</v>
      </c>
      <c r="F73" s="56"/>
      <c r="G73" s="68">
        <f>C73*TDEE!$B$5</f>
        <v>2160.5278888072621</v>
      </c>
      <c r="H73" s="66">
        <f t="shared" si="40"/>
        <v>804.46056753712617</v>
      </c>
      <c r="I73" s="66">
        <f t="shared" si="41"/>
        <v>1356.0673212701358</v>
      </c>
      <c r="J73" s="58">
        <f t="shared" si="29"/>
        <v>0.22984587643917889</v>
      </c>
      <c r="K73" s="66">
        <f t="shared" si="30"/>
        <v>90.255743478577671</v>
      </c>
      <c r="L73" s="66">
        <v>20</v>
      </c>
      <c r="M73" s="54">
        <f>Protein_Amt!$B$6</f>
        <v>115.94140749073421</v>
      </c>
      <c r="N73" s="66">
        <f t="shared" si="31"/>
        <v>812.30169130719901</v>
      </c>
      <c r="O73" s="66">
        <f t="shared" si="32"/>
        <v>80</v>
      </c>
      <c r="P73" s="66">
        <f t="shared" si="33"/>
        <v>463.76562996293683</v>
      </c>
      <c r="Q73" s="67">
        <f t="shared" si="34"/>
        <v>1356.0673212701358</v>
      </c>
      <c r="S73" s="63">
        <f>VLOOKUP($A73,FoodLog!$A$1:$Z$9562,12,0)</f>
        <v>0</v>
      </c>
      <c r="T73" s="63">
        <f>VLOOKUP($A73,FoodLog!$A$1:$Z$9562,13,0)</f>
        <v>0</v>
      </c>
      <c r="U73" s="63">
        <f>VLOOKUP($A73,FoodLog!$A$1:$Z$9562,14,0)</f>
        <v>0</v>
      </c>
      <c r="V73" s="63">
        <f>VLOOKUP($A73,FoodLog!$A$1:$Z$9562,15,0)</f>
        <v>0</v>
      </c>
      <c r="W73" s="60">
        <f>-VLOOKUP($A73,FoodLog!$A$1:$S$1122,16,0)</f>
        <v>-812.30169130719901</v>
      </c>
      <c r="X73" s="60">
        <f>VLOOKUP($A73,FoodLog!$A$1:$S$1122,17,0)</f>
        <v>80</v>
      </c>
      <c r="Y73" s="60">
        <f>-VLOOKUP($A73,FoodLog!$A$1:$S$1122,18,0)</f>
        <v>-463.76562996293683</v>
      </c>
      <c r="Z73" s="60">
        <f>-VLOOKUP($A73,FoodLog!$A$1:$S$1122,19,0)</f>
        <v>-1356.0673212701358</v>
      </c>
      <c r="AA73" s="61">
        <f t="shared" si="35"/>
        <v>0.22984587643917889</v>
      </c>
      <c r="AB73" s="62">
        <f>Scale!C73</f>
        <v>0</v>
      </c>
      <c r="AC73" s="65"/>
    </row>
    <row r="74" spans="1:29" x14ac:dyDescent="0.25">
      <c r="A74" s="64">
        <f t="shared" si="36"/>
        <v>43102</v>
      </c>
      <c r="B74" s="65">
        <f t="shared" si="37"/>
        <v>72</v>
      </c>
      <c r="C74" s="66">
        <f t="shared" si="38"/>
        <v>170.64725437527295</v>
      </c>
      <c r="D74" s="66">
        <f t="shared" si="39"/>
        <v>144.92675936341774</v>
      </c>
      <c r="E74" s="67">
        <f t="shared" si="28"/>
        <v>25.720495011855206</v>
      </c>
      <c r="F74" s="56"/>
      <c r="G74" s="68">
        <f>C74*TDEE!$B$5</f>
        <v>2157.6217742638696</v>
      </c>
      <c r="H74" s="66">
        <f t="shared" si="40"/>
        <v>797.33534536751142</v>
      </c>
      <c r="I74" s="66">
        <f t="shared" si="41"/>
        <v>1360.2864288963583</v>
      </c>
      <c r="J74" s="58">
        <f t="shared" si="29"/>
        <v>0.22781009867643184</v>
      </c>
      <c r="K74" s="66">
        <f t="shared" si="30"/>
        <v>90.724533214824604</v>
      </c>
      <c r="L74" s="66">
        <v>20</v>
      </c>
      <c r="M74" s="54">
        <f>Protein_Amt!$B$6</f>
        <v>115.94140749073421</v>
      </c>
      <c r="N74" s="66">
        <f t="shared" si="31"/>
        <v>816.52079893342147</v>
      </c>
      <c r="O74" s="66">
        <f t="shared" si="32"/>
        <v>80</v>
      </c>
      <c r="P74" s="66">
        <f t="shared" si="33"/>
        <v>463.76562996293683</v>
      </c>
      <c r="Q74" s="67">
        <f t="shared" si="34"/>
        <v>1360.2864288963583</v>
      </c>
      <c r="S74" s="63">
        <v>0</v>
      </c>
      <c r="T74" s="63">
        <v>0</v>
      </c>
      <c r="U74" s="63">
        <v>0</v>
      </c>
      <c r="V74" s="63">
        <v>0</v>
      </c>
      <c r="W74" s="60">
        <v>-812.30169130719901</v>
      </c>
      <c r="X74" s="60">
        <v>80</v>
      </c>
      <c r="Y74" s="60">
        <v>-463.765629962937</v>
      </c>
      <c r="Z74" s="60">
        <v>-1356.0673212701399</v>
      </c>
      <c r="AA74" s="61">
        <v>0.229845876439179</v>
      </c>
      <c r="AB74" s="62">
        <v>0</v>
      </c>
    </row>
    <row r="75" spans="1:29" x14ac:dyDescent="0.25">
      <c r="A75" s="64">
        <f t="shared" si="36"/>
        <v>43103</v>
      </c>
      <c r="B75" s="65">
        <f t="shared" si="37"/>
        <v>73</v>
      </c>
      <c r="C75" s="66">
        <f t="shared" si="38"/>
        <v>170.41740849883377</v>
      </c>
      <c r="D75" s="66">
        <f t="shared" si="39"/>
        <v>144.92675936341774</v>
      </c>
      <c r="E75" s="67">
        <f t="shared" si="28"/>
        <v>25.490649135416021</v>
      </c>
      <c r="F75" s="56"/>
      <c r="G75" s="68">
        <f>C75*TDEE!$B$5</f>
        <v>2154.7156597204776</v>
      </c>
      <c r="H75" s="66">
        <f t="shared" si="40"/>
        <v>790.21012319789668</v>
      </c>
      <c r="I75" s="66">
        <f t="shared" si="41"/>
        <v>1364.5055365225808</v>
      </c>
      <c r="J75" s="58">
        <f t="shared" si="29"/>
        <v>0.22577432091368477</v>
      </c>
      <c r="K75" s="66">
        <f t="shared" si="30"/>
        <v>91.193322951071551</v>
      </c>
      <c r="L75" s="66">
        <v>20</v>
      </c>
      <c r="M75" s="54">
        <f>Protein_Amt!$B$6</f>
        <v>115.94140749073421</v>
      </c>
      <c r="N75" s="66">
        <f t="shared" si="31"/>
        <v>820.73990655964394</v>
      </c>
      <c r="O75" s="66">
        <f t="shared" si="32"/>
        <v>80</v>
      </c>
      <c r="P75" s="66">
        <f t="shared" si="33"/>
        <v>463.76562996293683</v>
      </c>
      <c r="Q75" s="67">
        <f t="shared" si="34"/>
        <v>1364.5055365225808</v>
      </c>
      <c r="S75" s="63">
        <v>0</v>
      </c>
      <c r="T75" s="63">
        <v>0</v>
      </c>
      <c r="U75" s="63">
        <v>0</v>
      </c>
      <c r="V75" s="63">
        <v>0</v>
      </c>
      <c r="W75" s="60">
        <v>-812.30169130719901</v>
      </c>
      <c r="X75" s="60">
        <v>80</v>
      </c>
      <c r="Y75" s="60">
        <v>-463.765629962937</v>
      </c>
      <c r="Z75" s="60">
        <v>-1356.0673212701399</v>
      </c>
      <c r="AA75" s="61">
        <v>0.229845876439179</v>
      </c>
      <c r="AB75" s="62">
        <v>0</v>
      </c>
    </row>
    <row r="76" spans="1:29" x14ac:dyDescent="0.25">
      <c r="A76" s="64">
        <f t="shared" si="36"/>
        <v>43104</v>
      </c>
      <c r="B76" s="65">
        <f t="shared" si="37"/>
        <v>74</v>
      </c>
      <c r="C76" s="66">
        <f t="shared" si="38"/>
        <v>170.18756262239458</v>
      </c>
      <c r="D76" s="66">
        <f t="shared" si="39"/>
        <v>144.92675936341774</v>
      </c>
      <c r="E76" s="67">
        <f t="shared" si="28"/>
        <v>25.260803258976836</v>
      </c>
      <c r="F76" s="56"/>
      <c r="G76" s="68">
        <f>C76*TDEE!$B$5</f>
        <v>2151.8095451770851</v>
      </c>
      <c r="H76" s="66">
        <f t="shared" si="40"/>
        <v>783.08490102828193</v>
      </c>
      <c r="I76" s="66">
        <f t="shared" si="41"/>
        <v>1368.7246441488032</v>
      </c>
      <c r="J76" s="58">
        <f t="shared" si="29"/>
        <v>0.22373854315093769</v>
      </c>
      <c r="K76" s="66">
        <f t="shared" si="30"/>
        <v>91.662112687318483</v>
      </c>
      <c r="L76" s="66">
        <v>20</v>
      </c>
      <c r="M76" s="54">
        <f>Protein_Amt!$B$6</f>
        <v>115.94140749073421</v>
      </c>
      <c r="N76" s="66">
        <f t="shared" si="31"/>
        <v>824.95901418586641</v>
      </c>
      <c r="O76" s="66">
        <f t="shared" si="32"/>
        <v>80</v>
      </c>
      <c r="P76" s="66">
        <f t="shared" si="33"/>
        <v>463.76562996293683</v>
      </c>
      <c r="Q76" s="67">
        <f t="shared" si="34"/>
        <v>1368.7246441488032</v>
      </c>
      <c r="S76" s="63">
        <v>0</v>
      </c>
      <c r="T76" s="63">
        <v>0</v>
      </c>
      <c r="U76" s="63">
        <v>0</v>
      </c>
      <c r="V76" s="63">
        <v>0</v>
      </c>
      <c r="W76" s="60">
        <v>-812.30169130719901</v>
      </c>
      <c r="X76" s="60">
        <v>80</v>
      </c>
      <c r="Y76" s="60">
        <v>-463.765629962937</v>
      </c>
      <c r="Z76" s="60">
        <v>-1356.0673212701399</v>
      </c>
      <c r="AA76" s="61">
        <v>0.229845876439179</v>
      </c>
      <c r="AB76" s="62">
        <v>0</v>
      </c>
    </row>
    <row r="77" spans="1:29" x14ac:dyDescent="0.25">
      <c r="A77" s="64">
        <f t="shared" si="36"/>
        <v>43105</v>
      </c>
      <c r="B77" s="65">
        <f t="shared" si="37"/>
        <v>75</v>
      </c>
      <c r="C77" s="66">
        <f t="shared" si="38"/>
        <v>169.95771674595539</v>
      </c>
      <c r="D77" s="66">
        <f t="shared" si="39"/>
        <v>144.92675936341774</v>
      </c>
      <c r="E77" s="67">
        <f t="shared" si="28"/>
        <v>25.03095738253765</v>
      </c>
      <c r="F77" s="56"/>
      <c r="G77" s="68">
        <f>C77*TDEE!$B$5</f>
        <v>2148.903430633693</v>
      </c>
      <c r="H77" s="66">
        <f t="shared" si="40"/>
        <v>775.95967885866719</v>
      </c>
      <c r="I77" s="66">
        <f t="shared" si="41"/>
        <v>1372.9437517750257</v>
      </c>
      <c r="J77" s="58">
        <f t="shared" si="29"/>
        <v>0.22170276538819061</v>
      </c>
      <c r="K77" s="66">
        <f t="shared" si="30"/>
        <v>92.130902423565431</v>
      </c>
      <c r="L77" s="66">
        <v>20</v>
      </c>
      <c r="M77" s="54">
        <f>Protein_Amt!$B$6</f>
        <v>115.94140749073421</v>
      </c>
      <c r="N77" s="66">
        <f t="shared" si="31"/>
        <v>829.17812181208888</v>
      </c>
      <c r="O77" s="66">
        <f t="shared" si="32"/>
        <v>80</v>
      </c>
      <c r="P77" s="66">
        <f t="shared" si="33"/>
        <v>463.76562996293683</v>
      </c>
      <c r="Q77" s="67">
        <f t="shared" si="34"/>
        <v>1372.9437517750257</v>
      </c>
      <c r="S77" s="63">
        <v>0</v>
      </c>
      <c r="T77" s="63">
        <v>0</v>
      </c>
      <c r="U77" s="63">
        <v>0</v>
      </c>
      <c r="V77" s="63">
        <v>0</v>
      </c>
      <c r="W77" s="60">
        <v>-812.30169130719901</v>
      </c>
      <c r="X77" s="60">
        <v>80</v>
      </c>
      <c r="Y77" s="60">
        <v>-463.765629962937</v>
      </c>
      <c r="Z77" s="60">
        <v>-1356.0673212701399</v>
      </c>
      <c r="AA77" s="61">
        <v>0.229845876439179</v>
      </c>
      <c r="AB77" s="62">
        <v>0</v>
      </c>
    </row>
    <row r="78" spans="1:29" x14ac:dyDescent="0.25">
      <c r="A78" s="64">
        <f t="shared" si="36"/>
        <v>43106</v>
      </c>
      <c r="B78" s="65">
        <f t="shared" si="37"/>
        <v>76</v>
      </c>
      <c r="C78" s="66">
        <f t="shared" si="38"/>
        <v>169.72787086951621</v>
      </c>
      <c r="D78" s="66">
        <f t="shared" si="39"/>
        <v>144.92675936341774</v>
      </c>
      <c r="E78" s="67">
        <f t="shared" si="28"/>
        <v>24.801111506098465</v>
      </c>
      <c r="F78" s="56"/>
      <c r="G78" s="68">
        <f>C78*TDEE!$B$5</f>
        <v>2145.9973160903005</v>
      </c>
      <c r="H78" s="66">
        <f t="shared" si="40"/>
        <v>768.83445668905244</v>
      </c>
      <c r="I78" s="66">
        <f t="shared" si="41"/>
        <v>1377.1628594012482</v>
      </c>
      <c r="J78" s="58">
        <f t="shared" si="29"/>
        <v>0.21966698762544357</v>
      </c>
      <c r="K78" s="66">
        <f t="shared" si="30"/>
        <v>92.599692159812378</v>
      </c>
      <c r="L78" s="66">
        <v>20</v>
      </c>
      <c r="M78" s="54">
        <f>Protein_Amt!$B$6</f>
        <v>115.94140749073421</v>
      </c>
      <c r="N78" s="66">
        <f t="shared" si="31"/>
        <v>833.39722943831134</v>
      </c>
      <c r="O78" s="66">
        <f t="shared" si="32"/>
        <v>80</v>
      </c>
      <c r="P78" s="66">
        <f t="shared" si="33"/>
        <v>463.76562996293683</v>
      </c>
      <c r="Q78" s="67">
        <f t="shared" si="34"/>
        <v>1377.1628594012482</v>
      </c>
      <c r="S78" s="63">
        <v>0</v>
      </c>
      <c r="T78" s="63">
        <v>0</v>
      </c>
      <c r="U78" s="63">
        <v>0</v>
      </c>
      <c r="V78" s="63">
        <v>0</v>
      </c>
      <c r="W78" s="60">
        <v>-812.30169130719901</v>
      </c>
      <c r="X78" s="60">
        <v>80</v>
      </c>
      <c r="Y78" s="60">
        <v>-463.765629962937</v>
      </c>
      <c r="Z78" s="60">
        <v>-1356.0673212701399</v>
      </c>
      <c r="AA78" s="61">
        <v>0.229845876439179</v>
      </c>
      <c r="AB78" s="62">
        <v>0</v>
      </c>
    </row>
    <row r="79" spans="1:29" x14ac:dyDescent="0.25">
      <c r="A79" s="64">
        <f t="shared" si="36"/>
        <v>43107</v>
      </c>
      <c r="B79" s="65">
        <f t="shared" si="37"/>
        <v>77</v>
      </c>
      <c r="C79" s="66">
        <f t="shared" si="38"/>
        <v>169.49802499307702</v>
      </c>
      <c r="D79" s="66">
        <f t="shared" si="39"/>
        <v>144.92675936341774</v>
      </c>
      <c r="E79" s="67">
        <f t="shared" si="28"/>
        <v>24.57126562965928</v>
      </c>
      <c r="F79" s="56"/>
      <c r="G79" s="68">
        <f>C79*TDEE!$B$5</f>
        <v>2143.091201546908</v>
      </c>
      <c r="H79" s="66">
        <f t="shared" si="40"/>
        <v>761.7092345194377</v>
      </c>
      <c r="I79" s="66">
        <f t="shared" si="41"/>
        <v>1381.3819670274702</v>
      </c>
      <c r="J79" s="58">
        <f t="shared" si="29"/>
        <v>0.21763120986269649</v>
      </c>
      <c r="K79" s="66">
        <f t="shared" si="30"/>
        <v>93.068481896059268</v>
      </c>
      <c r="L79" s="66">
        <v>20</v>
      </c>
      <c r="M79" s="54">
        <f>Protein_Amt!$B$6</f>
        <v>115.94140749073421</v>
      </c>
      <c r="N79" s="66">
        <f t="shared" si="31"/>
        <v>837.61633706453335</v>
      </c>
      <c r="O79" s="66">
        <f t="shared" si="32"/>
        <v>80</v>
      </c>
      <c r="P79" s="66">
        <f t="shared" si="33"/>
        <v>463.76562996293683</v>
      </c>
      <c r="Q79" s="67">
        <f t="shared" si="34"/>
        <v>1381.3819670274702</v>
      </c>
      <c r="S79" s="63">
        <v>0</v>
      </c>
      <c r="T79" s="63">
        <v>0</v>
      </c>
      <c r="U79" s="63">
        <v>0</v>
      </c>
      <c r="V79" s="63">
        <v>0</v>
      </c>
      <c r="W79" s="60">
        <v>-812.30169130719901</v>
      </c>
      <c r="X79" s="60">
        <v>80</v>
      </c>
      <c r="Y79" s="60">
        <v>-463.765629962937</v>
      </c>
      <c r="Z79" s="60">
        <v>-1356.0673212701399</v>
      </c>
      <c r="AA79" s="61">
        <v>0.229845876439179</v>
      </c>
      <c r="AB79" s="62">
        <v>0</v>
      </c>
    </row>
    <row r="80" spans="1:29" x14ac:dyDescent="0.25">
      <c r="A80" s="64">
        <f t="shared" si="36"/>
        <v>43108</v>
      </c>
      <c r="B80" s="65">
        <f t="shared" si="37"/>
        <v>78</v>
      </c>
      <c r="C80" s="66">
        <f t="shared" si="38"/>
        <v>169.26817911663784</v>
      </c>
      <c r="D80" s="66">
        <f t="shared" si="39"/>
        <v>144.92675936341774</v>
      </c>
      <c r="E80" s="67">
        <f t="shared" si="28"/>
        <v>24.341419753220094</v>
      </c>
      <c r="F80" s="56"/>
      <c r="G80" s="68">
        <f>C80*TDEE!$B$5</f>
        <v>2140.1850870035159</v>
      </c>
      <c r="H80" s="66">
        <f t="shared" si="40"/>
        <v>754.58401234982296</v>
      </c>
      <c r="I80" s="66">
        <f t="shared" si="41"/>
        <v>1385.6010746536931</v>
      </c>
      <c r="J80" s="58">
        <f t="shared" si="29"/>
        <v>0.21559543209994941</v>
      </c>
      <c r="K80" s="66">
        <f t="shared" si="30"/>
        <v>93.537271632306258</v>
      </c>
      <c r="L80" s="66">
        <v>20</v>
      </c>
      <c r="M80" s="54">
        <f>Protein_Amt!$B$6</f>
        <v>115.94140749073421</v>
      </c>
      <c r="N80" s="66">
        <f t="shared" si="31"/>
        <v>841.83544469075628</v>
      </c>
      <c r="O80" s="66">
        <f t="shared" si="32"/>
        <v>80</v>
      </c>
      <c r="P80" s="66">
        <f t="shared" si="33"/>
        <v>463.76562996293683</v>
      </c>
      <c r="Q80" s="67">
        <f t="shared" si="34"/>
        <v>1385.6010746536931</v>
      </c>
      <c r="S80" s="63">
        <v>0</v>
      </c>
      <c r="T80" s="63">
        <v>0</v>
      </c>
      <c r="U80" s="63">
        <v>0</v>
      </c>
      <c r="V80" s="63">
        <v>0</v>
      </c>
      <c r="W80" s="60">
        <v>-812.30169130719901</v>
      </c>
      <c r="X80" s="60">
        <v>80</v>
      </c>
      <c r="Y80" s="60">
        <v>-463.765629962937</v>
      </c>
      <c r="Z80" s="60">
        <v>-1356.0673212701399</v>
      </c>
      <c r="AA80" s="61">
        <v>0.229845876439179</v>
      </c>
      <c r="AB80" s="62">
        <v>0</v>
      </c>
    </row>
    <row r="81" spans="1:28" x14ac:dyDescent="0.25">
      <c r="A81" s="64">
        <f t="shared" si="36"/>
        <v>43109</v>
      </c>
      <c r="B81" s="65">
        <f t="shared" si="37"/>
        <v>79</v>
      </c>
      <c r="C81" s="66">
        <f t="shared" si="38"/>
        <v>169.03833324019865</v>
      </c>
      <c r="D81" s="66">
        <f t="shared" si="39"/>
        <v>144.92675936341774</v>
      </c>
      <c r="E81" s="67">
        <f t="shared" si="28"/>
        <v>24.111573876780909</v>
      </c>
      <c r="F81" s="56"/>
      <c r="G81" s="68">
        <f>C81*TDEE!$B$5</f>
        <v>2137.2789724601234</v>
      </c>
      <c r="H81" s="66">
        <f t="shared" si="40"/>
        <v>747.45879018020821</v>
      </c>
      <c r="I81" s="66">
        <f t="shared" si="41"/>
        <v>1389.8201822799151</v>
      </c>
      <c r="J81" s="58">
        <f t="shared" si="29"/>
        <v>0.21355965433720234</v>
      </c>
      <c r="K81" s="66">
        <f t="shared" si="30"/>
        <v>94.006061368553148</v>
      </c>
      <c r="L81" s="66">
        <v>20</v>
      </c>
      <c r="M81" s="54">
        <f>Protein_Amt!$B$6</f>
        <v>115.94140749073421</v>
      </c>
      <c r="N81" s="66">
        <f t="shared" si="31"/>
        <v>846.05455231697829</v>
      </c>
      <c r="O81" s="66">
        <f t="shared" si="32"/>
        <v>80</v>
      </c>
      <c r="P81" s="66">
        <f t="shared" si="33"/>
        <v>463.76562996293683</v>
      </c>
      <c r="Q81" s="67">
        <f t="shared" si="34"/>
        <v>1389.8201822799151</v>
      </c>
      <c r="S81" s="63">
        <v>0</v>
      </c>
      <c r="T81" s="63">
        <v>0</v>
      </c>
      <c r="U81" s="63">
        <v>0</v>
      </c>
      <c r="V81" s="63">
        <v>0</v>
      </c>
      <c r="W81" s="60">
        <v>-812.30169130719901</v>
      </c>
      <c r="X81" s="60">
        <v>80</v>
      </c>
      <c r="Y81" s="60">
        <v>-463.765629962937</v>
      </c>
      <c r="Z81" s="60">
        <v>-1356.0673212701399</v>
      </c>
      <c r="AA81" s="61">
        <v>0.229845876439179</v>
      </c>
      <c r="AB81" s="62">
        <v>0</v>
      </c>
    </row>
    <row r="82" spans="1:28" x14ac:dyDescent="0.25">
      <c r="A82" s="64">
        <f t="shared" si="36"/>
        <v>43110</v>
      </c>
      <c r="B82" s="65">
        <f t="shared" si="37"/>
        <v>80</v>
      </c>
      <c r="C82" s="66">
        <f t="shared" si="38"/>
        <v>168.80848736375947</v>
      </c>
      <c r="D82" s="66">
        <f t="shared" si="39"/>
        <v>144.92675936341774</v>
      </c>
      <c r="E82" s="67">
        <f t="shared" si="28"/>
        <v>23.881728000341724</v>
      </c>
      <c r="F82" s="56"/>
      <c r="G82" s="68">
        <f>C82*TDEE!$B$5</f>
        <v>2134.3728579167314</v>
      </c>
      <c r="H82" s="66">
        <f t="shared" si="40"/>
        <v>740.33356801059347</v>
      </c>
      <c r="I82" s="66">
        <f t="shared" si="41"/>
        <v>1394.039289906138</v>
      </c>
      <c r="J82" s="58">
        <f t="shared" si="29"/>
        <v>0.21152387657445529</v>
      </c>
      <c r="K82" s="66">
        <f t="shared" si="30"/>
        <v>94.474851104800138</v>
      </c>
      <c r="L82" s="66">
        <v>20</v>
      </c>
      <c r="M82" s="54">
        <f>Protein_Amt!$B$6</f>
        <v>115.94140749073421</v>
      </c>
      <c r="N82" s="66">
        <f t="shared" si="31"/>
        <v>850.27365994320121</v>
      </c>
      <c r="O82" s="66">
        <f t="shared" si="32"/>
        <v>80</v>
      </c>
      <c r="P82" s="66">
        <f t="shared" si="33"/>
        <v>463.76562996293683</v>
      </c>
      <c r="Q82" s="67">
        <f t="shared" si="34"/>
        <v>1394.039289906138</v>
      </c>
      <c r="S82" s="63">
        <v>0</v>
      </c>
      <c r="T82" s="63">
        <v>0</v>
      </c>
      <c r="U82" s="63">
        <v>0</v>
      </c>
      <c r="V82" s="63">
        <v>0</v>
      </c>
      <c r="W82" s="60">
        <v>-812.30169130719901</v>
      </c>
      <c r="X82" s="60">
        <v>80</v>
      </c>
      <c r="Y82" s="60">
        <v>-463.765629962937</v>
      </c>
      <c r="Z82" s="60">
        <v>-1356.0673212701399</v>
      </c>
      <c r="AA82" s="61">
        <v>0.229845876439179</v>
      </c>
      <c r="AB82" s="62">
        <v>0</v>
      </c>
    </row>
    <row r="83" spans="1:28" x14ac:dyDescent="0.25">
      <c r="A83" s="64">
        <f t="shared" si="36"/>
        <v>43111</v>
      </c>
      <c r="B83" s="65">
        <f t="shared" si="37"/>
        <v>81</v>
      </c>
      <c r="C83" s="66">
        <f t="shared" si="38"/>
        <v>168.57864148732028</v>
      </c>
      <c r="D83" s="66">
        <f t="shared" si="39"/>
        <v>144.92675936341774</v>
      </c>
      <c r="E83" s="67">
        <f t="shared" si="28"/>
        <v>23.651882123902539</v>
      </c>
      <c r="F83" s="56"/>
      <c r="G83" s="68">
        <f>C83*TDEE!$B$5</f>
        <v>2131.4667433733389</v>
      </c>
      <c r="H83" s="66">
        <f t="shared" si="40"/>
        <v>733.20834584097872</v>
      </c>
      <c r="I83" s="66">
        <f t="shared" si="41"/>
        <v>1398.25839753236</v>
      </c>
      <c r="J83" s="58">
        <f t="shared" si="29"/>
        <v>0.20948809881170821</v>
      </c>
      <c r="K83" s="66">
        <f t="shared" si="30"/>
        <v>94.943640841047028</v>
      </c>
      <c r="L83" s="66">
        <v>20</v>
      </c>
      <c r="M83" s="54">
        <f>Protein_Amt!$B$6</f>
        <v>115.94140749073421</v>
      </c>
      <c r="N83" s="66">
        <f t="shared" si="31"/>
        <v>854.49276756942322</v>
      </c>
      <c r="O83" s="66">
        <f t="shared" si="32"/>
        <v>80</v>
      </c>
      <c r="P83" s="66">
        <f t="shared" si="33"/>
        <v>463.76562996293683</v>
      </c>
      <c r="Q83" s="67">
        <f t="shared" si="34"/>
        <v>1398.25839753236</v>
      </c>
      <c r="S83" s="63">
        <v>0</v>
      </c>
      <c r="T83" s="63">
        <v>0</v>
      </c>
      <c r="U83" s="63">
        <v>0</v>
      </c>
      <c r="V83" s="63">
        <v>0</v>
      </c>
      <c r="W83" s="60">
        <v>-812.30169130719901</v>
      </c>
      <c r="X83" s="60">
        <v>80</v>
      </c>
      <c r="Y83" s="60">
        <v>-463.765629962937</v>
      </c>
      <c r="Z83" s="60">
        <v>-1356.0673212701399</v>
      </c>
      <c r="AA83" s="61">
        <v>0.229845876439179</v>
      </c>
      <c r="AB83" s="62">
        <v>0</v>
      </c>
    </row>
    <row r="84" spans="1:28" x14ac:dyDescent="0.25">
      <c r="A84" s="64">
        <f t="shared" si="36"/>
        <v>43112</v>
      </c>
      <c r="B84" s="65">
        <f t="shared" si="37"/>
        <v>82</v>
      </c>
      <c r="C84" s="66">
        <f t="shared" si="38"/>
        <v>168.3487956108811</v>
      </c>
      <c r="D84" s="66">
        <f t="shared" si="39"/>
        <v>144.92675936341774</v>
      </c>
      <c r="E84" s="67">
        <f t="shared" si="28"/>
        <v>23.422036247463353</v>
      </c>
      <c r="F84" s="56"/>
      <c r="G84" s="68">
        <f>C84*TDEE!$B$5</f>
        <v>2128.5606288299464</v>
      </c>
      <c r="H84" s="66">
        <f t="shared" si="40"/>
        <v>726.08312367136398</v>
      </c>
      <c r="I84" s="66">
        <f t="shared" si="41"/>
        <v>1402.4775051585825</v>
      </c>
      <c r="J84" s="58">
        <f t="shared" si="29"/>
        <v>0.20745232104896114</v>
      </c>
      <c r="K84" s="66">
        <f t="shared" si="30"/>
        <v>95.412430577293961</v>
      </c>
      <c r="L84" s="66">
        <v>20</v>
      </c>
      <c r="M84" s="54">
        <f>Protein_Amt!$B$6</f>
        <v>115.94140749073421</v>
      </c>
      <c r="N84" s="66">
        <f t="shared" si="31"/>
        <v>858.71187519564569</v>
      </c>
      <c r="O84" s="66">
        <f t="shared" si="32"/>
        <v>80</v>
      </c>
      <c r="P84" s="66">
        <f t="shared" si="33"/>
        <v>463.76562996293683</v>
      </c>
      <c r="Q84" s="67">
        <f t="shared" si="34"/>
        <v>1402.4775051585825</v>
      </c>
      <c r="S84" s="63">
        <v>0</v>
      </c>
      <c r="T84" s="63">
        <v>0</v>
      </c>
      <c r="U84" s="63">
        <v>0</v>
      </c>
      <c r="V84" s="63">
        <v>0</v>
      </c>
      <c r="W84" s="60">
        <v>-812.30169130719901</v>
      </c>
      <c r="X84" s="60">
        <v>80</v>
      </c>
      <c r="Y84" s="60">
        <v>-463.765629962937</v>
      </c>
      <c r="Z84" s="60">
        <v>-1356.0673212701399</v>
      </c>
      <c r="AA84" s="61">
        <v>0.229845876439179</v>
      </c>
      <c r="AB84" s="62">
        <v>0</v>
      </c>
    </row>
    <row r="85" spans="1:28" x14ac:dyDescent="0.25">
      <c r="A85" s="64">
        <f t="shared" si="36"/>
        <v>43113</v>
      </c>
      <c r="B85" s="65">
        <f t="shared" si="37"/>
        <v>83</v>
      </c>
      <c r="C85" s="66">
        <f t="shared" si="38"/>
        <v>168.11894973444191</v>
      </c>
      <c r="D85" s="66">
        <f t="shared" si="39"/>
        <v>144.92675936341774</v>
      </c>
      <c r="E85" s="67">
        <f t="shared" si="28"/>
        <v>23.192190371024168</v>
      </c>
      <c r="F85" s="56"/>
      <c r="G85" s="68">
        <f>C85*TDEE!$B$5</f>
        <v>2125.6545142865543</v>
      </c>
      <c r="H85" s="66">
        <f t="shared" si="40"/>
        <v>718.95790150174923</v>
      </c>
      <c r="I85" s="66">
        <f t="shared" si="41"/>
        <v>1406.696612784805</v>
      </c>
      <c r="J85" s="58">
        <f t="shared" si="29"/>
        <v>0.20541654328621406</v>
      </c>
      <c r="K85" s="66">
        <f t="shared" si="30"/>
        <v>95.881220313540908</v>
      </c>
      <c r="L85" s="66">
        <v>20</v>
      </c>
      <c r="M85" s="54">
        <f>Protein_Amt!$B$6</f>
        <v>115.94140749073421</v>
      </c>
      <c r="N85" s="66">
        <f t="shared" si="31"/>
        <v>862.93098282186816</v>
      </c>
      <c r="O85" s="66">
        <f t="shared" si="32"/>
        <v>80</v>
      </c>
      <c r="P85" s="66">
        <f t="shared" si="33"/>
        <v>463.76562996293683</v>
      </c>
      <c r="Q85" s="67">
        <f t="shared" si="34"/>
        <v>1406.696612784805</v>
      </c>
      <c r="S85" s="63">
        <v>0</v>
      </c>
      <c r="T85" s="63">
        <v>0</v>
      </c>
      <c r="U85" s="63">
        <v>0</v>
      </c>
      <c r="V85" s="63">
        <v>0</v>
      </c>
      <c r="W85" s="60">
        <v>-812.30169130719901</v>
      </c>
      <c r="X85" s="60">
        <v>80</v>
      </c>
      <c r="Y85" s="60">
        <v>-463.765629962937</v>
      </c>
      <c r="Z85" s="60">
        <v>-1356.0673212701399</v>
      </c>
      <c r="AA85" s="61">
        <v>0.229845876439179</v>
      </c>
      <c r="AB85" s="62">
        <v>0</v>
      </c>
    </row>
    <row r="86" spans="1:28" x14ac:dyDescent="0.25">
      <c r="A86" s="64">
        <f t="shared" si="36"/>
        <v>43114</v>
      </c>
      <c r="B86" s="65">
        <f t="shared" si="37"/>
        <v>84</v>
      </c>
      <c r="C86" s="66">
        <f t="shared" si="38"/>
        <v>167.88910385800273</v>
      </c>
      <c r="D86" s="66">
        <f t="shared" si="39"/>
        <v>144.92675936341774</v>
      </c>
      <c r="E86" s="67">
        <f t="shared" si="28"/>
        <v>22.962344494584983</v>
      </c>
      <c r="F86" s="56"/>
      <c r="G86" s="68">
        <f>C86*TDEE!$B$5</f>
        <v>2122.7483997431618</v>
      </c>
      <c r="H86" s="66">
        <f t="shared" si="40"/>
        <v>711.83267933213449</v>
      </c>
      <c r="I86" s="66">
        <f t="shared" si="41"/>
        <v>1410.9157204110275</v>
      </c>
      <c r="J86" s="58">
        <f t="shared" si="29"/>
        <v>0.20338076552346698</v>
      </c>
      <c r="K86" s="66">
        <f t="shared" si="30"/>
        <v>96.350010049787841</v>
      </c>
      <c r="L86" s="66">
        <v>20</v>
      </c>
      <c r="M86" s="54">
        <f>Protein_Amt!$B$6</f>
        <v>115.94140749073421</v>
      </c>
      <c r="N86" s="66">
        <f t="shared" si="31"/>
        <v>867.15009044809062</v>
      </c>
      <c r="O86" s="66">
        <f t="shared" si="32"/>
        <v>80</v>
      </c>
      <c r="P86" s="66">
        <f t="shared" si="33"/>
        <v>463.76562996293683</v>
      </c>
      <c r="Q86" s="67">
        <f t="shared" si="34"/>
        <v>1410.9157204110275</v>
      </c>
      <c r="S86" s="63">
        <v>0</v>
      </c>
      <c r="T86" s="63">
        <v>0</v>
      </c>
      <c r="U86" s="63">
        <v>0</v>
      </c>
      <c r="V86" s="63">
        <v>0</v>
      </c>
      <c r="W86" s="60">
        <v>-812.30169130719901</v>
      </c>
      <c r="X86" s="60">
        <v>80</v>
      </c>
      <c r="Y86" s="60">
        <v>-463.765629962937</v>
      </c>
      <c r="Z86" s="60">
        <v>-1356.0673212701399</v>
      </c>
      <c r="AA86" s="61">
        <v>0.229845876439179</v>
      </c>
      <c r="AB86" s="62">
        <v>0</v>
      </c>
    </row>
    <row r="87" spans="1:28" x14ac:dyDescent="0.25">
      <c r="A87" s="64">
        <f t="shared" si="36"/>
        <v>43115</v>
      </c>
      <c r="B87" s="65">
        <f t="shared" si="37"/>
        <v>85</v>
      </c>
      <c r="C87" s="66">
        <f t="shared" si="38"/>
        <v>167.65925798156354</v>
      </c>
      <c r="D87" s="66">
        <f t="shared" si="39"/>
        <v>144.92675936341774</v>
      </c>
      <c r="E87" s="67">
        <f t="shared" si="28"/>
        <v>22.732498618145797</v>
      </c>
      <c r="F87" s="56"/>
      <c r="G87" s="68">
        <f>C87*TDEE!$B$5</f>
        <v>2119.8422851997698</v>
      </c>
      <c r="H87" s="66">
        <f t="shared" si="40"/>
        <v>704.70745716251974</v>
      </c>
      <c r="I87" s="66">
        <f t="shared" si="41"/>
        <v>1415.1348280372499</v>
      </c>
      <c r="J87" s="58">
        <f t="shared" si="29"/>
        <v>0.20134498776071993</v>
      </c>
      <c r="K87" s="66">
        <f t="shared" si="30"/>
        <v>96.818799786034788</v>
      </c>
      <c r="L87" s="66">
        <v>20</v>
      </c>
      <c r="M87" s="54">
        <f>Protein_Amt!$B$6</f>
        <v>115.94140749073421</v>
      </c>
      <c r="N87" s="66">
        <f t="shared" si="31"/>
        <v>871.36919807431309</v>
      </c>
      <c r="O87" s="66">
        <f t="shared" si="32"/>
        <v>80</v>
      </c>
      <c r="P87" s="66">
        <f t="shared" si="33"/>
        <v>463.76562996293683</v>
      </c>
      <c r="Q87" s="67">
        <f t="shared" si="34"/>
        <v>1415.1348280372499</v>
      </c>
      <c r="S87" s="63">
        <v>0</v>
      </c>
      <c r="T87" s="63">
        <v>0</v>
      </c>
      <c r="U87" s="63">
        <v>0</v>
      </c>
      <c r="V87" s="63">
        <v>0</v>
      </c>
      <c r="W87" s="60">
        <v>-812.30169130719901</v>
      </c>
      <c r="X87" s="60">
        <v>80</v>
      </c>
      <c r="Y87" s="60">
        <v>-463.765629962937</v>
      </c>
      <c r="Z87" s="60">
        <v>-1356.0673212701399</v>
      </c>
      <c r="AA87" s="61">
        <v>0.229845876439179</v>
      </c>
      <c r="AB87" s="62">
        <v>0</v>
      </c>
    </row>
    <row r="88" spans="1:28" x14ac:dyDescent="0.25">
      <c r="A88" s="64">
        <f t="shared" si="36"/>
        <v>43116</v>
      </c>
      <c r="B88" s="65">
        <f t="shared" si="37"/>
        <v>86</v>
      </c>
      <c r="C88" s="66">
        <f t="shared" si="38"/>
        <v>167.42941210512436</v>
      </c>
      <c r="D88" s="66">
        <f t="shared" si="39"/>
        <v>144.92675936341774</v>
      </c>
      <c r="E88" s="67">
        <f t="shared" si="28"/>
        <v>22.502652741706612</v>
      </c>
      <c r="F88" s="56"/>
      <c r="G88" s="68">
        <f>C88*TDEE!$B$5</f>
        <v>2116.9361706563773</v>
      </c>
      <c r="H88" s="66">
        <f t="shared" si="40"/>
        <v>697.582234992905</v>
      </c>
      <c r="I88" s="66">
        <f t="shared" si="41"/>
        <v>1419.3539356634724</v>
      </c>
      <c r="J88" s="58">
        <f t="shared" si="29"/>
        <v>0.19930920999797286</v>
      </c>
      <c r="K88" s="66">
        <f t="shared" si="30"/>
        <v>97.287589522281735</v>
      </c>
      <c r="L88" s="66">
        <v>20</v>
      </c>
      <c r="M88" s="54">
        <f>Protein_Amt!$B$6</f>
        <v>115.94140749073421</v>
      </c>
      <c r="N88" s="66">
        <f t="shared" si="31"/>
        <v>875.58830570053556</v>
      </c>
      <c r="O88" s="66">
        <f t="shared" si="32"/>
        <v>80</v>
      </c>
      <c r="P88" s="66">
        <f t="shared" si="33"/>
        <v>463.76562996293683</v>
      </c>
      <c r="Q88" s="67">
        <f t="shared" si="34"/>
        <v>1419.3539356634724</v>
      </c>
      <c r="S88" s="63">
        <v>0</v>
      </c>
      <c r="T88" s="63">
        <v>0</v>
      </c>
      <c r="U88" s="63">
        <v>0</v>
      </c>
      <c r="V88" s="63">
        <v>0</v>
      </c>
      <c r="W88" s="60">
        <v>-812.30169130719901</v>
      </c>
      <c r="X88" s="60">
        <v>80</v>
      </c>
      <c r="Y88" s="60">
        <v>-463.765629962937</v>
      </c>
      <c r="Z88" s="60">
        <v>-1356.0673212701399</v>
      </c>
      <c r="AA88" s="61">
        <v>0.229845876439179</v>
      </c>
      <c r="AB88" s="62">
        <v>0</v>
      </c>
    </row>
    <row r="89" spans="1:28" x14ac:dyDescent="0.25">
      <c r="A89" s="64">
        <f t="shared" si="36"/>
        <v>43117</v>
      </c>
      <c r="B89" s="65">
        <f t="shared" si="37"/>
        <v>87</v>
      </c>
      <c r="C89" s="66">
        <f t="shared" si="38"/>
        <v>167.19956622868517</v>
      </c>
      <c r="D89" s="66">
        <f t="shared" si="39"/>
        <v>144.92675936341774</v>
      </c>
      <c r="E89" s="67">
        <f t="shared" si="28"/>
        <v>22.272806865267427</v>
      </c>
      <c r="F89" s="56"/>
      <c r="G89" s="68">
        <f>C89*TDEE!$B$5</f>
        <v>2114.0300561129852</v>
      </c>
      <c r="H89" s="66">
        <f t="shared" si="40"/>
        <v>690.45701282329026</v>
      </c>
      <c r="I89" s="66">
        <f t="shared" si="41"/>
        <v>1423.5730432896949</v>
      </c>
      <c r="J89" s="58">
        <f t="shared" si="29"/>
        <v>0.19727343223522578</v>
      </c>
      <c r="K89" s="66">
        <f t="shared" si="30"/>
        <v>97.756379258528668</v>
      </c>
      <c r="L89" s="66">
        <v>20</v>
      </c>
      <c r="M89" s="54">
        <f>Protein_Amt!$B$6</f>
        <v>115.94140749073421</v>
      </c>
      <c r="N89" s="66">
        <f t="shared" si="31"/>
        <v>879.80741332675802</v>
      </c>
      <c r="O89" s="66">
        <f t="shared" si="32"/>
        <v>80</v>
      </c>
      <c r="P89" s="66">
        <f t="shared" si="33"/>
        <v>463.76562996293683</v>
      </c>
      <c r="Q89" s="67">
        <f t="shared" si="34"/>
        <v>1423.5730432896949</v>
      </c>
      <c r="S89" s="63">
        <v>0</v>
      </c>
      <c r="T89" s="63">
        <v>0</v>
      </c>
      <c r="U89" s="63">
        <v>0</v>
      </c>
      <c r="V89" s="63">
        <v>0</v>
      </c>
      <c r="W89" s="60">
        <v>-812.30169130719901</v>
      </c>
      <c r="X89" s="60">
        <v>80</v>
      </c>
      <c r="Y89" s="60">
        <v>-463.765629962937</v>
      </c>
      <c r="Z89" s="60">
        <v>-1356.0673212701399</v>
      </c>
      <c r="AA89" s="61">
        <v>0.229845876439179</v>
      </c>
      <c r="AB89" s="62">
        <v>0</v>
      </c>
    </row>
    <row r="90" spans="1:28" x14ac:dyDescent="0.25">
      <c r="A90" s="64">
        <f t="shared" si="36"/>
        <v>43118</v>
      </c>
      <c r="B90" s="65">
        <f t="shared" si="37"/>
        <v>88</v>
      </c>
      <c r="C90" s="66">
        <f t="shared" si="38"/>
        <v>166.96972035224599</v>
      </c>
      <c r="D90" s="66">
        <f t="shared" si="39"/>
        <v>144.92675936341774</v>
      </c>
      <c r="E90" s="67">
        <f t="shared" si="28"/>
        <v>22.042960988828241</v>
      </c>
      <c r="F90" s="56"/>
      <c r="G90" s="68">
        <f>C90*TDEE!$B$5</f>
        <v>2111.1239415695927</v>
      </c>
      <c r="H90" s="66">
        <f t="shared" si="40"/>
        <v>683.33179065367551</v>
      </c>
      <c r="I90" s="66">
        <f t="shared" si="41"/>
        <v>1427.7921509159173</v>
      </c>
      <c r="J90" s="58">
        <f t="shared" si="29"/>
        <v>0.19523765447247871</v>
      </c>
      <c r="K90" s="66">
        <f t="shared" si="30"/>
        <v>98.225168994775615</v>
      </c>
      <c r="L90" s="66">
        <v>20</v>
      </c>
      <c r="M90" s="54">
        <f>Protein_Amt!$B$6</f>
        <v>115.94140749073421</v>
      </c>
      <c r="N90" s="66">
        <f t="shared" si="31"/>
        <v>884.02652095298049</v>
      </c>
      <c r="O90" s="66">
        <f t="shared" si="32"/>
        <v>80</v>
      </c>
      <c r="P90" s="66">
        <f t="shared" si="33"/>
        <v>463.76562996293683</v>
      </c>
      <c r="Q90" s="67">
        <f t="shared" si="34"/>
        <v>1427.7921509159173</v>
      </c>
      <c r="S90" s="63">
        <v>0</v>
      </c>
      <c r="T90" s="63">
        <v>0</v>
      </c>
      <c r="U90" s="63">
        <v>0</v>
      </c>
      <c r="V90" s="63">
        <v>0</v>
      </c>
      <c r="W90" s="60">
        <v>-812.30169130719901</v>
      </c>
      <c r="X90" s="60">
        <v>80</v>
      </c>
      <c r="Y90" s="60">
        <v>-463.765629962937</v>
      </c>
      <c r="Z90" s="60">
        <v>-1356.0673212701399</v>
      </c>
      <c r="AA90" s="61">
        <v>0.229845876439179</v>
      </c>
      <c r="AB90" s="62">
        <v>0</v>
      </c>
    </row>
    <row r="91" spans="1:28" x14ac:dyDescent="0.25">
      <c r="A91" s="64">
        <f t="shared" si="36"/>
        <v>43119</v>
      </c>
      <c r="B91" s="65">
        <f t="shared" si="37"/>
        <v>89</v>
      </c>
      <c r="C91" s="66">
        <f t="shared" si="38"/>
        <v>166.7398744758068</v>
      </c>
      <c r="D91" s="66">
        <f t="shared" si="39"/>
        <v>144.92675936341774</v>
      </c>
      <c r="E91" s="67">
        <f t="shared" si="28"/>
        <v>21.813115112389056</v>
      </c>
      <c r="F91" s="56"/>
      <c r="G91" s="68">
        <f>C91*TDEE!$B$5</f>
        <v>2108.2178270262002</v>
      </c>
      <c r="H91" s="66">
        <f t="shared" si="40"/>
        <v>676.20656848406077</v>
      </c>
      <c r="I91" s="66">
        <f t="shared" si="41"/>
        <v>1432.0112585421393</v>
      </c>
      <c r="J91" s="58">
        <f t="shared" si="29"/>
        <v>0.19320187670973166</v>
      </c>
      <c r="K91" s="66">
        <f t="shared" si="30"/>
        <v>98.693958731022505</v>
      </c>
      <c r="L91" s="66">
        <v>20</v>
      </c>
      <c r="M91" s="54">
        <f>Protein_Amt!$B$6</f>
        <v>115.94140749073421</v>
      </c>
      <c r="N91" s="66">
        <f t="shared" si="31"/>
        <v>888.2456285792025</v>
      </c>
      <c r="O91" s="66">
        <f t="shared" si="32"/>
        <v>80</v>
      </c>
      <c r="P91" s="66">
        <f t="shared" si="33"/>
        <v>463.76562996293683</v>
      </c>
      <c r="Q91" s="67">
        <f t="shared" si="34"/>
        <v>1432.0112585421393</v>
      </c>
      <c r="S91" s="63">
        <v>0</v>
      </c>
      <c r="T91" s="63">
        <v>0</v>
      </c>
      <c r="U91" s="63">
        <v>0</v>
      </c>
      <c r="V91" s="63">
        <v>0</v>
      </c>
      <c r="W91" s="60">
        <v>-812.30169130719901</v>
      </c>
      <c r="X91" s="60">
        <v>80</v>
      </c>
      <c r="Y91" s="60">
        <v>-463.765629962937</v>
      </c>
      <c r="Z91" s="60">
        <v>-1356.0673212701399</v>
      </c>
      <c r="AA91" s="61">
        <v>0.229845876439179</v>
      </c>
      <c r="AB91" s="62">
        <v>0</v>
      </c>
    </row>
    <row r="92" spans="1:28" x14ac:dyDescent="0.25">
      <c r="A92" s="64">
        <f t="shared" si="36"/>
        <v>43120</v>
      </c>
      <c r="B92" s="65">
        <f t="shared" si="37"/>
        <v>90</v>
      </c>
      <c r="C92" s="66">
        <f t="shared" si="38"/>
        <v>166.51002859936762</v>
      </c>
      <c r="D92" s="66">
        <f t="shared" si="39"/>
        <v>144.92675936341774</v>
      </c>
      <c r="E92" s="67">
        <f t="shared" si="28"/>
        <v>21.583269235949871</v>
      </c>
      <c r="F92" s="56"/>
      <c r="G92" s="68">
        <f>C92*TDEE!$B$5</f>
        <v>2105.3117124828082</v>
      </c>
      <c r="H92" s="66">
        <f t="shared" si="40"/>
        <v>669.08134631444602</v>
      </c>
      <c r="I92" s="66">
        <f t="shared" si="41"/>
        <v>1436.2303661683623</v>
      </c>
      <c r="J92" s="58">
        <f t="shared" si="29"/>
        <v>0.19116609894698458</v>
      </c>
      <c r="K92" s="66">
        <f t="shared" si="30"/>
        <v>99.162748467269495</v>
      </c>
      <c r="L92" s="66">
        <v>20</v>
      </c>
      <c r="M92" s="54">
        <f>Protein_Amt!$B$6</f>
        <v>115.94140749073421</v>
      </c>
      <c r="N92" s="66">
        <f t="shared" si="31"/>
        <v>892.46473620542542</v>
      </c>
      <c r="O92" s="66">
        <f t="shared" si="32"/>
        <v>80</v>
      </c>
      <c r="P92" s="66">
        <f t="shared" si="33"/>
        <v>463.76562996293683</v>
      </c>
      <c r="Q92" s="67">
        <f t="shared" si="34"/>
        <v>1436.2303661683623</v>
      </c>
      <c r="S92" s="63">
        <v>0</v>
      </c>
      <c r="T92" s="63">
        <v>0</v>
      </c>
      <c r="U92" s="63">
        <v>0</v>
      </c>
      <c r="V92" s="63">
        <v>0</v>
      </c>
      <c r="W92" s="60">
        <v>-812.30169130719901</v>
      </c>
      <c r="X92" s="60">
        <v>80</v>
      </c>
      <c r="Y92" s="60">
        <v>-463.765629962937</v>
      </c>
      <c r="Z92" s="60">
        <v>-1356.0673212701399</v>
      </c>
      <c r="AA92" s="61">
        <v>0.229845876439179</v>
      </c>
      <c r="AB92" s="62">
        <v>0</v>
      </c>
    </row>
    <row r="93" spans="1:28" x14ac:dyDescent="0.25">
      <c r="A93" s="64">
        <f t="shared" si="36"/>
        <v>43121</v>
      </c>
      <c r="B93" s="65">
        <f t="shared" si="37"/>
        <v>91</v>
      </c>
      <c r="C93" s="66">
        <f t="shared" si="38"/>
        <v>166.28018272292843</v>
      </c>
      <c r="D93" s="66">
        <f t="shared" si="39"/>
        <v>144.92675936341774</v>
      </c>
      <c r="E93" s="67">
        <f t="shared" si="28"/>
        <v>21.353423359510685</v>
      </c>
      <c r="F93" s="56"/>
      <c r="G93" s="68">
        <f>C93*TDEE!$B$5</f>
        <v>2102.4055979394157</v>
      </c>
      <c r="H93" s="66">
        <f t="shared" si="40"/>
        <v>661.95612414483128</v>
      </c>
      <c r="I93" s="66">
        <f t="shared" si="41"/>
        <v>1440.4494737945843</v>
      </c>
      <c r="J93" s="58">
        <f t="shared" si="29"/>
        <v>0.1891303211842375</v>
      </c>
      <c r="K93" s="66">
        <f t="shared" si="30"/>
        <v>99.631538203516385</v>
      </c>
      <c r="L93" s="66">
        <v>20</v>
      </c>
      <c r="M93" s="54">
        <f>Protein_Amt!$B$6</f>
        <v>115.94140749073421</v>
      </c>
      <c r="N93" s="66">
        <f t="shared" si="31"/>
        <v>896.68384383164744</v>
      </c>
      <c r="O93" s="66">
        <f t="shared" si="32"/>
        <v>80</v>
      </c>
      <c r="P93" s="66">
        <f t="shared" si="33"/>
        <v>463.76562996293683</v>
      </c>
      <c r="Q93" s="67">
        <f t="shared" si="34"/>
        <v>1440.4494737945843</v>
      </c>
      <c r="S93" s="63">
        <v>0</v>
      </c>
      <c r="T93" s="63">
        <v>0</v>
      </c>
      <c r="U93" s="63">
        <v>0</v>
      </c>
      <c r="V93" s="63">
        <v>0</v>
      </c>
      <c r="W93" s="60">
        <v>-812.30169130719901</v>
      </c>
      <c r="X93" s="60">
        <v>80</v>
      </c>
      <c r="Y93" s="60">
        <v>-463.765629962937</v>
      </c>
      <c r="Z93" s="60">
        <v>-1356.0673212701399</v>
      </c>
      <c r="AA93" s="61">
        <v>0.229845876439179</v>
      </c>
      <c r="AB93" s="62">
        <v>0</v>
      </c>
    </row>
    <row r="94" spans="1:28" x14ac:dyDescent="0.25">
      <c r="A94" s="64">
        <f t="shared" si="36"/>
        <v>43122</v>
      </c>
      <c r="B94" s="65">
        <f t="shared" si="37"/>
        <v>92</v>
      </c>
      <c r="C94" s="66">
        <f t="shared" si="38"/>
        <v>166.05033684648924</v>
      </c>
      <c r="D94" s="66">
        <f t="shared" si="39"/>
        <v>144.92675936341774</v>
      </c>
      <c r="E94" s="67">
        <f t="shared" si="28"/>
        <v>21.1235774830715</v>
      </c>
      <c r="F94" s="56"/>
      <c r="G94" s="68">
        <f>C94*TDEE!$B$5</f>
        <v>2099.4994833960236</v>
      </c>
      <c r="H94" s="66">
        <f t="shared" si="40"/>
        <v>654.83090197521653</v>
      </c>
      <c r="I94" s="66">
        <f t="shared" si="41"/>
        <v>1444.6685814208072</v>
      </c>
      <c r="J94" s="58">
        <f t="shared" si="29"/>
        <v>0.18709454342149043</v>
      </c>
      <c r="K94" s="66">
        <f t="shared" si="30"/>
        <v>100.10032793976337</v>
      </c>
      <c r="L94" s="66">
        <v>20</v>
      </c>
      <c r="M94" s="54">
        <f>Protein_Amt!$B$6</f>
        <v>115.94140749073421</v>
      </c>
      <c r="N94" s="66">
        <f t="shared" si="31"/>
        <v>900.90295145787036</v>
      </c>
      <c r="O94" s="66">
        <f t="shared" si="32"/>
        <v>80</v>
      </c>
      <c r="P94" s="66">
        <f t="shared" si="33"/>
        <v>463.76562996293683</v>
      </c>
      <c r="Q94" s="67">
        <f t="shared" si="34"/>
        <v>1444.6685814208072</v>
      </c>
      <c r="S94" s="63">
        <v>0</v>
      </c>
      <c r="T94" s="63">
        <v>0</v>
      </c>
      <c r="U94" s="63">
        <v>0</v>
      </c>
      <c r="V94" s="63">
        <v>0</v>
      </c>
      <c r="W94" s="60">
        <v>-812.30169130719901</v>
      </c>
      <c r="X94" s="60">
        <v>80</v>
      </c>
      <c r="Y94" s="60">
        <v>-463.765629962937</v>
      </c>
      <c r="Z94" s="60">
        <v>-1356.0673212701399</v>
      </c>
      <c r="AA94" s="61">
        <v>0.229845876439179</v>
      </c>
      <c r="AB94" s="62">
        <v>0</v>
      </c>
    </row>
    <row r="95" spans="1:28" x14ac:dyDescent="0.25">
      <c r="A95" s="64">
        <f t="shared" si="36"/>
        <v>43123</v>
      </c>
      <c r="B95" s="65">
        <f t="shared" si="37"/>
        <v>93</v>
      </c>
      <c r="C95" s="66">
        <f t="shared" si="38"/>
        <v>165.82049097005006</v>
      </c>
      <c r="D95" s="66">
        <f t="shared" si="39"/>
        <v>144.92675936341774</v>
      </c>
      <c r="E95" s="67">
        <f t="shared" si="28"/>
        <v>20.893731606632315</v>
      </c>
      <c r="F95" s="56"/>
      <c r="G95" s="68">
        <f>C95*TDEE!$B$5</f>
        <v>2096.5933688526311</v>
      </c>
      <c r="H95" s="66">
        <f t="shared" si="40"/>
        <v>647.70567980560179</v>
      </c>
      <c r="I95" s="66">
        <f t="shared" si="41"/>
        <v>1448.8876890470292</v>
      </c>
      <c r="J95" s="58">
        <f t="shared" si="29"/>
        <v>0.18505876565874338</v>
      </c>
      <c r="K95" s="66">
        <f t="shared" si="30"/>
        <v>100.56911767601026</v>
      </c>
      <c r="L95" s="66">
        <v>20</v>
      </c>
      <c r="M95" s="54">
        <f>Protein_Amt!$B$6</f>
        <v>115.94140749073421</v>
      </c>
      <c r="N95" s="66">
        <f t="shared" si="31"/>
        <v>905.12205908409237</v>
      </c>
      <c r="O95" s="66">
        <f t="shared" si="32"/>
        <v>80</v>
      </c>
      <c r="P95" s="66">
        <f t="shared" si="33"/>
        <v>463.76562996293683</v>
      </c>
      <c r="Q95" s="67">
        <f t="shared" si="34"/>
        <v>1448.8876890470292</v>
      </c>
      <c r="S95" s="63">
        <v>0</v>
      </c>
      <c r="T95" s="63">
        <v>0</v>
      </c>
      <c r="U95" s="63">
        <v>0</v>
      </c>
      <c r="V95" s="63">
        <v>0</v>
      </c>
      <c r="W95" s="60">
        <v>-812.30169130719901</v>
      </c>
      <c r="X95" s="60">
        <v>80</v>
      </c>
      <c r="Y95" s="60">
        <v>-463.765629962937</v>
      </c>
      <c r="Z95" s="60">
        <v>-1356.0673212701399</v>
      </c>
      <c r="AA95" s="61">
        <v>0.229845876439179</v>
      </c>
      <c r="AB95" s="62">
        <v>0</v>
      </c>
    </row>
    <row r="96" spans="1:28" x14ac:dyDescent="0.25">
      <c r="A96" s="64">
        <f t="shared" si="36"/>
        <v>43124</v>
      </c>
      <c r="B96" s="65">
        <f t="shared" si="37"/>
        <v>94</v>
      </c>
      <c r="C96" s="66">
        <f t="shared" si="38"/>
        <v>165.59064509361087</v>
      </c>
      <c r="D96" s="66">
        <f t="shared" si="39"/>
        <v>144.92675936341774</v>
      </c>
      <c r="E96" s="67">
        <f t="shared" si="28"/>
        <v>20.66388573019313</v>
      </c>
      <c r="F96" s="56"/>
      <c r="G96" s="68">
        <f>C96*TDEE!$B$5</f>
        <v>2093.6872543092386</v>
      </c>
      <c r="H96" s="66">
        <f t="shared" si="40"/>
        <v>640.58045763598705</v>
      </c>
      <c r="I96" s="66">
        <f t="shared" si="41"/>
        <v>1453.1067966732517</v>
      </c>
      <c r="J96" s="58">
        <f t="shared" si="29"/>
        <v>0.1830229878959963</v>
      </c>
      <c r="K96" s="66">
        <f t="shared" si="30"/>
        <v>101.0379074122572</v>
      </c>
      <c r="L96" s="66">
        <v>20</v>
      </c>
      <c r="M96" s="54">
        <f>Protein_Amt!$B$6</f>
        <v>115.94140749073421</v>
      </c>
      <c r="N96" s="66">
        <f t="shared" si="31"/>
        <v>909.34116671031484</v>
      </c>
      <c r="O96" s="66">
        <f t="shared" si="32"/>
        <v>80</v>
      </c>
      <c r="P96" s="66">
        <f t="shared" si="33"/>
        <v>463.76562996293683</v>
      </c>
      <c r="Q96" s="67">
        <f t="shared" si="34"/>
        <v>1453.1067966732517</v>
      </c>
      <c r="S96" s="63">
        <v>0</v>
      </c>
      <c r="T96" s="63">
        <v>0</v>
      </c>
      <c r="U96" s="63">
        <v>0</v>
      </c>
      <c r="V96" s="63">
        <v>0</v>
      </c>
      <c r="W96" s="60">
        <v>-812.30169130719901</v>
      </c>
      <c r="X96" s="60">
        <v>80</v>
      </c>
      <c r="Y96" s="60">
        <v>-463.765629962937</v>
      </c>
      <c r="Z96" s="60">
        <v>-1356.0673212701399</v>
      </c>
      <c r="AA96" s="61">
        <v>0.229845876439179</v>
      </c>
      <c r="AB96" s="62">
        <v>0</v>
      </c>
    </row>
    <row r="97" spans="1:28" x14ac:dyDescent="0.25">
      <c r="A97" s="64">
        <f t="shared" si="36"/>
        <v>43125</v>
      </c>
      <c r="B97" s="65">
        <f t="shared" si="37"/>
        <v>95</v>
      </c>
      <c r="C97" s="66">
        <f t="shared" si="38"/>
        <v>165.36079921717169</v>
      </c>
      <c r="D97" s="66">
        <f t="shared" si="39"/>
        <v>144.92675936341774</v>
      </c>
      <c r="E97" s="67">
        <f t="shared" si="28"/>
        <v>20.434039853753944</v>
      </c>
      <c r="F97" s="56"/>
      <c r="G97" s="68">
        <f>C97*TDEE!$B$5</f>
        <v>2090.7811397658465</v>
      </c>
      <c r="H97" s="66">
        <f t="shared" si="40"/>
        <v>633.4552354663723</v>
      </c>
      <c r="I97" s="66">
        <f t="shared" si="41"/>
        <v>1457.3259042994741</v>
      </c>
      <c r="J97" s="58">
        <f t="shared" si="29"/>
        <v>0.18098721013324923</v>
      </c>
      <c r="K97" s="66">
        <f t="shared" si="30"/>
        <v>101.50669714850414</v>
      </c>
      <c r="L97" s="66">
        <v>20</v>
      </c>
      <c r="M97" s="54">
        <f>Protein_Amt!$B$6</f>
        <v>115.94140749073421</v>
      </c>
      <c r="N97" s="66">
        <f t="shared" si="31"/>
        <v>913.5602743365373</v>
      </c>
      <c r="O97" s="66">
        <f t="shared" si="32"/>
        <v>80</v>
      </c>
      <c r="P97" s="66">
        <f t="shared" si="33"/>
        <v>463.76562996293683</v>
      </c>
      <c r="Q97" s="67">
        <f t="shared" si="34"/>
        <v>1457.3259042994741</v>
      </c>
      <c r="S97" s="63">
        <v>0</v>
      </c>
      <c r="T97" s="63">
        <v>0</v>
      </c>
      <c r="U97" s="63">
        <v>0</v>
      </c>
      <c r="V97" s="63">
        <v>0</v>
      </c>
      <c r="W97" s="60">
        <v>-812.30169130719901</v>
      </c>
      <c r="X97" s="60">
        <v>80</v>
      </c>
      <c r="Y97" s="60">
        <v>-463.765629962937</v>
      </c>
      <c r="Z97" s="60">
        <v>-1356.0673212701399</v>
      </c>
      <c r="AA97" s="61">
        <v>0.229845876439179</v>
      </c>
      <c r="AB97" s="62">
        <v>0</v>
      </c>
    </row>
    <row r="98" spans="1:28" x14ac:dyDescent="0.25">
      <c r="A98" s="64">
        <f t="shared" si="36"/>
        <v>43126</v>
      </c>
      <c r="B98" s="65">
        <f t="shared" si="37"/>
        <v>96</v>
      </c>
      <c r="C98" s="66">
        <f t="shared" si="38"/>
        <v>165.1309533407325</v>
      </c>
      <c r="D98" s="66">
        <f t="shared" si="39"/>
        <v>144.92675936341774</v>
      </c>
      <c r="E98" s="67">
        <f t="shared" si="28"/>
        <v>20.204193977314759</v>
      </c>
      <c r="F98" s="56"/>
      <c r="G98" s="68">
        <f>C98*TDEE!$B$5</f>
        <v>2087.875025222454</v>
      </c>
      <c r="H98" s="66">
        <f t="shared" si="40"/>
        <v>626.33001329675756</v>
      </c>
      <c r="I98" s="66">
        <f t="shared" si="41"/>
        <v>1461.5450119256966</v>
      </c>
      <c r="J98" s="58">
        <f t="shared" si="29"/>
        <v>0.17895143237050215</v>
      </c>
      <c r="K98" s="66">
        <f t="shared" si="30"/>
        <v>101.97548688475109</v>
      </c>
      <c r="L98" s="66">
        <v>20</v>
      </c>
      <c r="M98" s="54">
        <f>Protein_Amt!$B$6</f>
        <v>115.94140749073421</v>
      </c>
      <c r="N98" s="66">
        <f t="shared" si="31"/>
        <v>917.77938196275977</v>
      </c>
      <c r="O98" s="66">
        <f t="shared" si="32"/>
        <v>80</v>
      </c>
      <c r="P98" s="66">
        <f t="shared" si="33"/>
        <v>463.76562996293683</v>
      </c>
      <c r="Q98" s="67">
        <f t="shared" si="34"/>
        <v>1461.5450119256966</v>
      </c>
      <c r="S98" s="63">
        <v>0</v>
      </c>
      <c r="T98" s="63">
        <v>0</v>
      </c>
      <c r="U98" s="63">
        <v>0</v>
      </c>
      <c r="V98" s="63">
        <v>0</v>
      </c>
      <c r="W98" s="60">
        <v>-812.30169130719901</v>
      </c>
      <c r="X98" s="60">
        <v>80</v>
      </c>
      <c r="Y98" s="60">
        <v>-463.765629962937</v>
      </c>
      <c r="Z98" s="60">
        <v>-1356.0673212701399</v>
      </c>
      <c r="AA98" s="61">
        <v>0.229845876439179</v>
      </c>
      <c r="AB98" s="62">
        <v>0</v>
      </c>
    </row>
    <row r="99" spans="1:28" x14ac:dyDescent="0.25">
      <c r="A99" s="64">
        <f t="shared" si="36"/>
        <v>43127</v>
      </c>
      <c r="B99" s="65">
        <f t="shared" si="37"/>
        <v>97</v>
      </c>
      <c r="C99" s="66">
        <f t="shared" si="38"/>
        <v>164.90110746429332</v>
      </c>
      <c r="D99" s="66">
        <f t="shared" si="39"/>
        <v>144.92675936341774</v>
      </c>
      <c r="E99" s="67">
        <f t="shared" ref="E99:E130" si="42">C99-D99</f>
        <v>19.974348100875574</v>
      </c>
      <c r="F99" s="56"/>
      <c r="G99" s="68">
        <f>C99*TDEE!$B$5</f>
        <v>2084.968910679062</v>
      </c>
      <c r="H99" s="66">
        <f t="shared" si="40"/>
        <v>619.20479112714281</v>
      </c>
      <c r="I99" s="66">
        <f t="shared" si="41"/>
        <v>1465.7641195519191</v>
      </c>
      <c r="J99" s="58">
        <f t="shared" si="29"/>
        <v>0.1769156546077551</v>
      </c>
      <c r="K99" s="66">
        <f t="shared" si="30"/>
        <v>102.44427662099802</v>
      </c>
      <c r="L99" s="66">
        <v>20</v>
      </c>
      <c r="M99" s="54">
        <f>Protein_Amt!$B$6</f>
        <v>115.94140749073421</v>
      </c>
      <c r="N99" s="66">
        <f t="shared" ref="N99:N130" si="43">MAX(0,I99-(O99+P99))</f>
        <v>921.99848958898224</v>
      </c>
      <c r="O99" s="66">
        <f t="shared" si="32"/>
        <v>80</v>
      </c>
      <c r="P99" s="66">
        <f t="shared" si="33"/>
        <v>463.76562996293683</v>
      </c>
      <c r="Q99" s="67">
        <f t="shared" ref="Q99:Q130" si="44">SUM(N99:P99)</f>
        <v>1465.7641195519191</v>
      </c>
      <c r="S99" s="63">
        <v>0</v>
      </c>
      <c r="T99" s="63">
        <v>0</v>
      </c>
      <c r="U99" s="63">
        <v>0</v>
      </c>
      <c r="V99" s="63">
        <v>0</v>
      </c>
      <c r="W99" s="60">
        <v>-812.30169130719901</v>
      </c>
      <c r="X99" s="60">
        <v>80</v>
      </c>
      <c r="Y99" s="60">
        <v>-463.765629962937</v>
      </c>
      <c r="Z99" s="60">
        <v>-1356.0673212701399</v>
      </c>
      <c r="AA99" s="61">
        <v>0.229845876439179</v>
      </c>
      <c r="AB99" s="62">
        <v>0</v>
      </c>
    </row>
    <row r="100" spans="1:28" x14ac:dyDescent="0.25">
      <c r="A100" s="64">
        <f t="shared" si="36"/>
        <v>43128</v>
      </c>
      <c r="B100" s="65">
        <f t="shared" si="37"/>
        <v>98</v>
      </c>
      <c r="C100" s="66">
        <f t="shared" si="38"/>
        <v>164.67126158785413</v>
      </c>
      <c r="D100" s="66">
        <f t="shared" si="39"/>
        <v>144.92675936341774</v>
      </c>
      <c r="E100" s="67">
        <f t="shared" si="42"/>
        <v>19.744502224436388</v>
      </c>
      <c r="F100" s="56"/>
      <c r="G100" s="68">
        <f>C100*TDEE!$B$5</f>
        <v>2082.0627961356695</v>
      </c>
      <c r="H100" s="66">
        <f t="shared" si="40"/>
        <v>612.07956895752807</v>
      </c>
      <c r="I100" s="66">
        <f t="shared" si="41"/>
        <v>1469.9832271781415</v>
      </c>
      <c r="J100" s="58">
        <f t="shared" si="29"/>
        <v>0.17487987684500803</v>
      </c>
      <c r="K100" s="66">
        <f t="shared" si="30"/>
        <v>102.91306635724497</v>
      </c>
      <c r="L100" s="66">
        <v>20</v>
      </c>
      <c r="M100" s="54">
        <f>Protein_Amt!$B$6</f>
        <v>115.94140749073421</v>
      </c>
      <c r="N100" s="66">
        <f t="shared" si="43"/>
        <v>926.21759721520471</v>
      </c>
      <c r="O100" s="66">
        <f t="shared" si="32"/>
        <v>80</v>
      </c>
      <c r="P100" s="66">
        <f t="shared" si="33"/>
        <v>463.76562996293683</v>
      </c>
      <c r="Q100" s="67">
        <f t="shared" si="44"/>
        <v>1469.9832271781415</v>
      </c>
      <c r="S100" s="63">
        <v>0</v>
      </c>
      <c r="T100" s="63">
        <v>0</v>
      </c>
      <c r="U100" s="63">
        <v>0</v>
      </c>
      <c r="V100" s="63">
        <v>0</v>
      </c>
      <c r="W100" s="60">
        <v>-812.30169130719901</v>
      </c>
      <c r="X100" s="60">
        <v>80</v>
      </c>
      <c r="Y100" s="60">
        <v>-463.765629962937</v>
      </c>
      <c r="Z100" s="60">
        <v>-1356.0673212701399</v>
      </c>
      <c r="AA100" s="61">
        <v>0.229845876439179</v>
      </c>
      <c r="AB100" s="62"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4"/>
  <sheetViews>
    <sheetView zoomScale="150" zoomScaleNormal="150" workbookViewId="0">
      <pane ySplit="1" topLeftCell="A28" activePane="bottomLeft" state="frozen"/>
      <selection pane="bottomLeft" activeCell="B29" sqref="B29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9" ht="60" x14ac:dyDescent="0.25">
      <c r="A1" s="25" t="s">
        <v>63</v>
      </c>
      <c r="B1" s="25" t="s">
        <v>80</v>
      </c>
      <c r="C1" s="25" t="s">
        <v>81</v>
      </c>
      <c r="D1" s="69" t="str">
        <f>FoodDB!$C$1</f>
        <v>Fat
(g)</v>
      </c>
      <c r="E1" s="69" t="str">
        <f>FoodDB!$D$1</f>
        <v xml:space="preserve"> Net
Carbs
(g)</v>
      </c>
      <c r="F1" s="69" t="str">
        <f>FoodDB!$E$1</f>
        <v>Protein
(g)</v>
      </c>
      <c r="G1" s="69" t="str">
        <f>FoodDB!$F$1</f>
        <v>Fat
(Cal)</v>
      </c>
      <c r="H1" s="69" t="str">
        <f>FoodDB!$G$1</f>
        <v>Carb
(Cal)</v>
      </c>
      <c r="I1" s="69" t="str">
        <f>FoodDB!$H$1</f>
        <v>Protein
(Cal)</v>
      </c>
      <c r="J1" s="69" t="str">
        <f>FoodDB!$I$1</f>
        <v>Total
Calories</v>
      </c>
      <c r="K1" s="69"/>
      <c r="L1" s="69" t="s">
        <v>82</v>
      </c>
      <c r="M1" s="69" t="s">
        <v>83</v>
      </c>
      <c r="N1" s="69" t="s">
        <v>84</v>
      </c>
      <c r="O1" s="69" t="s">
        <v>85</v>
      </c>
      <c r="P1" s="69" t="s">
        <v>86</v>
      </c>
      <c r="Q1" s="69" t="s">
        <v>87</v>
      </c>
      <c r="R1" s="69" t="s">
        <v>88</v>
      </c>
      <c r="S1" s="69" t="s">
        <v>89</v>
      </c>
    </row>
    <row r="2" spans="1:19" x14ac:dyDescent="0.25">
      <c r="A2" s="70">
        <v>43031</v>
      </c>
      <c r="B2" s="71" t="s">
        <v>90</v>
      </c>
      <c r="C2" s="72">
        <v>1</v>
      </c>
      <c r="D2" s="73">
        <f>$C2*VLOOKUP($B2,FoodDB!$A$2:$I$1024,3,0)</f>
        <v>0</v>
      </c>
      <c r="E2" s="73">
        <f>$C2*VLOOKUP($B2,FoodDB!$A$2:$I$1024,4,0)</f>
        <v>0</v>
      </c>
      <c r="F2" s="73">
        <f>$C2*VLOOKUP($B2,FoodDB!$A$2:$I$1024,5,0)</f>
        <v>0</v>
      </c>
      <c r="G2" s="73">
        <f>$C2*VLOOKUP($B2,FoodDB!$A$2:$I$1024,6,0)</f>
        <v>0</v>
      </c>
      <c r="H2" s="73">
        <f>$C2*VLOOKUP($B2,FoodDB!$A$2:$I$1024,7,0)</f>
        <v>0</v>
      </c>
      <c r="I2" s="73">
        <f>$C2*VLOOKUP($B2,FoodDB!$A$2:$I$1024,8,0)</f>
        <v>0</v>
      </c>
      <c r="J2" s="73">
        <f>$C2*VLOOKUP($B2,FoodDB!$A$2:$I$1024,9,0)</f>
        <v>0</v>
      </c>
      <c r="K2" s="73"/>
      <c r="L2" s="73">
        <f>SUM(G2:G11)</f>
        <v>465.84</v>
      </c>
      <c r="M2" s="73">
        <f>SUM(H2:H11)</f>
        <v>21.714285714285715</v>
      </c>
      <c r="N2" s="73">
        <f>SUM(I2:I11)</f>
        <v>480.49714285714288</v>
      </c>
      <c r="O2" s="73">
        <f>SUM(L2:N2)</f>
        <v>968.05142857142857</v>
      </c>
      <c r="P2" s="73">
        <f>VLOOKUP($A2,LossChart!$A$3:$AB$73,14,0)-L2</f>
        <v>-65.138589696987594</v>
      </c>
      <c r="Q2" s="73">
        <f>VLOOKUP($A2,LossChart!$A$3:$AB$73,15,0)-M2</f>
        <v>58.285714285714285</v>
      </c>
      <c r="R2" s="73">
        <f>VLOOKUP($A2,LossChart!$A$3:$AB$73,16,0)-N2</f>
        <v>-16.731512894206048</v>
      </c>
      <c r="S2" s="73">
        <f>VLOOKUP($A2,LossChart!$A$3:$AB$73,17,0)-O2</f>
        <v>-23.584388305479365</v>
      </c>
    </row>
    <row r="3" spans="1:19" x14ac:dyDescent="0.25">
      <c r="B3" s="71" t="s">
        <v>91</v>
      </c>
      <c r="C3" s="72">
        <v>2.2000000000000002</v>
      </c>
      <c r="D3" s="73">
        <f>$C3*VLOOKUP($B3,FoodDB!$A$2:$I$1024,3,0)</f>
        <v>7.9200000000000008</v>
      </c>
      <c r="E3" s="73">
        <f>$C3*VLOOKUP($B3,FoodDB!$A$2:$I$1024,4,0)</f>
        <v>0</v>
      </c>
      <c r="F3" s="73">
        <f>$C3*VLOOKUP($B3,FoodDB!$A$2:$I$1024,5,0)</f>
        <v>68.2</v>
      </c>
      <c r="G3" s="73">
        <f>$C3*VLOOKUP($B3,FoodDB!$A$2:$I$1024,6,0)</f>
        <v>71.28</v>
      </c>
      <c r="H3" s="73">
        <f>$C3*VLOOKUP($B3,FoodDB!$A$2:$I$1024,7,0)</f>
        <v>0</v>
      </c>
      <c r="I3" s="73">
        <f>$C3*VLOOKUP($B3,FoodDB!$A$2:$I$1024,8,0)</f>
        <v>272.8</v>
      </c>
      <c r="J3" s="73">
        <f>$C3*VLOOKUP($B3,FoodDB!$A$2:$I$1024,9,0)</f>
        <v>344.08000000000004</v>
      </c>
      <c r="K3" s="73"/>
      <c r="L3" s="73"/>
      <c r="M3" s="73"/>
      <c r="N3" s="73"/>
      <c r="O3" s="73"/>
      <c r="P3" s="73"/>
      <c r="Q3" s="73"/>
      <c r="R3" s="73"/>
      <c r="S3" s="73"/>
    </row>
    <row r="4" spans="1:19" x14ac:dyDescent="0.25">
      <c r="B4" s="71" t="s">
        <v>92</v>
      </c>
      <c r="C4" s="72">
        <v>3</v>
      </c>
      <c r="D4" s="73">
        <f>$C4*VLOOKUP($B4,FoodDB!$A$2:$I$1024,3,0)</f>
        <v>18.54</v>
      </c>
      <c r="E4" s="73">
        <f>$C4*VLOOKUP($B4,FoodDB!$A$2:$I$1024,4,0)</f>
        <v>0</v>
      </c>
      <c r="F4" s="73">
        <f>$C4*VLOOKUP($B4,FoodDB!$A$2:$I$1024,5,0)</f>
        <v>25.56</v>
      </c>
      <c r="G4" s="73">
        <f>$C4*VLOOKUP($B4,FoodDB!$A$2:$I$1024,6,0)</f>
        <v>166.85999999999999</v>
      </c>
      <c r="H4" s="73">
        <f>$C4*VLOOKUP($B4,FoodDB!$A$2:$I$1024,7,0)</f>
        <v>0</v>
      </c>
      <c r="I4" s="73">
        <f>$C4*VLOOKUP($B4,FoodDB!$A$2:$I$1024,8,0)</f>
        <v>102.24</v>
      </c>
      <c r="J4" s="73">
        <f>$C4*VLOOKUP($B4,FoodDB!$A$2:$I$1024,9,0)</f>
        <v>269.09999999999997</v>
      </c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B5" s="71" t="s">
        <v>93</v>
      </c>
      <c r="C5" s="72">
        <v>1</v>
      </c>
      <c r="D5" s="73">
        <f>$C5*VLOOKUP($B5,FoodDB!$A$2:$I$1024,3,0)</f>
        <v>15</v>
      </c>
      <c r="E5" s="73">
        <f>$C5*VLOOKUP($B5,FoodDB!$A$2:$I$1024,4,0)</f>
        <v>2</v>
      </c>
      <c r="F5" s="73">
        <f>$C5*VLOOKUP($B5,FoodDB!$A$2:$I$1024,5,0)</f>
        <v>7</v>
      </c>
      <c r="G5" s="73">
        <f>$C5*VLOOKUP($B5,FoodDB!$A$2:$I$1024,6,0)</f>
        <v>135</v>
      </c>
      <c r="H5" s="73">
        <f>$C5*VLOOKUP($B5,FoodDB!$A$2:$I$1024,7,0)</f>
        <v>8</v>
      </c>
      <c r="I5" s="73">
        <f>$C5*VLOOKUP($B5,FoodDB!$A$2:$I$1024,8,0)</f>
        <v>28</v>
      </c>
      <c r="J5" s="73">
        <f>$C5*VLOOKUP($B5,FoodDB!$A$2:$I$1024,9,0)</f>
        <v>171</v>
      </c>
      <c r="K5" s="73"/>
      <c r="L5" s="73"/>
      <c r="M5" s="73"/>
      <c r="N5" s="73"/>
      <c r="O5" s="73"/>
      <c r="P5" s="73"/>
      <c r="Q5" s="73"/>
      <c r="R5" s="73"/>
      <c r="S5" s="73"/>
    </row>
    <row r="6" spans="1:19" x14ac:dyDescent="0.25">
      <c r="B6" s="71" t="s">
        <v>94</v>
      </c>
      <c r="C6" s="72">
        <v>1</v>
      </c>
      <c r="D6" s="73">
        <f>$C6*VLOOKUP($B6,FoodDB!$A$2:$I$1024,3,0)</f>
        <v>5</v>
      </c>
      <c r="E6" s="73">
        <f>$C6*VLOOKUP($B6,FoodDB!$A$2:$I$1024,4,0)</f>
        <v>0</v>
      </c>
      <c r="F6" s="73">
        <f>$C6*VLOOKUP($B6,FoodDB!$A$2:$I$1024,5,0)</f>
        <v>6</v>
      </c>
      <c r="G6" s="73">
        <f>$C6*VLOOKUP($B6,FoodDB!$A$2:$I$1024,6,0)</f>
        <v>45</v>
      </c>
      <c r="H6" s="73">
        <f>$C6*VLOOKUP($B6,FoodDB!$A$2:$I$1024,7,0)</f>
        <v>0</v>
      </c>
      <c r="I6" s="73">
        <f>$C6*VLOOKUP($B6,FoodDB!$A$2:$I$1024,8,0)</f>
        <v>24</v>
      </c>
      <c r="J6" s="73">
        <f>$C6*VLOOKUP($B6,FoodDB!$A$2:$I$1024,9,0)</f>
        <v>69</v>
      </c>
      <c r="K6" s="73"/>
      <c r="L6" s="73"/>
      <c r="M6" s="73"/>
      <c r="N6" s="73"/>
      <c r="O6" s="73"/>
      <c r="P6" s="73"/>
      <c r="Q6" s="73"/>
      <c r="R6" s="73"/>
      <c r="S6" s="73"/>
    </row>
    <row r="7" spans="1:19" x14ac:dyDescent="0.25">
      <c r="B7" s="71" t="s">
        <v>95</v>
      </c>
      <c r="C7" s="72">
        <v>1</v>
      </c>
      <c r="D7" s="73">
        <f>$C7*VLOOKUP($B7,FoodDB!$A$2:$I$1024,3,0)</f>
        <v>0</v>
      </c>
      <c r="E7" s="73">
        <f>$C7*VLOOKUP($B7,FoodDB!$A$2:$I$1024,4,0)</f>
        <v>0</v>
      </c>
      <c r="F7" s="73">
        <f>$C7*VLOOKUP($B7,FoodDB!$A$2:$I$1024,5,0)</f>
        <v>0</v>
      </c>
      <c r="G7" s="73">
        <f>$C7*VLOOKUP($B7,FoodDB!$A$2:$I$1024,6,0)</f>
        <v>0</v>
      </c>
      <c r="H7" s="73">
        <f>$C7*VLOOKUP($B7,FoodDB!$A$2:$I$1024,7,0)</f>
        <v>0</v>
      </c>
      <c r="I7" s="73">
        <f>$C7*VLOOKUP($B7,FoodDB!$A$2:$I$1024,8,0)</f>
        <v>0</v>
      </c>
      <c r="J7" s="73">
        <f>$C7*VLOOKUP($B7,FoodDB!$A$2:$I$1024,9,0)</f>
        <v>0</v>
      </c>
      <c r="K7" s="73"/>
      <c r="L7" s="73"/>
      <c r="M7" s="73"/>
      <c r="N7" s="73"/>
      <c r="O7" s="73"/>
      <c r="P7" s="73"/>
      <c r="Q7" s="73"/>
      <c r="R7" s="73"/>
      <c r="S7" s="73"/>
    </row>
    <row r="8" spans="1:19" x14ac:dyDescent="0.25">
      <c r="B8" s="71" t="s">
        <v>96</v>
      </c>
      <c r="C8" s="72">
        <v>2</v>
      </c>
      <c r="D8" s="73">
        <f>$C8*VLOOKUP($B8,FoodDB!$A$2:$I$1024,3,0)</f>
        <v>5</v>
      </c>
      <c r="E8" s="73">
        <f>$C8*VLOOKUP($B8,FoodDB!$A$2:$I$1024,4,0)</f>
        <v>0</v>
      </c>
      <c r="F8" s="73">
        <f>$C8*VLOOKUP($B8,FoodDB!$A$2:$I$1024,5,0)</f>
        <v>12</v>
      </c>
      <c r="G8" s="73">
        <f>$C8*VLOOKUP($B8,FoodDB!$A$2:$I$1024,6,0)</f>
        <v>45</v>
      </c>
      <c r="H8" s="73">
        <f>$C8*VLOOKUP($B8,FoodDB!$A$2:$I$1024,7,0)</f>
        <v>0</v>
      </c>
      <c r="I8" s="73">
        <f>$C8*VLOOKUP($B8,FoodDB!$A$2:$I$1024,8,0)</f>
        <v>48</v>
      </c>
      <c r="J8" s="73">
        <f>$C8*VLOOKUP($B8,FoodDB!$A$2:$I$1024,9,0)</f>
        <v>93</v>
      </c>
      <c r="K8" s="73"/>
      <c r="L8" s="73"/>
      <c r="M8" s="73"/>
      <c r="N8" s="73"/>
      <c r="O8" s="73"/>
      <c r="P8" s="73"/>
      <c r="Q8" s="73"/>
      <c r="R8" s="73"/>
      <c r="S8" s="73"/>
    </row>
    <row r="9" spans="1:19" x14ac:dyDescent="0.25">
      <c r="B9" s="71" t="s">
        <v>97</v>
      </c>
      <c r="C9" s="72">
        <v>3</v>
      </c>
      <c r="D9" s="73">
        <f>$C9*VLOOKUP($B9,FoodDB!$A$2:$I$1024,3,0)</f>
        <v>0</v>
      </c>
      <c r="E9" s="73">
        <f>$C9*VLOOKUP($B9,FoodDB!$A$2:$I$1024,4,0)</f>
        <v>1.9285714285714288</v>
      </c>
      <c r="F9" s="73">
        <f>$C9*VLOOKUP($B9,FoodDB!$A$2:$I$1024,5,0)</f>
        <v>0.96428571428571441</v>
      </c>
      <c r="G9" s="73">
        <f>$C9*VLOOKUP($B9,FoodDB!$A$2:$I$1024,6,0)</f>
        <v>0</v>
      </c>
      <c r="H9" s="73">
        <f>$C9*VLOOKUP($B9,FoodDB!$A$2:$I$1024,7,0)</f>
        <v>7.7142857142857153</v>
      </c>
      <c r="I9" s="73">
        <f>$C9*VLOOKUP($B9,FoodDB!$A$2:$I$1024,8,0)</f>
        <v>3.8571428571428577</v>
      </c>
      <c r="J9" s="73">
        <f>$C9*VLOOKUP($B9,FoodDB!$A$2:$I$1024,9,0)</f>
        <v>11.571428571428573</v>
      </c>
      <c r="K9" s="73"/>
      <c r="L9" s="73"/>
      <c r="M9" s="73"/>
      <c r="N9" s="73"/>
      <c r="O9" s="73"/>
      <c r="P9" s="73"/>
      <c r="Q9" s="73"/>
      <c r="R9" s="73"/>
      <c r="S9" s="73"/>
    </row>
    <row r="10" spans="1:19" x14ac:dyDescent="0.25">
      <c r="B10" s="71" t="s">
        <v>98</v>
      </c>
      <c r="C10" s="72">
        <v>1</v>
      </c>
      <c r="D10" s="73">
        <f>$C10*VLOOKUP($B10,FoodDB!$A$2:$I$1024,3,0)</f>
        <v>0.3</v>
      </c>
      <c r="E10" s="73">
        <f>$C10*VLOOKUP($B10,FoodDB!$A$2:$I$1024,4,0)</f>
        <v>1.5</v>
      </c>
      <c r="F10" s="73">
        <f>$C10*VLOOKUP($B10,FoodDB!$A$2:$I$1024,5,0)</f>
        <v>0.4</v>
      </c>
      <c r="G10" s="73">
        <f>$C10*VLOOKUP($B10,FoodDB!$A$2:$I$1024,6,0)</f>
        <v>2.6999999999999997</v>
      </c>
      <c r="H10" s="73">
        <f>$C10*VLOOKUP($B10,FoodDB!$A$2:$I$1024,7,0)</f>
        <v>6</v>
      </c>
      <c r="I10" s="73">
        <f>$C10*VLOOKUP($B10,FoodDB!$A$2:$I$1024,8,0)</f>
        <v>1.6</v>
      </c>
      <c r="J10" s="73">
        <f>$C10*VLOOKUP($B10,FoodDB!$A$2:$I$1024,9,0)</f>
        <v>10.299999999999999</v>
      </c>
      <c r="K10" s="73"/>
      <c r="L10" s="73"/>
      <c r="M10" s="73"/>
      <c r="N10" s="73"/>
      <c r="O10" s="73"/>
      <c r="P10" s="73"/>
      <c r="Q10" s="73"/>
      <c r="R10" s="73"/>
      <c r="S10" s="73"/>
    </row>
    <row r="11" spans="1:19" x14ac:dyDescent="0.25">
      <c r="B11" s="71" t="s">
        <v>95</v>
      </c>
      <c r="C11" s="72">
        <v>1</v>
      </c>
      <c r="D11" s="73">
        <f>$C11*VLOOKUP($B11,FoodDB!$A$2:$I$1024,3,0)</f>
        <v>0</v>
      </c>
      <c r="E11" s="73">
        <f>$C11*VLOOKUP($B11,FoodDB!$A$2:$I$1024,4,0)</f>
        <v>0</v>
      </c>
      <c r="F11" s="73">
        <f>$C11*VLOOKUP($B11,FoodDB!$A$2:$I$1024,5,0)</f>
        <v>0</v>
      </c>
      <c r="G11" s="73">
        <f>$C11*VLOOKUP($B11,FoodDB!$A$2:$I$1024,6,0)</f>
        <v>0</v>
      </c>
      <c r="H11" s="73">
        <f>$C11*VLOOKUP($B11,FoodDB!$A$2:$I$1024,7,0)</f>
        <v>0</v>
      </c>
      <c r="I11" s="73">
        <f>$C11*VLOOKUP($B11,FoodDB!$A$2:$I$1024,8,0)</f>
        <v>0</v>
      </c>
      <c r="J11" s="73">
        <f>$C11*VLOOKUP($B11,FoodDB!$A$2:$I$1024,9,0)</f>
        <v>0</v>
      </c>
      <c r="K11" s="73"/>
      <c r="L11" s="73"/>
      <c r="M11" s="73"/>
      <c r="N11" s="73"/>
      <c r="O11" s="73"/>
      <c r="P11" s="73"/>
      <c r="Q11" s="73"/>
      <c r="R11" s="73"/>
      <c r="S11" s="73"/>
    </row>
    <row r="12" spans="1:19" x14ac:dyDescent="0.25">
      <c r="A12" t="s">
        <v>99</v>
      </c>
      <c r="D12" s="73"/>
      <c r="E12" s="73"/>
      <c r="F12" s="73"/>
      <c r="G12" s="73">
        <f>SUM(G2:G11)</f>
        <v>465.84</v>
      </c>
      <c r="H12" s="73">
        <f>SUM(H2:H11)</f>
        <v>21.714285714285715</v>
      </c>
      <c r="I12" s="73">
        <f>SUM(I2:I11)</f>
        <v>480.49714285714288</v>
      </c>
      <c r="J12" s="73">
        <f>SUM(G12:I12)</f>
        <v>968.05142857142857</v>
      </c>
      <c r="K12" s="73"/>
      <c r="L12" s="73"/>
      <c r="M12" s="73"/>
      <c r="N12" s="73"/>
      <c r="O12" s="73"/>
      <c r="P12" s="73"/>
      <c r="Q12" s="73"/>
      <c r="R12" s="73"/>
      <c r="S12" s="73"/>
    </row>
    <row r="13" spans="1:19" x14ac:dyDescent="0.25">
      <c r="A13" t="s">
        <v>100</v>
      </c>
      <c r="B13" t="s">
        <v>101</v>
      </c>
      <c r="D13" s="73"/>
      <c r="E13" s="73"/>
      <c r="F13" s="73"/>
      <c r="G13" s="73">
        <f>VLOOKUP($A2,LossChart!$A$3:$AB$73,14,0)</f>
        <v>400.70141030301238</v>
      </c>
      <c r="H13" s="73">
        <f>VLOOKUP($A2,LossChart!$A$3:$AB$73,15,0)</f>
        <v>80</v>
      </c>
      <c r="I13" s="73">
        <f>VLOOKUP($A2,LossChart!$A$3:$AB$73,16,0)</f>
        <v>463.76562996293683</v>
      </c>
      <c r="J13" s="73">
        <f>VLOOKUP($A2,LossChart!$A$3:$AB$73,17,0)</f>
        <v>944.46704026594921</v>
      </c>
      <c r="K13" s="73"/>
      <c r="L13" s="73"/>
      <c r="M13" s="73"/>
      <c r="N13" s="73"/>
      <c r="O13" s="73"/>
      <c r="P13" s="73"/>
      <c r="Q13" s="73"/>
      <c r="R13" s="73"/>
      <c r="S13" s="73"/>
    </row>
    <row r="14" spans="1:19" x14ac:dyDescent="0.25">
      <c r="A14" t="s">
        <v>102</v>
      </c>
      <c r="D14" s="73"/>
      <c r="E14" s="73"/>
      <c r="F14" s="73"/>
      <c r="G14" s="73">
        <f>G13-G12</f>
        <v>-65.138589696987594</v>
      </c>
      <c r="H14" s="73">
        <f>H13-H12</f>
        <v>58.285714285714285</v>
      </c>
      <c r="I14" s="73">
        <f>I13-I12</f>
        <v>-16.731512894206048</v>
      </c>
      <c r="J14" s="73">
        <f>J13-J12</f>
        <v>-23.584388305479365</v>
      </c>
      <c r="K14" s="73"/>
      <c r="L14" s="73"/>
      <c r="M14" s="73"/>
      <c r="N14" s="73"/>
      <c r="O14" s="73"/>
      <c r="P14" s="73"/>
      <c r="Q14" s="73"/>
      <c r="R14" s="73"/>
      <c r="S14" s="73"/>
    </row>
    <row r="16" spans="1:19" ht="60" x14ac:dyDescent="0.25">
      <c r="A16" s="25" t="s">
        <v>63</v>
      </c>
      <c r="B16" s="25" t="s">
        <v>80</v>
      </c>
      <c r="C16" s="25" t="s">
        <v>81</v>
      </c>
      <c r="D16" s="69" t="str">
        <f>FoodDB!$C$1</f>
        <v>Fat
(g)</v>
      </c>
      <c r="E16" s="69" t="str">
        <f>FoodDB!$D$1</f>
        <v xml:space="preserve"> Net
Carbs
(g)</v>
      </c>
      <c r="F16" s="69" t="str">
        <f>FoodDB!$E$1</f>
        <v>Protein
(g)</v>
      </c>
      <c r="G16" s="69" t="str">
        <f>FoodDB!$F$1</f>
        <v>Fat
(Cal)</v>
      </c>
      <c r="H16" s="69" t="str">
        <f>FoodDB!$G$1</f>
        <v>Carb
(Cal)</v>
      </c>
      <c r="I16" s="69" t="str">
        <f>FoodDB!$H$1</f>
        <v>Protein
(Cal)</v>
      </c>
      <c r="J16" s="69" t="str">
        <f>FoodDB!$I$1</f>
        <v>Total
Calories</v>
      </c>
      <c r="K16" s="69"/>
      <c r="L16" s="69" t="s">
        <v>82</v>
      </c>
      <c r="M16" s="69" t="s">
        <v>83</v>
      </c>
      <c r="N16" s="69" t="s">
        <v>84</v>
      </c>
      <c r="O16" s="69" t="s">
        <v>85</v>
      </c>
      <c r="P16" s="69" t="s">
        <v>86</v>
      </c>
      <c r="Q16" s="69" t="s">
        <v>87</v>
      </c>
      <c r="R16" s="69" t="s">
        <v>88</v>
      </c>
      <c r="S16" s="69" t="s">
        <v>89</v>
      </c>
    </row>
    <row r="17" spans="1:19" x14ac:dyDescent="0.25">
      <c r="A17" s="70">
        <f>A2+1</f>
        <v>43032</v>
      </c>
      <c r="B17" s="71" t="s">
        <v>90</v>
      </c>
      <c r="C17" s="72">
        <v>1</v>
      </c>
      <c r="D17" s="73">
        <f>$C17*VLOOKUP($B17,FoodDB!$A$2:$I$1024,3,0)</f>
        <v>0</v>
      </c>
      <c r="E17" s="73">
        <f>$C17*VLOOKUP($B17,FoodDB!$A$2:$I$1024,4,0)</f>
        <v>0</v>
      </c>
      <c r="F17" s="73">
        <f>$C17*VLOOKUP($B17,FoodDB!$A$2:$I$1024,5,0)</f>
        <v>0</v>
      </c>
      <c r="G17" s="73">
        <f>$C17*VLOOKUP($B17,FoodDB!$A$2:$I$1024,6,0)</f>
        <v>0</v>
      </c>
      <c r="H17" s="73">
        <f>$C17*VLOOKUP($B17,FoodDB!$A$2:$I$1024,7,0)</f>
        <v>0</v>
      </c>
      <c r="I17" s="73">
        <f>$C17*VLOOKUP($B17,FoodDB!$A$2:$I$1024,8,0)</f>
        <v>0</v>
      </c>
      <c r="J17" s="73">
        <f>$C17*VLOOKUP($B17,FoodDB!$A$2:$I$1024,9,0)</f>
        <v>0</v>
      </c>
      <c r="K17" s="73"/>
      <c r="L17" s="73">
        <f>SUM(G17:G23)</f>
        <v>363.78000000000003</v>
      </c>
      <c r="M17" s="73">
        <f>SUM(H17:H23)</f>
        <v>24.285714285714285</v>
      </c>
      <c r="N17" s="73">
        <f>SUM(I17:I23)</f>
        <v>627.5428571428572</v>
      </c>
      <c r="O17" s="73">
        <f>SUM(L17:N17)</f>
        <v>1015.6085714285715</v>
      </c>
      <c r="P17" s="73">
        <f>VLOOKUP($A17,LossChart!$A$3:$AB$73,14,0)-L17</f>
        <v>44.786120418128746</v>
      </c>
      <c r="Q17" s="73">
        <f>VLOOKUP($A17,LossChart!$A$3:$AB$73,15,0)-M17</f>
        <v>55.714285714285715</v>
      </c>
      <c r="R17" s="73">
        <f>VLOOKUP($A17,LossChart!$A$3:$AB$73,16,0)-N17</f>
        <v>-163.77722717992037</v>
      </c>
      <c r="S17" s="73">
        <f>VLOOKUP($A17,LossChart!$A$3:$AB$73,17,0)-O17</f>
        <v>-63.276821047505905</v>
      </c>
    </row>
    <row r="18" spans="1:19" x14ac:dyDescent="0.25">
      <c r="B18" s="71" t="s">
        <v>91</v>
      </c>
      <c r="C18" s="72">
        <v>4.2</v>
      </c>
      <c r="D18" s="73">
        <f>$C18*VLOOKUP($B18,FoodDB!$A$2:$I$1024,3,0)</f>
        <v>15.120000000000001</v>
      </c>
      <c r="E18" s="73">
        <f>$C18*VLOOKUP($B18,FoodDB!$A$2:$I$1024,4,0)</f>
        <v>0</v>
      </c>
      <c r="F18" s="73">
        <f>$C18*VLOOKUP($B18,FoodDB!$A$2:$I$1024,5,0)</f>
        <v>130.20000000000002</v>
      </c>
      <c r="G18" s="73">
        <f>$C18*VLOOKUP($B18,FoodDB!$A$2:$I$1024,6,0)</f>
        <v>136.08000000000001</v>
      </c>
      <c r="H18" s="73">
        <f>$C18*VLOOKUP($B18,FoodDB!$A$2:$I$1024,7,0)</f>
        <v>0</v>
      </c>
      <c r="I18" s="73">
        <f>$C18*VLOOKUP($B18,FoodDB!$A$2:$I$1024,8,0)</f>
        <v>520.80000000000007</v>
      </c>
      <c r="J18" s="73">
        <f>$C18*VLOOKUP($B18,FoodDB!$A$2:$I$1024,9,0)</f>
        <v>656.88</v>
      </c>
      <c r="K18" s="73"/>
      <c r="L18" s="73"/>
      <c r="M18" s="73"/>
      <c r="N18" s="73"/>
      <c r="O18" s="73"/>
      <c r="P18" s="73"/>
      <c r="Q18" s="73"/>
      <c r="R18" s="73"/>
      <c r="S18" s="73"/>
    </row>
    <row r="19" spans="1:19" x14ac:dyDescent="0.25">
      <c r="B19" s="71" t="s">
        <v>96</v>
      </c>
      <c r="C19" s="72">
        <v>2</v>
      </c>
      <c r="D19" s="73">
        <f>$C19*VLOOKUP($B19,FoodDB!$A$2:$I$1024,3,0)</f>
        <v>5</v>
      </c>
      <c r="E19" s="73">
        <f>$C19*VLOOKUP($B19,FoodDB!$A$2:$I$1024,4,0)</f>
        <v>0</v>
      </c>
      <c r="F19" s="73">
        <f>$C19*VLOOKUP($B19,FoodDB!$A$2:$I$1024,5,0)</f>
        <v>12</v>
      </c>
      <c r="G19" s="73">
        <f>$C19*VLOOKUP($B19,FoodDB!$A$2:$I$1024,6,0)</f>
        <v>45</v>
      </c>
      <c r="H19" s="73">
        <f>$C19*VLOOKUP($B19,FoodDB!$A$2:$I$1024,7,0)</f>
        <v>0</v>
      </c>
      <c r="I19" s="73">
        <f>$C19*VLOOKUP($B19,FoodDB!$A$2:$I$1024,8,0)</f>
        <v>48</v>
      </c>
      <c r="J19" s="73">
        <f>$C19*VLOOKUP($B19,FoodDB!$A$2:$I$1024,9,0)</f>
        <v>93</v>
      </c>
      <c r="K19" s="73"/>
      <c r="L19" s="73"/>
      <c r="M19" s="73"/>
      <c r="N19" s="73"/>
      <c r="O19" s="73"/>
      <c r="P19" s="73"/>
      <c r="Q19" s="73"/>
      <c r="R19" s="73"/>
      <c r="S19" s="73"/>
    </row>
    <row r="20" spans="1:19" x14ac:dyDescent="0.25">
      <c r="B20" s="71" t="s">
        <v>97</v>
      </c>
      <c r="C20" s="72">
        <v>4</v>
      </c>
      <c r="D20" s="73">
        <f>$C20*VLOOKUP($B20,FoodDB!$A$2:$I$1024,3,0)</f>
        <v>0</v>
      </c>
      <c r="E20" s="73">
        <f>$C20*VLOOKUP($B20,FoodDB!$A$2:$I$1024,4,0)</f>
        <v>2.5714285714285716</v>
      </c>
      <c r="F20" s="73">
        <f>$C20*VLOOKUP($B20,FoodDB!$A$2:$I$1024,5,0)</f>
        <v>1.2857142857142858</v>
      </c>
      <c r="G20" s="73">
        <f>$C20*VLOOKUP($B20,FoodDB!$A$2:$I$1024,6,0)</f>
        <v>0</v>
      </c>
      <c r="H20" s="73">
        <f>$C20*VLOOKUP($B20,FoodDB!$A$2:$I$1024,7,0)</f>
        <v>10.285714285714286</v>
      </c>
      <c r="I20" s="73">
        <f>$C20*VLOOKUP($B20,FoodDB!$A$2:$I$1024,8,0)</f>
        <v>5.1428571428571432</v>
      </c>
      <c r="J20" s="73">
        <f>$C20*VLOOKUP($B20,FoodDB!$A$2:$I$1024,9,0)</f>
        <v>15.428571428571431</v>
      </c>
      <c r="K20" s="73"/>
      <c r="L20" s="73"/>
      <c r="M20" s="73"/>
      <c r="N20" s="73"/>
      <c r="O20" s="73"/>
      <c r="P20" s="73"/>
      <c r="Q20" s="73"/>
      <c r="R20" s="73"/>
      <c r="S20" s="73"/>
    </row>
    <row r="21" spans="1:19" x14ac:dyDescent="0.25">
      <c r="B21" s="71" t="s">
        <v>93</v>
      </c>
      <c r="C21" s="72">
        <v>1</v>
      </c>
      <c r="D21" s="73">
        <f>$C21*VLOOKUP($B21,FoodDB!$A$2:$I$1024,3,0)</f>
        <v>15</v>
      </c>
      <c r="E21" s="73">
        <f>$C21*VLOOKUP($B21,FoodDB!$A$2:$I$1024,4,0)</f>
        <v>2</v>
      </c>
      <c r="F21" s="73">
        <f>$C21*VLOOKUP($B21,FoodDB!$A$2:$I$1024,5,0)</f>
        <v>7</v>
      </c>
      <c r="G21" s="73">
        <f>$C21*VLOOKUP($B21,FoodDB!$A$2:$I$1024,6,0)</f>
        <v>135</v>
      </c>
      <c r="H21" s="73">
        <f>$C21*VLOOKUP($B21,FoodDB!$A$2:$I$1024,7,0)</f>
        <v>8</v>
      </c>
      <c r="I21" s="73">
        <f>$C21*VLOOKUP($B21,FoodDB!$A$2:$I$1024,8,0)</f>
        <v>28</v>
      </c>
      <c r="J21" s="73">
        <f>$C21*VLOOKUP($B21,FoodDB!$A$2:$I$1024,9,0)</f>
        <v>171</v>
      </c>
      <c r="K21" s="73"/>
      <c r="L21" s="73"/>
      <c r="M21" s="73"/>
      <c r="N21" s="73"/>
      <c r="O21" s="73"/>
      <c r="P21" s="73"/>
      <c r="Q21" s="73"/>
      <c r="R21" s="73"/>
      <c r="S21" s="73"/>
    </row>
    <row r="22" spans="1:19" x14ac:dyDescent="0.25">
      <c r="B22" s="71" t="s">
        <v>94</v>
      </c>
      <c r="C22" s="72">
        <v>1</v>
      </c>
      <c r="D22" s="73">
        <f>$C22*VLOOKUP($B22,FoodDB!$A$2:$I$1024,3,0)</f>
        <v>5</v>
      </c>
      <c r="E22" s="73">
        <f>$C22*VLOOKUP($B22,FoodDB!$A$2:$I$1024,4,0)</f>
        <v>0</v>
      </c>
      <c r="F22" s="73">
        <f>$C22*VLOOKUP($B22,FoodDB!$A$2:$I$1024,5,0)</f>
        <v>6</v>
      </c>
      <c r="G22" s="73">
        <f>$C22*VLOOKUP($B22,FoodDB!$A$2:$I$1024,6,0)</f>
        <v>45</v>
      </c>
      <c r="H22" s="73">
        <f>$C22*VLOOKUP($B22,FoodDB!$A$2:$I$1024,7,0)</f>
        <v>0</v>
      </c>
      <c r="I22" s="73">
        <f>$C22*VLOOKUP($B22,FoodDB!$A$2:$I$1024,8,0)</f>
        <v>24</v>
      </c>
      <c r="J22" s="73">
        <f>$C22*VLOOKUP($B22,FoodDB!$A$2:$I$1024,9,0)</f>
        <v>69</v>
      </c>
      <c r="K22" s="73"/>
      <c r="L22" s="73"/>
      <c r="M22" s="73"/>
      <c r="N22" s="73"/>
      <c r="O22" s="73"/>
      <c r="P22" s="73"/>
      <c r="Q22" s="73"/>
      <c r="R22" s="73"/>
      <c r="S22" s="73"/>
    </row>
    <row r="23" spans="1:19" x14ac:dyDescent="0.25">
      <c r="B23" s="71" t="s">
        <v>98</v>
      </c>
      <c r="C23" s="72">
        <v>1</v>
      </c>
      <c r="D23" s="73">
        <f>$C23*VLOOKUP($B23,FoodDB!$A$2:$I$1024,3,0)</f>
        <v>0.3</v>
      </c>
      <c r="E23" s="73">
        <f>$C23*VLOOKUP($B23,FoodDB!$A$2:$I$1024,4,0)</f>
        <v>1.5</v>
      </c>
      <c r="F23" s="73">
        <f>$C23*VLOOKUP($B23,FoodDB!$A$2:$I$1024,5,0)</f>
        <v>0.4</v>
      </c>
      <c r="G23" s="73">
        <f>$C23*VLOOKUP($B23,FoodDB!$A$2:$I$1024,6,0)</f>
        <v>2.6999999999999997</v>
      </c>
      <c r="H23" s="73">
        <f>$C23*VLOOKUP($B23,FoodDB!$A$2:$I$1024,7,0)</f>
        <v>6</v>
      </c>
      <c r="I23" s="73">
        <f>$C23*VLOOKUP($B23,FoodDB!$A$2:$I$1024,8,0)</f>
        <v>1.6</v>
      </c>
      <c r="J23" s="73">
        <f>$C23*VLOOKUP($B23,FoodDB!$A$2:$I$1024,9,0)</f>
        <v>10.299999999999999</v>
      </c>
      <c r="K23" s="73"/>
      <c r="L23" s="73"/>
      <c r="M23" s="73"/>
      <c r="N23" s="73"/>
      <c r="O23" s="73"/>
      <c r="P23" s="73"/>
      <c r="Q23" s="73"/>
      <c r="R23" s="73"/>
      <c r="S23" s="73"/>
    </row>
    <row r="24" spans="1:19" x14ac:dyDescent="0.25">
      <c r="A24" t="s">
        <v>99</v>
      </c>
      <c r="D24" s="73"/>
      <c r="E24" s="73"/>
      <c r="F24" s="73"/>
      <c r="G24" s="73">
        <f>SUM(G17:G23)</f>
        <v>363.78000000000003</v>
      </c>
      <c r="H24" s="73">
        <f>SUM(H17:H23)</f>
        <v>24.285714285714285</v>
      </c>
      <c r="I24" s="73">
        <f>SUM(I17:I23)</f>
        <v>627.5428571428572</v>
      </c>
      <c r="J24" s="73">
        <f>SUM(G24:I24)</f>
        <v>1015.6085714285715</v>
      </c>
      <c r="K24" s="73"/>
      <c r="L24" s="73"/>
      <c r="M24" s="73"/>
      <c r="N24" s="73"/>
      <c r="O24" s="73"/>
      <c r="P24" s="73"/>
      <c r="Q24" s="73"/>
      <c r="R24" s="73"/>
      <c r="S24" s="73"/>
    </row>
    <row r="25" spans="1:19" x14ac:dyDescent="0.25">
      <c r="A25" t="s">
        <v>100</v>
      </c>
      <c r="B25" t="s">
        <v>101</v>
      </c>
      <c r="D25" s="73"/>
      <c r="E25" s="73"/>
      <c r="F25" s="73"/>
      <c r="G25" s="73">
        <f>VLOOKUP($A17,LossChart!$A$3:$AB$73,14,0)</f>
        <v>408.56612041812878</v>
      </c>
      <c r="H25" s="73">
        <f>VLOOKUP($A17,LossChart!$A$3:$AB$73,15,0)</f>
        <v>80</v>
      </c>
      <c r="I25" s="73">
        <f>VLOOKUP($A17,LossChart!$A$3:$AB$73,16,0)</f>
        <v>463.76562996293683</v>
      </c>
      <c r="J25" s="73">
        <f>VLOOKUP($A17,LossChart!$A$3:$AB$73,17,0)</f>
        <v>952.3317503810656</v>
      </c>
      <c r="K25" s="73"/>
      <c r="L25" s="73"/>
      <c r="M25" s="73"/>
      <c r="N25" s="73"/>
      <c r="O25" s="73"/>
      <c r="P25" s="73"/>
      <c r="Q25" s="73"/>
      <c r="R25" s="73"/>
      <c r="S25" s="73"/>
    </row>
    <row r="26" spans="1:19" x14ac:dyDescent="0.25">
      <c r="A26" t="s">
        <v>102</v>
      </c>
      <c r="D26" s="73"/>
      <c r="E26" s="73"/>
      <c r="F26" s="73"/>
      <c r="G26" s="73">
        <f>G25-G24</f>
        <v>44.786120418128746</v>
      </c>
      <c r="H26" s="73">
        <f>H25-H24</f>
        <v>55.714285714285715</v>
      </c>
      <c r="I26" s="73">
        <f>I25-I24</f>
        <v>-163.77722717992037</v>
      </c>
      <c r="J26" s="73">
        <f>J25-J24</f>
        <v>-63.276821047505905</v>
      </c>
      <c r="K26" s="73"/>
      <c r="L26" s="73"/>
      <c r="M26" s="73"/>
      <c r="N26" s="73"/>
      <c r="O26" s="73"/>
      <c r="P26" s="73"/>
      <c r="Q26" s="73"/>
      <c r="R26" s="73"/>
      <c r="S26" s="73"/>
    </row>
    <row r="28" spans="1:19" ht="60" x14ac:dyDescent="0.25">
      <c r="A28" s="25" t="s">
        <v>63</v>
      </c>
      <c r="B28" s="25" t="s">
        <v>80</v>
      </c>
      <c r="C28" s="25" t="s">
        <v>81</v>
      </c>
      <c r="D28" s="69" t="str">
        <f>FoodDB!$C$1</f>
        <v>Fat
(g)</v>
      </c>
      <c r="E28" s="69" t="str">
        <f>FoodDB!$D$1</f>
        <v xml:space="preserve"> Net
Carbs
(g)</v>
      </c>
      <c r="F28" s="69" t="str">
        <f>FoodDB!$E$1</f>
        <v>Protein
(g)</v>
      </c>
      <c r="G28" s="69" t="str">
        <f>FoodDB!$F$1</f>
        <v>Fat
(Cal)</v>
      </c>
      <c r="H28" s="69" t="str">
        <f>FoodDB!$G$1</f>
        <v>Carb
(Cal)</v>
      </c>
      <c r="I28" s="69" t="str">
        <f>FoodDB!$H$1</f>
        <v>Protein
(Cal)</v>
      </c>
      <c r="J28" s="69" t="str">
        <f>FoodDB!$I$1</f>
        <v>Total
Calories</v>
      </c>
      <c r="K28" s="69"/>
      <c r="L28" s="69" t="s">
        <v>82</v>
      </c>
      <c r="M28" s="69" t="s">
        <v>83</v>
      </c>
      <c r="N28" s="69" t="s">
        <v>84</v>
      </c>
      <c r="O28" s="69" t="s">
        <v>85</v>
      </c>
      <c r="P28" s="69" t="s">
        <v>86</v>
      </c>
      <c r="Q28" s="69" t="s">
        <v>87</v>
      </c>
      <c r="R28" s="69" t="s">
        <v>88</v>
      </c>
      <c r="S28" s="69" t="s">
        <v>89</v>
      </c>
    </row>
    <row r="29" spans="1:19" x14ac:dyDescent="0.25">
      <c r="A29" s="70">
        <f>A17+1</f>
        <v>43033</v>
      </c>
      <c r="B29" s="71" t="s">
        <v>90</v>
      </c>
      <c r="C29" s="72">
        <v>1</v>
      </c>
      <c r="D29" s="73">
        <f>$C29*VLOOKUP($B29,FoodDB!$A$2:$I$1024,3,0)</f>
        <v>0</v>
      </c>
      <c r="E29" s="73">
        <f>$C29*VLOOKUP($B29,FoodDB!$A$2:$I$1024,4,0)</f>
        <v>0</v>
      </c>
      <c r="F29" s="73">
        <f>$C29*VLOOKUP($B29,FoodDB!$A$2:$I$1024,5,0)</f>
        <v>0</v>
      </c>
      <c r="G29" s="73">
        <f>$C29*VLOOKUP($B29,FoodDB!$A$2:$I$1024,6,0)</f>
        <v>0</v>
      </c>
      <c r="H29" s="73">
        <f>$C29*VLOOKUP($B29,FoodDB!$A$2:$I$1024,7,0)</f>
        <v>0</v>
      </c>
      <c r="I29" s="73">
        <f>$C29*VLOOKUP($B29,FoodDB!$A$2:$I$1024,8,0)</f>
        <v>0</v>
      </c>
      <c r="J29" s="73">
        <f>$C29*VLOOKUP($B29,FoodDB!$A$2:$I$1024,9,0)</f>
        <v>0</v>
      </c>
      <c r="K29" s="73"/>
      <c r="L29" s="73">
        <f>SUM(G29:G35)</f>
        <v>84.78</v>
      </c>
      <c r="M29" s="73">
        <f>SUM(H29:H35)</f>
        <v>0</v>
      </c>
      <c r="N29" s="73">
        <f>SUM(I29:I35)</f>
        <v>272.8</v>
      </c>
      <c r="O29" s="73">
        <f>SUM(L29:N29)</f>
        <v>357.58000000000004</v>
      </c>
      <c r="P29" s="73">
        <f>VLOOKUP($A29,LossChart!$A$3:$AB$73,14,0)-L29</f>
        <v>331.58117167222599</v>
      </c>
      <c r="Q29" s="73">
        <f>VLOOKUP($A29,LossChart!$A$3:$AB$73,15,0)-M29</f>
        <v>80</v>
      </c>
      <c r="R29" s="73">
        <f>VLOOKUP($A29,LossChart!$A$3:$AB$73,16,0)-N29</f>
        <v>190.96562996293682</v>
      </c>
      <c r="S29" s="73">
        <f>VLOOKUP($A29,LossChart!$A$3:$AB$73,17,0)-O29</f>
        <v>602.54680163516275</v>
      </c>
    </row>
    <row r="30" spans="1:19" x14ac:dyDescent="0.25">
      <c r="B30" s="71" t="s">
        <v>91</v>
      </c>
      <c r="C30" s="72">
        <v>2.2000000000000002</v>
      </c>
      <c r="D30" s="73">
        <f>$C30*VLOOKUP($B30,FoodDB!$A$2:$I$1024,3,0)</f>
        <v>7.9200000000000008</v>
      </c>
      <c r="E30" s="73">
        <f>$C30*VLOOKUP($B30,FoodDB!$A$2:$I$1024,4,0)</f>
        <v>0</v>
      </c>
      <c r="F30" s="73">
        <f>$C30*VLOOKUP($B30,FoodDB!$A$2:$I$1024,5,0)</f>
        <v>68.2</v>
      </c>
      <c r="G30" s="73">
        <f>$C30*VLOOKUP($B30,FoodDB!$A$2:$I$1024,6,0)</f>
        <v>71.28</v>
      </c>
      <c r="H30" s="73">
        <f>$C30*VLOOKUP($B30,FoodDB!$A$2:$I$1024,7,0)</f>
        <v>0</v>
      </c>
      <c r="I30" s="73">
        <f>$C30*VLOOKUP($B30,FoodDB!$A$2:$I$1024,8,0)</f>
        <v>272.8</v>
      </c>
      <c r="J30" s="73">
        <f>$C30*VLOOKUP($B30,FoodDB!$A$2:$I$1024,9,0)</f>
        <v>344.08000000000004</v>
      </c>
      <c r="K30" s="73"/>
      <c r="L30" s="73"/>
      <c r="M30" s="73"/>
      <c r="N30" s="73"/>
      <c r="O30" s="73"/>
      <c r="P30" s="73"/>
      <c r="Q30" s="73"/>
      <c r="R30" s="73"/>
      <c r="S30" s="73"/>
    </row>
    <row r="31" spans="1:19" x14ac:dyDescent="0.25">
      <c r="B31" s="71" t="s">
        <v>103</v>
      </c>
      <c r="C31" s="72">
        <v>3</v>
      </c>
      <c r="D31" s="73">
        <f>$C31*VLOOKUP($B31,FoodDB!$A$2:$I$1024,3,0)</f>
        <v>1.5</v>
      </c>
      <c r="E31" s="73">
        <f>$C31*VLOOKUP($B31,FoodDB!$A$2:$I$1024,4,0)</f>
        <v>0</v>
      </c>
      <c r="F31" s="73">
        <f>$C31*VLOOKUP($B31,FoodDB!$A$2:$I$1024,5,0)</f>
        <v>0</v>
      </c>
      <c r="G31" s="73">
        <f>$C31*VLOOKUP($B31,FoodDB!$A$2:$I$1024,6,0)</f>
        <v>13.5</v>
      </c>
      <c r="H31" s="73">
        <f>$C31*VLOOKUP($B31,FoodDB!$A$2:$I$1024,7,0)</f>
        <v>0</v>
      </c>
      <c r="I31" s="73">
        <f>$C31*VLOOKUP($B31,FoodDB!$A$2:$I$1024,8,0)</f>
        <v>0</v>
      </c>
      <c r="J31" s="73">
        <f>$C31*VLOOKUP($B31,FoodDB!$A$2:$I$1024,9,0)</f>
        <v>13.5</v>
      </c>
      <c r="K31" s="73"/>
      <c r="L31" s="73"/>
      <c r="M31" s="73"/>
      <c r="N31" s="73"/>
      <c r="O31" s="73"/>
      <c r="P31" s="73"/>
      <c r="Q31" s="73"/>
      <c r="R31" s="73"/>
      <c r="S31" s="73"/>
    </row>
    <row r="32" spans="1:19" x14ac:dyDescent="0.25">
      <c r="B32" s="71" t="s">
        <v>95</v>
      </c>
      <c r="C32" s="72">
        <v>1</v>
      </c>
      <c r="D32" s="73">
        <f>$C32*VLOOKUP($B32,FoodDB!$A$2:$I$1024,3,0)</f>
        <v>0</v>
      </c>
      <c r="E32" s="73">
        <f>$C32*VLOOKUP($B32,FoodDB!$A$2:$I$1024,4,0)</f>
        <v>0</v>
      </c>
      <c r="F32" s="73">
        <f>$C32*VLOOKUP($B32,FoodDB!$A$2:$I$1024,5,0)</f>
        <v>0</v>
      </c>
      <c r="G32" s="73">
        <f>$C32*VLOOKUP($B32,FoodDB!$A$2:$I$1024,6,0)</f>
        <v>0</v>
      </c>
      <c r="H32" s="73">
        <f>$C32*VLOOKUP($B32,FoodDB!$A$2:$I$1024,7,0)</f>
        <v>0</v>
      </c>
      <c r="I32" s="73">
        <f>$C32*VLOOKUP($B32,FoodDB!$A$2:$I$1024,8,0)</f>
        <v>0</v>
      </c>
      <c r="J32" s="73">
        <f>$C32*VLOOKUP($B32,FoodDB!$A$2:$I$1024,9,0)</f>
        <v>0</v>
      </c>
      <c r="K32" s="73"/>
      <c r="L32" s="73"/>
      <c r="M32" s="73"/>
      <c r="N32" s="73"/>
      <c r="O32" s="73"/>
      <c r="P32" s="73"/>
      <c r="Q32" s="73"/>
      <c r="R32" s="73"/>
      <c r="S32" s="73"/>
    </row>
    <row r="33" spans="1:19" x14ac:dyDescent="0.25">
      <c r="B33" s="71" t="s">
        <v>95</v>
      </c>
      <c r="C33" s="72">
        <v>1</v>
      </c>
      <c r="D33" s="73">
        <f>$C33*VLOOKUP($B33,FoodDB!$A$2:$I$1024,3,0)</f>
        <v>0</v>
      </c>
      <c r="E33" s="73">
        <f>$C33*VLOOKUP($B33,FoodDB!$A$2:$I$1024,4,0)</f>
        <v>0</v>
      </c>
      <c r="F33" s="73">
        <f>$C33*VLOOKUP($B33,FoodDB!$A$2:$I$1024,5,0)</f>
        <v>0</v>
      </c>
      <c r="G33" s="73">
        <f>$C33*VLOOKUP($B33,FoodDB!$A$2:$I$1024,6,0)</f>
        <v>0</v>
      </c>
      <c r="H33" s="73">
        <f>$C33*VLOOKUP($B33,FoodDB!$A$2:$I$1024,7,0)</f>
        <v>0</v>
      </c>
      <c r="I33" s="73">
        <f>$C33*VLOOKUP($B33,FoodDB!$A$2:$I$1024,8,0)</f>
        <v>0</v>
      </c>
      <c r="J33" s="73">
        <f>$C33*VLOOKUP($B33,FoodDB!$A$2:$I$1024,9,0)</f>
        <v>0</v>
      </c>
      <c r="K33" s="73"/>
      <c r="L33" s="73"/>
      <c r="M33" s="73"/>
      <c r="N33" s="73"/>
      <c r="O33" s="73"/>
      <c r="P33" s="73"/>
      <c r="Q33" s="73"/>
      <c r="R33" s="73"/>
      <c r="S33" s="73"/>
    </row>
    <row r="34" spans="1:19" x14ac:dyDescent="0.25">
      <c r="B34" s="71" t="s">
        <v>95</v>
      </c>
      <c r="C34" s="72">
        <v>1</v>
      </c>
      <c r="D34" s="73">
        <f>$C34*VLOOKUP($B34,FoodDB!$A$2:$I$1024,3,0)</f>
        <v>0</v>
      </c>
      <c r="E34" s="73">
        <f>$C34*VLOOKUP($B34,FoodDB!$A$2:$I$1024,4,0)</f>
        <v>0</v>
      </c>
      <c r="F34" s="73">
        <f>$C34*VLOOKUP($B34,FoodDB!$A$2:$I$1024,5,0)</f>
        <v>0</v>
      </c>
      <c r="G34" s="73">
        <f>$C34*VLOOKUP($B34,FoodDB!$A$2:$I$1024,6,0)</f>
        <v>0</v>
      </c>
      <c r="H34" s="73">
        <f>$C34*VLOOKUP($B34,FoodDB!$A$2:$I$1024,7,0)</f>
        <v>0</v>
      </c>
      <c r="I34" s="73">
        <f>$C34*VLOOKUP($B34,FoodDB!$A$2:$I$1024,8,0)</f>
        <v>0</v>
      </c>
      <c r="J34" s="73">
        <f>$C34*VLOOKUP($B34,FoodDB!$A$2:$I$1024,9,0)</f>
        <v>0</v>
      </c>
      <c r="K34" s="73"/>
      <c r="L34" s="73"/>
      <c r="M34" s="73"/>
      <c r="N34" s="73"/>
      <c r="O34" s="73"/>
      <c r="P34" s="73"/>
      <c r="Q34" s="73"/>
      <c r="R34" s="73"/>
      <c r="S34" s="73"/>
    </row>
    <row r="35" spans="1:19" x14ac:dyDescent="0.25">
      <c r="B35" s="71" t="s">
        <v>95</v>
      </c>
      <c r="C35" s="72">
        <v>1</v>
      </c>
      <c r="D35" s="73">
        <f>$C35*VLOOKUP($B35,FoodDB!$A$2:$I$1024,3,0)</f>
        <v>0</v>
      </c>
      <c r="E35" s="73">
        <f>$C35*VLOOKUP($B35,FoodDB!$A$2:$I$1024,4,0)</f>
        <v>0</v>
      </c>
      <c r="F35" s="73">
        <f>$C35*VLOOKUP($B35,FoodDB!$A$2:$I$1024,5,0)</f>
        <v>0</v>
      </c>
      <c r="G35" s="73">
        <f>$C35*VLOOKUP($B35,FoodDB!$A$2:$I$1024,6,0)</f>
        <v>0</v>
      </c>
      <c r="H35" s="73">
        <f>$C35*VLOOKUP($B35,FoodDB!$A$2:$I$1024,7,0)</f>
        <v>0</v>
      </c>
      <c r="I35" s="73">
        <f>$C35*VLOOKUP($B35,FoodDB!$A$2:$I$1024,8,0)</f>
        <v>0</v>
      </c>
      <c r="J35" s="73">
        <f>$C35*VLOOKUP($B35,FoodDB!$A$2:$I$1024,9,0)</f>
        <v>0</v>
      </c>
      <c r="K35" s="73"/>
      <c r="L35" s="73"/>
      <c r="M35" s="73"/>
      <c r="N35" s="73"/>
      <c r="O35" s="73"/>
      <c r="P35" s="73"/>
      <c r="Q35" s="73"/>
      <c r="R35" s="73"/>
      <c r="S35" s="73"/>
    </row>
    <row r="36" spans="1:19" x14ac:dyDescent="0.25">
      <c r="A36" t="s">
        <v>99</v>
      </c>
      <c r="D36" s="73"/>
      <c r="E36" s="73"/>
      <c r="F36" s="73"/>
      <c r="G36" s="73">
        <f>SUM(G29:G35)</f>
        <v>84.78</v>
      </c>
      <c r="H36" s="73">
        <f>SUM(H29:H35)</f>
        <v>0</v>
      </c>
      <c r="I36" s="73">
        <f>SUM(I29:I35)</f>
        <v>272.8</v>
      </c>
      <c r="J36" s="73">
        <f>SUM(G36:I36)</f>
        <v>357.58000000000004</v>
      </c>
      <c r="K36" s="73"/>
      <c r="L36" s="73"/>
      <c r="M36" s="73"/>
      <c r="N36" s="73"/>
      <c r="O36" s="73"/>
      <c r="P36" s="73"/>
      <c r="Q36" s="73"/>
      <c r="R36" s="73"/>
      <c r="S36" s="73"/>
    </row>
    <row r="37" spans="1:19" x14ac:dyDescent="0.25">
      <c r="A37" t="s">
        <v>100</v>
      </c>
      <c r="B37" t="s">
        <v>101</v>
      </c>
      <c r="D37" s="73"/>
      <c r="E37" s="73"/>
      <c r="F37" s="73"/>
      <c r="G37" s="73">
        <f>VLOOKUP($A29,LossChart!$A$3:$AB$73,14,0)</f>
        <v>416.36117167222596</v>
      </c>
      <c r="H37" s="73">
        <f>VLOOKUP($A29,LossChart!$A$3:$AB$73,15,0)</f>
        <v>80</v>
      </c>
      <c r="I37" s="73">
        <f>VLOOKUP($A29,LossChart!$A$3:$AB$73,16,0)</f>
        <v>463.76562996293683</v>
      </c>
      <c r="J37" s="73">
        <f>VLOOKUP($A29,LossChart!$A$3:$AB$73,17,0)</f>
        <v>960.12680163516279</v>
      </c>
      <c r="K37" s="73"/>
      <c r="L37" s="73"/>
      <c r="M37" s="73"/>
      <c r="N37" s="73"/>
      <c r="O37" s="73"/>
      <c r="P37" s="73"/>
      <c r="Q37" s="73"/>
      <c r="R37" s="73"/>
      <c r="S37" s="73"/>
    </row>
    <row r="38" spans="1:19" x14ac:dyDescent="0.25">
      <c r="A38" t="s">
        <v>102</v>
      </c>
      <c r="D38" s="73"/>
      <c r="E38" s="73"/>
      <c r="F38" s="73"/>
      <c r="G38" s="73">
        <f>G37-G36</f>
        <v>331.58117167222599</v>
      </c>
      <c r="H38" s="73">
        <f>H37-H36</f>
        <v>80</v>
      </c>
      <c r="I38" s="73">
        <f>I37-I36</f>
        <v>190.96562996293682</v>
      </c>
      <c r="J38" s="73">
        <f>J37-J36</f>
        <v>602.54680163516275</v>
      </c>
      <c r="K38" s="73"/>
      <c r="L38" s="73"/>
      <c r="M38" s="73"/>
      <c r="N38" s="73"/>
      <c r="O38" s="73"/>
      <c r="P38" s="73"/>
      <c r="Q38" s="73"/>
      <c r="R38" s="73"/>
      <c r="S38" s="73"/>
    </row>
    <row r="40" spans="1:19" ht="60" x14ac:dyDescent="0.25">
      <c r="A40" s="25" t="s">
        <v>63</v>
      </c>
      <c r="B40" s="25" t="s">
        <v>80</v>
      </c>
      <c r="C40" s="25" t="s">
        <v>81</v>
      </c>
      <c r="D40" s="69" t="str">
        <f>FoodDB!$C$1</f>
        <v>Fat
(g)</v>
      </c>
      <c r="E40" s="69" t="str">
        <f>FoodDB!$D$1</f>
        <v xml:space="preserve"> Net
Carbs
(g)</v>
      </c>
      <c r="F40" s="69" t="str">
        <f>FoodDB!$E$1</f>
        <v>Protein
(g)</v>
      </c>
      <c r="G40" s="69" t="str">
        <f>FoodDB!$F$1</f>
        <v>Fat
(Cal)</v>
      </c>
      <c r="H40" s="69" t="str">
        <f>FoodDB!$G$1</f>
        <v>Carb
(Cal)</v>
      </c>
      <c r="I40" s="69" t="str">
        <f>FoodDB!$H$1</f>
        <v>Protein
(Cal)</v>
      </c>
      <c r="J40" s="69" t="str">
        <f>FoodDB!$I$1</f>
        <v>Total
Calories</v>
      </c>
      <c r="K40" s="69"/>
      <c r="L40" s="69" t="s">
        <v>82</v>
      </c>
      <c r="M40" s="69" t="s">
        <v>83</v>
      </c>
      <c r="N40" s="69" t="s">
        <v>84</v>
      </c>
      <c r="O40" s="69" t="s">
        <v>85</v>
      </c>
      <c r="P40" s="69" t="s">
        <v>86</v>
      </c>
      <c r="Q40" s="69" t="s">
        <v>87</v>
      </c>
      <c r="R40" s="69" t="s">
        <v>88</v>
      </c>
      <c r="S40" s="69" t="s">
        <v>89</v>
      </c>
    </row>
    <row r="41" spans="1:19" x14ac:dyDescent="0.25">
      <c r="A41" s="70">
        <f>A29+1</f>
        <v>43034</v>
      </c>
      <c r="B41" s="71" t="s">
        <v>95</v>
      </c>
      <c r="C41" s="72">
        <v>1</v>
      </c>
      <c r="D41" s="73">
        <f>$C41*VLOOKUP($B41,FoodDB!$A$2:$I$1024,3,0)</f>
        <v>0</v>
      </c>
      <c r="E41" s="73">
        <f>$C41*VLOOKUP($B41,FoodDB!$A$2:$I$1024,4,0)</f>
        <v>0</v>
      </c>
      <c r="F41" s="73">
        <f>$C41*VLOOKUP($B41,FoodDB!$A$2:$I$1024,5,0)</f>
        <v>0</v>
      </c>
      <c r="G41" s="73">
        <f>$C41*VLOOKUP($B41,FoodDB!$A$2:$I$1024,6,0)</f>
        <v>0</v>
      </c>
      <c r="H41" s="73">
        <f>$C41*VLOOKUP($B41,FoodDB!$A$2:$I$1024,7,0)</f>
        <v>0</v>
      </c>
      <c r="I41" s="73">
        <f>$C41*VLOOKUP($B41,FoodDB!$A$2:$I$1024,8,0)</f>
        <v>0</v>
      </c>
      <c r="J41" s="73">
        <f>$C41*VLOOKUP($B41,FoodDB!$A$2:$I$1024,9,0)</f>
        <v>0</v>
      </c>
      <c r="K41" s="73"/>
      <c r="L41" s="73">
        <f>SUM(G41:G47)</f>
        <v>0</v>
      </c>
      <c r="M41" s="73">
        <f>SUM(H41:H47)</f>
        <v>0</v>
      </c>
      <c r="N41" s="73">
        <f>SUM(I41:I47)</f>
        <v>0</v>
      </c>
      <c r="O41" s="73">
        <f>SUM(L41:N41)</f>
        <v>0</v>
      </c>
      <c r="P41" s="73">
        <f>VLOOKUP($A41,LossChart!$A$3:$AB$73,14,0)-L41</f>
        <v>424.08718104378681</v>
      </c>
      <c r="Q41" s="73">
        <f>VLOOKUP($A41,LossChart!$A$3:$AB$73,15,0)-M41</f>
        <v>80</v>
      </c>
      <c r="R41" s="73">
        <f>VLOOKUP($A41,LossChart!$A$3:$AB$73,16,0)-N41</f>
        <v>463.76562996293683</v>
      </c>
      <c r="S41" s="73">
        <f>VLOOKUP($A41,LossChart!$A$3:$AB$73,17,0)-O41</f>
        <v>967.85281100672364</v>
      </c>
    </row>
    <row r="42" spans="1:19" x14ac:dyDescent="0.25">
      <c r="B42" s="71" t="s">
        <v>95</v>
      </c>
      <c r="C42" s="72">
        <v>1</v>
      </c>
      <c r="D42" s="73">
        <f>$C42*VLOOKUP($B42,FoodDB!$A$2:$I$1024,3,0)</f>
        <v>0</v>
      </c>
      <c r="E42" s="73">
        <f>$C42*VLOOKUP($B42,FoodDB!$A$2:$I$1024,4,0)</f>
        <v>0</v>
      </c>
      <c r="F42" s="73">
        <f>$C42*VLOOKUP($B42,FoodDB!$A$2:$I$1024,5,0)</f>
        <v>0</v>
      </c>
      <c r="G42" s="73">
        <f>$C42*VLOOKUP($B42,FoodDB!$A$2:$I$1024,6,0)</f>
        <v>0</v>
      </c>
      <c r="H42" s="73">
        <f>$C42*VLOOKUP($B42,FoodDB!$A$2:$I$1024,7,0)</f>
        <v>0</v>
      </c>
      <c r="I42" s="73">
        <f>$C42*VLOOKUP($B42,FoodDB!$A$2:$I$1024,8,0)</f>
        <v>0</v>
      </c>
      <c r="J42" s="73">
        <f>$C42*VLOOKUP($B42,FoodDB!$A$2:$I$1024,9,0)</f>
        <v>0</v>
      </c>
      <c r="K42" s="73"/>
      <c r="L42" s="73"/>
      <c r="M42" s="73"/>
      <c r="N42" s="73"/>
      <c r="O42" s="73"/>
      <c r="P42" s="73"/>
      <c r="Q42" s="73"/>
      <c r="R42" s="73"/>
      <c r="S42" s="73"/>
    </row>
    <row r="43" spans="1:19" x14ac:dyDescent="0.25">
      <c r="B43" s="71" t="s">
        <v>95</v>
      </c>
      <c r="C43" s="72">
        <v>1</v>
      </c>
      <c r="D43" s="73">
        <f>$C43*VLOOKUP($B43,FoodDB!$A$2:$I$1024,3,0)</f>
        <v>0</v>
      </c>
      <c r="E43" s="73">
        <f>$C43*VLOOKUP($B43,FoodDB!$A$2:$I$1024,4,0)</f>
        <v>0</v>
      </c>
      <c r="F43" s="73">
        <f>$C43*VLOOKUP($B43,FoodDB!$A$2:$I$1024,5,0)</f>
        <v>0</v>
      </c>
      <c r="G43" s="73">
        <f>$C43*VLOOKUP($B43,FoodDB!$A$2:$I$1024,6,0)</f>
        <v>0</v>
      </c>
      <c r="H43" s="73">
        <f>$C43*VLOOKUP($B43,FoodDB!$A$2:$I$1024,7,0)</f>
        <v>0</v>
      </c>
      <c r="I43" s="73">
        <f>$C43*VLOOKUP($B43,FoodDB!$A$2:$I$1024,8,0)</f>
        <v>0</v>
      </c>
      <c r="J43" s="73">
        <f>$C43*VLOOKUP($B43,FoodDB!$A$2:$I$1024,9,0)</f>
        <v>0</v>
      </c>
      <c r="K43" s="73"/>
      <c r="L43" s="73"/>
      <c r="M43" s="73"/>
      <c r="N43" s="73"/>
      <c r="O43" s="73"/>
      <c r="P43" s="73"/>
      <c r="Q43" s="73"/>
      <c r="R43" s="73"/>
      <c r="S43" s="73"/>
    </row>
    <row r="44" spans="1:19" x14ac:dyDescent="0.25">
      <c r="B44" s="71" t="s">
        <v>95</v>
      </c>
      <c r="C44" s="72">
        <v>1</v>
      </c>
      <c r="D44" s="73">
        <f>$C44*VLOOKUP($B44,FoodDB!$A$2:$I$1024,3,0)</f>
        <v>0</v>
      </c>
      <c r="E44" s="73">
        <f>$C44*VLOOKUP($B44,FoodDB!$A$2:$I$1024,4,0)</f>
        <v>0</v>
      </c>
      <c r="F44" s="73">
        <f>$C44*VLOOKUP($B44,FoodDB!$A$2:$I$1024,5,0)</f>
        <v>0</v>
      </c>
      <c r="G44" s="73">
        <f>$C44*VLOOKUP($B44,FoodDB!$A$2:$I$1024,6,0)</f>
        <v>0</v>
      </c>
      <c r="H44" s="73">
        <f>$C44*VLOOKUP($B44,FoodDB!$A$2:$I$1024,7,0)</f>
        <v>0</v>
      </c>
      <c r="I44" s="73">
        <f>$C44*VLOOKUP($B44,FoodDB!$A$2:$I$1024,8,0)</f>
        <v>0</v>
      </c>
      <c r="J44" s="73">
        <f>$C44*VLOOKUP($B44,FoodDB!$A$2:$I$1024,9,0)</f>
        <v>0</v>
      </c>
      <c r="K44" s="73"/>
      <c r="L44" s="73"/>
      <c r="M44" s="73"/>
      <c r="N44" s="73"/>
      <c r="O44" s="73"/>
      <c r="P44" s="73"/>
      <c r="Q44" s="73"/>
      <c r="R44" s="73"/>
      <c r="S44" s="73"/>
    </row>
    <row r="45" spans="1:19" x14ac:dyDescent="0.25">
      <c r="B45" s="71" t="s">
        <v>95</v>
      </c>
      <c r="C45" s="72">
        <v>1</v>
      </c>
      <c r="D45" s="73">
        <f>$C45*VLOOKUP($B45,FoodDB!$A$2:$I$1024,3,0)</f>
        <v>0</v>
      </c>
      <c r="E45" s="73">
        <f>$C45*VLOOKUP($B45,FoodDB!$A$2:$I$1024,4,0)</f>
        <v>0</v>
      </c>
      <c r="F45" s="73">
        <f>$C45*VLOOKUP($B45,FoodDB!$A$2:$I$1024,5,0)</f>
        <v>0</v>
      </c>
      <c r="G45" s="73">
        <f>$C45*VLOOKUP($B45,FoodDB!$A$2:$I$1024,6,0)</f>
        <v>0</v>
      </c>
      <c r="H45" s="73">
        <f>$C45*VLOOKUP($B45,FoodDB!$A$2:$I$1024,7,0)</f>
        <v>0</v>
      </c>
      <c r="I45" s="73">
        <f>$C45*VLOOKUP($B45,FoodDB!$A$2:$I$1024,8,0)</f>
        <v>0</v>
      </c>
      <c r="J45" s="73">
        <f>$C45*VLOOKUP($B45,FoodDB!$A$2:$I$1024,9,0)</f>
        <v>0</v>
      </c>
      <c r="K45" s="73"/>
      <c r="L45" s="73"/>
      <c r="M45" s="73"/>
      <c r="N45" s="73"/>
      <c r="O45" s="73"/>
      <c r="P45" s="73"/>
      <c r="Q45" s="73"/>
      <c r="R45" s="73"/>
      <c r="S45" s="73"/>
    </row>
    <row r="46" spans="1:19" x14ac:dyDescent="0.25">
      <c r="B46" s="71" t="s">
        <v>95</v>
      </c>
      <c r="C46" s="72">
        <v>1</v>
      </c>
      <c r="D46" s="73">
        <f>$C46*VLOOKUP($B46,FoodDB!$A$2:$I$1024,3,0)</f>
        <v>0</v>
      </c>
      <c r="E46" s="73">
        <f>$C46*VLOOKUP($B46,FoodDB!$A$2:$I$1024,4,0)</f>
        <v>0</v>
      </c>
      <c r="F46" s="73">
        <f>$C46*VLOOKUP($B46,FoodDB!$A$2:$I$1024,5,0)</f>
        <v>0</v>
      </c>
      <c r="G46" s="73">
        <f>$C46*VLOOKUP($B46,FoodDB!$A$2:$I$1024,6,0)</f>
        <v>0</v>
      </c>
      <c r="H46" s="73">
        <f>$C46*VLOOKUP($B46,FoodDB!$A$2:$I$1024,7,0)</f>
        <v>0</v>
      </c>
      <c r="I46" s="73">
        <f>$C46*VLOOKUP($B46,FoodDB!$A$2:$I$1024,8,0)</f>
        <v>0</v>
      </c>
      <c r="J46" s="73">
        <f>$C46*VLOOKUP($B46,FoodDB!$A$2:$I$1024,9,0)</f>
        <v>0</v>
      </c>
      <c r="K46" s="73"/>
      <c r="L46" s="73"/>
      <c r="M46" s="73"/>
      <c r="N46" s="73"/>
      <c r="O46" s="73"/>
      <c r="P46" s="73"/>
      <c r="Q46" s="73"/>
      <c r="R46" s="73"/>
      <c r="S46" s="73"/>
    </row>
    <row r="47" spans="1:19" x14ac:dyDescent="0.25">
      <c r="B47" s="71" t="s">
        <v>95</v>
      </c>
      <c r="C47" s="72">
        <v>1</v>
      </c>
      <c r="D47" s="73">
        <f>$C47*VLOOKUP($B47,FoodDB!$A$2:$I$1024,3,0)</f>
        <v>0</v>
      </c>
      <c r="E47" s="73">
        <f>$C47*VLOOKUP($B47,FoodDB!$A$2:$I$1024,4,0)</f>
        <v>0</v>
      </c>
      <c r="F47" s="73">
        <f>$C47*VLOOKUP($B47,FoodDB!$A$2:$I$1024,5,0)</f>
        <v>0</v>
      </c>
      <c r="G47" s="73">
        <f>$C47*VLOOKUP($B47,FoodDB!$A$2:$I$1024,6,0)</f>
        <v>0</v>
      </c>
      <c r="H47" s="73">
        <f>$C47*VLOOKUP($B47,FoodDB!$A$2:$I$1024,7,0)</f>
        <v>0</v>
      </c>
      <c r="I47" s="73">
        <f>$C47*VLOOKUP($B47,FoodDB!$A$2:$I$1024,8,0)</f>
        <v>0</v>
      </c>
      <c r="J47" s="73">
        <f>$C47*VLOOKUP($B47,FoodDB!$A$2:$I$1024,9,0)</f>
        <v>0</v>
      </c>
      <c r="K47" s="73"/>
      <c r="L47" s="73"/>
      <c r="M47" s="73"/>
      <c r="N47" s="73"/>
      <c r="O47" s="73"/>
      <c r="P47" s="73"/>
      <c r="Q47" s="73"/>
      <c r="R47" s="73"/>
      <c r="S47" s="73"/>
    </row>
    <row r="48" spans="1:19" x14ac:dyDescent="0.25">
      <c r="A48" t="s">
        <v>99</v>
      </c>
      <c r="D48" s="73"/>
      <c r="E48" s="73"/>
      <c r="F48" s="73"/>
      <c r="G48" s="73">
        <f>SUM(G41:G47)</f>
        <v>0</v>
      </c>
      <c r="H48" s="73">
        <f>SUM(H41:H47)</f>
        <v>0</v>
      </c>
      <c r="I48" s="73">
        <f>SUM(I41:I47)</f>
        <v>0</v>
      </c>
      <c r="J48" s="73">
        <f>SUM(G48:I48)</f>
        <v>0</v>
      </c>
      <c r="K48" s="73"/>
      <c r="L48" s="73"/>
      <c r="M48" s="73"/>
      <c r="N48" s="73"/>
      <c r="O48" s="73"/>
      <c r="P48" s="73"/>
      <c r="Q48" s="73"/>
      <c r="R48" s="73"/>
      <c r="S48" s="73"/>
    </row>
    <row r="49" spans="1:19" x14ac:dyDescent="0.25">
      <c r="A49" t="s">
        <v>100</v>
      </c>
      <c r="B49" t="s">
        <v>101</v>
      </c>
      <c r="D49" s="73"/>
      <c r="E49" s="73"/>
      <c r="F49" s="73"/>
      <c r="G49" s="73">
        <f>VLOOKUP($A41,LossChart!$A$3:$AB$73,14,0)</f>
        <v>424.08718104378681</v>
      </c>
      <c r="H49" s="73">
        <f>VLOOKUP($A41,LossChart!$A$3:$AB$73,15,0)</f>
        <v>80</v>
      </c>
      <c r="I49" s="73">
        <f>VLOOKUP($A41,LossChart!$A$3:$AB$73,16,0)</f>
        <v>463.76562996293683</v>
      </c>
      <c r="J49" s="73">
        <f>VLOOKUP($A41,LossChart!$A$3:$AB$73,17,0)</f>
        <v>967.85281100672364</v>
      </c>
      <c r="K49" s="73"/>
      <c r="L49" s="73"/>
      <c r="M49" s="73"/>
      <c r="N49" s="73"/>
      <c r="O49" s="73"/>
      <c r="P49" s="73"/>
      <c r="Q49" s="73"/>
      <c r="R49" s="73"/>
      <c r="S49" s="73"/>
    </row>
    <row r="50" spans="1:19" x14ac:dyDescent="0.25">
      <c r="A50" t="s">
        <v>102</v>
      </c>
      <c r="D50" s="73"/>
      <c r="E50" s="73"/>
      <c r="F50" s="73"/>
      <c r="G50" s="73">
        <f>G49-G48</f>
        <v>424.08718104378681</v>
      </c>
      <c r="H50" s="73">
        <f>H49-H48</f>
        <v>80</v>
      </c>
      <c r="I50" s="73">
        <f>I49-I48</f>
        <v>463.76562996293683</v>
      </c>
      <c r="J50" s="73">
        <f>J49-J48</f>
        <v>967.85281100672364</v>
      </c>
      <c r="K50" s="73"/>
      <c r="L50" s="73"/>
      <c r="M50" s="73"/>
      <c r="N50" s="73"/>
      <c r="O50" s="73"/>
      <c r="P50" s="73"/>
      <c r="Q50" s="73"/>
      <c r="R50" s="73"/>
      <c r="S50" s="73"/>
    </row>
    <row r="52" spans="1:19" ht="60" x14ac:dyDescent="0.25">
      <c r="A52" s="25" t="s">
        <v>63</v>
      </c>
      <c r="B52" s="25" t="s">
        <v>80</v>
      </c>
      <c r="C52" s="25" t="s">
        <v>81</v>
      </c>
      <c r="D52" s="69" t="str">
        <f>FoodDB!$C$1</f>
        <v>Fat
(g)</v>
      </c>
      <c r="E52" s="69" t="str">
        <f>FoodDB!$D$1</f>
        <v xml:space="preserve"> Net
Carbs
(g)</v>
      </c>
      <c r="F52" s="69" t="str">
        <f>FoodDB!$E$1</f>
        <v>Protein
(g)</v>
      </c>
      <c r="G52" s="69" t="str">
        <f>FoodDB!$F$1</f>
        <v>Fat
(Cal)</v>
      </c>
      <c r="H52" s="69" t="str">
        <f>FoodDB!$G$1</f>
        <v>Carb
(Cal)</v>
      </c>
      <c r="I52" s="69" t="str">
        <f>FoodDB!$H$1</f>
        <v>Protein
(Cal)</v>
      </c>
      <c r="J52" s="69" t="str">
        <f>FoodDB!$I$1</f>
        <v>Total
Calories</v>
      </c>
      <c r="K52" s="69"/>
      <c r="L52" s="69" t="s">
        <v>82</v>
      </c>
      <c r="M52" s="69" t="s">
        <v>83</v>
      </c>
      <c r="N52" s="69" t="s">
        <v>84</v>
      </c>
      <c r="O52" s="69" t="s">
        <v>85</v>
      </c>
      <c r="P52" s="69" t="s">
        <v>86</v>
      </c>
      <c r="Q52" s="69" t="s">
        <v>87</v>
      </c>
      <c r="R52" s="69" t="s">
        <v>88</v>
      </c>
      <c r="S52" s="69" t="s">
        <v>89</v>
      </c>
    </row>
    <row r="53" spans="1:19" x14ac:dyDescent="0.25">
      <c r="A53" s="70">
        <f>A41+1</f>
        <v>43035</v>
      </c>
      <c r="B53" s="71" t="s">
        <v>95</v>
      </c>
      <c r="C53" s="72">
        <v>1</v>
      </c>
      <c r="D53" s="73">
        <f>$C53*VLOOKUP($B53,FoodDB!$A$2:$I$1024,3,0)</f>
        <v>0</v>
      </c>
      <c r="E53" s="73">
        <f>$C53*VLOOKUP($B53,FoodDB!$A$2:$I$1024,4,0)</f>
        <v>0</v>
      </c>
      <c r="F53" s="73">
        <f>$C53*VLOOKUP($B53,FoodDB!$A$2:$I$1024,5,0)</f>
        <v>0</v>
      </c>
      <c r="G53" s="73">
        <f>$C53*VLOOKUP($B53,FoodDB!$A$2:$I$1024,6,0)</f>
        <v>0</v>
      </c>
      <c r="H53" s="73">
        <f>$C53*VLOOKUP($B53,FoodDB!$A$2:$I$1024,7,0)</f>
        <v>0</v>
      </c>
      <c r="I53" s="73">
        <f>$C53*VLOOKUP($B53,FoodDB!$A$2:$I$1024,8,0)</f>
        <v>0</v>
      </c>
      <c r="J53" s="73">
        <f>$C53*VLOOKUP($B53,FoodDB!$A$2:$I$1024,9,0)</f>
        <v>0</v>
      </c>
      <c r="K53" s="73"/>
      <c r="L53" s="73">
        <f>SUM(G53:G59)</f>
        <v>0</v>
      </c>
      <c r="M53" s="73">
        <f>SUM(H53:H59)</f>
        <v>0</v>
      </c>
      <c r="N53" s="73">
        <f>SUM(I53:I59)</f>
        <v>0</v>
      </c>
      <c r="O53" s="73">
        <f>SUM(L53:N53)</f>
        <v>0</v>
      </c>
      <c r="P53" s="73">
        <f>VLOOKUP($A53,LossChart!$A$3:$AB$73,14,0)-L53</f>
        <v>431.74476004662756</v>
      </c>
      <c r="Q53" s="73">
        <f>VLOOKUP($A53,LossChart!$A$3:$AB$73,15,0)-M53</f>
        <v>80</v>
      </c>
      <c r="R53" s="73">
        <f>VLOOKUP($A53,LossChart!$A$3:$AB$73,16,0)-N53</f>
        <v>463.76562996293683</v>
      </c>
      <c r="S53" s="73">
        <f>VLOOKUP($A53,LossChart!$A$3:$AB$73,17,0)-O53</f>
        <v>975.51039000956439</v>
      </c>
    </row>
    <row r="54" spans="1:19" x14ac:dyDescent="0.25">
      <c r="B54" s="71" t="s">
        <v>95</v>
      </c>
      <c r="C54" s="72">
        <v>1</v>
      </c>
      <c r="D54" s="73">
        <f>$C54*VLOOKUP($B54,FoodDB!$A$2:$I$1024,3,0)</f>
        <v>0</v>
      </c>
      <c r="E54" s="73">
        <f>$C54*VLOOKUP($B54,FoodDB!$A$2:$I$1024,4,0)</f>
        <v>0</v>
      </c>
      <c r="F54" s="73">
        <f>$C54*VLOOKUP($B54,FoodDB!$A$2:$I$1024,5,0)</f>
        <v>0</v>
      </c>
      <c r="G54" s="73">
        <f>$C54*VLOOKUP($B54,FoodDB!$A$2:$I$1024,6,0)</f>
        <v>0</v>
      </c>
      <c r="H54" s="73">
        <f>$C54*VLOOKUP($B54,FoodDB!$A$2:$I$1024,7,0)</f>
        <v>0</v>
      </c>
      <c r="I54" s="73">
        <f>$C54*VLOOKUP($B54,FoodDB!$A$2:$I$1024,8,0)</f>
        <v>0</v>
      </c>
      <c r="J54" s="73">
        <f>$C54*VLOOKUP($B54,FoodDB!$A$2:$I$1024,9,0)</f>
        <v>0</v>
      </c>
      <c r="K54" s="73"/>
      <c r="L54" s="73"/>
      <c r="M54" s="73"/>
      <c r="N54" s="73"/>
      <c r="O54" s="73"/>
      <c r="P54" s="73"/>
      <c r="Q54" s="73"/>
      <c r="R54" s="73"/>
      <c r="S54" s="73"/>
    </row>
    <row r="55" spans="1:19" x14ac:dyDescent="0.25">
      <c r="B55" s="71" t="s">
        <v>95</v>
      </c>
      <c r="C55" s="72">
        <v>1</v>
      </c>
      <c r="D55" s="73">
        <f>$C55*VLOOKUP($B55,FoodDB!$A$2:$I$1024,3,0)</f>
        <v>0</v>
      </c>
      <c r="E55" s="73">
        <f>$C55*VLOOKUP($B55,FoodDB!$A$2:$I$1024,4,0)</f>
        <v>0</v>
      </c>
      <c r="F55" s="73">
        <f>$C55*VLOOKUP($B55,FoodDB!$A$2:$I$1024,5,0)</f>
        <v>0</v>
      </c>
      <c r="G55" s="73">
        <f>$C55*VLOOKUP($B55,FoodDB!$A$2:$I$1024,6,0)</f>
        <v>0</v>
      </c>
      <c r="H55" s="73">
        <f>$C55*VLOOKUP($B55,FoodDB!$A$2:$I$1024,7,0)</f>
        <v>0</v>
      </c>
      <c r="I55" s="73">
        <f>$C55*VLOOKUP($B55,FoodDB!$A$2:$I$1024,8,0)</f>
        <v>0</v>
      </c>
      <c r="J55" s="73">
        <f>$C55*VLOOKUP($B55,FoodDB!$A$2:$I$1024,9,0)</f>
        <v>0</v>
      </c>
      <c r="K55" s="73"/>
      <c r="L55" s="73"/>
      <c r="M55" s="73"/>
      <c r="N55" s="73"/>
      <c r="O55" s="73"/>
      <c r="P55" s="73"/>
      <c r="Q55" s="73"/>
      <c r="R55" s="73"/>
      <c r="S55" s="73"/>
    </row>
    <row r="56" spans="1:19" x14ac:dyDescent="0.25">
      <c r="B56" s="71" t="s">
        <v>95</v>
      </c>
      <c r="C56" s="72">
        <v>1</v>
      </c>
      <c r="D56" s="73">
        <f>$C56*VLOOKUP($B56,FoodDB!$A$2:$I$1024,3,0)</f>
        <v>0</v>
      </c>
      <c r="E56" s="73">
        <f>$C56*VLOOKUP($B56,FoodDB!$A$2:$I$1024,4,0)</f>
        <v>0</v>
      </c>
      <c r="F56" s="73">
        <f>$C56*VLOOKUP($B56,FoodDB!$A$2:$I$1024,5,0)</f>
        <v>0</v>
      </c>
      <c r="G56" s="73">
        <f>$C56*VLOOKUP($B56,FoodDB!$A$2:$I$1024,6,0)</f>
        <v>0</v>
      </c>
      <c r="H56" s="73">
        <f>$C56*VLOOKUP($B56,FoodDB!$A$2:$I$1024,7,0)</f>
        <v>0</v>
      </c>
      <c r="I56" s="73">
        <f>$C56*VLOOKUP($B56,FoodDB!$A$2:$I$1024,8,0)</f>
        <v>0</v>
      </c>
      <c r="J56" s="73">
        <f>$C56*VLOOKUP($B56,FoodDB!$A$2:$I$1024,9,0)</f>
        <v>0</v>
      </c>
      <c r="K56" s="73"/>
      <c r="L56" s="73"/>
      <c r="M56" s="73"/>
      <c r="N56" s="73"/>
      <c r="O56" s="73"/>
      <c r="P56" s="73"/>
      <c r="Q56" s="73"/>
      <c r="R56" s="73"/>
      <c r="S56" s="73"/>
    </row>
    <row r="57" spans="1:19" x14ac:dyDescent="0.25">
      <c r="B57" s="71" t="s">
        <v>95</v>
      </c>
      <c r="C57" s="72">
        <v>1</v>
      </c>
      <c r="D57" s="73">
        <f>$C57*VLOOKUP($B57,FoodDB!$A$2:$I$1024,3,0)</f>
        <v>0</v>
      </c>
      <c r="E57" s="73">
        <f>$C57*VLOOKUP($B57,FoodDB!$A$2:$I$1024,4,0)</f>
        <v>0</v>
      </c>
      <c r="F57" s="73">
        <f>$C57*VLOOKUP($B57,FoodDB!$A$2:$I$1024,5,0)</f>
        <v>0</v>
      </c>
      <c r="G57" s="73">
        <f>$C57*VLOOKUP($B57,FoodDB!$A$2:$I$1024,6,0)</f>
        <v>0</v>
      </c>
      <c r="H57" s="73">
        <f>$C57*VLOOKUP($B57,FoodDB!$A$2:$I$1024,7,0)</f>
        <v>0</v>
      </c>
      <c r="I57" s="73">
        <f>$C57*VLOOKUP($B57,FoodDB!$A$2:$I$1024,8,0)</f>
        <v>0</v>
      </c>
      <c r="J57" s="73">
        <f>$C57*VLOOKUP($B57,FoodDB!$A$2:$I$1024,9,0)</f>
        <v>0</v>
      </c>
      <c r="K57" s="73"/>
      <c r="L57" s="73"/>
      <c r="M57" s="73"/>
      <c r="N57" s="73"/>
      <c r="O57" s="73"/>
      <c r="P57" s="73"/>
      <c r="Q57" s="73"/>
      <c r="R57" s="73"/>
      <c r="S57" s="73"/>
    </row>
    <row r="58" spans="1:19" x14ac:dyDescent="0.25">
      <c r="B58" s="71" t="s">
        <v>95</v>
      </c>
      <c r="C58" s="72">
        <v>1</v>
      </c>
      <c r="D58" s="73">
        <f>$C58*VLOOKUP($B58,FoodDB!$A$2:$I$1024,3,0)</f>
        <v>0</v>
      </c>
      <c r="E58" s="73">
        <f>$C58*VLOOKUP($B58,FoodDB!$A$2:$I$1024,4,0)</f>
        <v>0</v>
      </c>
      <c r="F58" s="73">
        <f>$C58*VLOOKUP($B58,FoodDB!$A$2:$I$1024,5,0)</f>
        <v>0</v>
      </c>
      <c r="G58" s="73">
        <f>$C58*VLOOKUP($B58,FoodDB!$A$2:$I$1024,6,0)</f>
        <v>0</v>
      </c>
      <c r="H58" s="73">
        <f>$C58*VLOOKUP($B58,FoodDB!$A$2:$I$1024,7,0)</f>
        <v>0</v>
      </c>
      <c r="I58" s="73">
        <f>$C58*VLOOKUP($B58,FoodDB!$A$2:$I$1024,8,0)</f>
        <v>0</v>
      </c>
      <c r="J58" s="73">
        <f>$C58*VLOOKUP($B58,FoodDB!$A$2:$I$1024,9,0)</f>
        <v>0</v>
      </c>
      <c r="K58" s="73"/>
      <c r="L58" s="73"/>
      <c r="M58" s="73"/>
      <c r="N58" s="73"/>
      <c r="O58" s="73"/>
      <c r="P58" s="73"/>
      <c r="Q58" s="73"/>
      <c r="R58" s="73"/>
      <c r="S58" s="73"/>
    </row>
    <row r="59" spans="1:19" x14ac:dyDescent="0.25">
      <c r="B59" s="71" t="s">
        <v>95</v>
      </c>
      <c r="C59" s="72">
        <v>1</v>
      </c>
      <c r="D59" s="73">
        <f>$C59*VLOOKUP($B59,FoodDB!$A$2:$I$1024,3,0)</f>
        <v>0</v>
      </c>
      <c r="E59" s="73">
        <f>$C59*VLOOKUP($B59,FoodDB!$A$2:$I$1024,4,0)</f>
        <v>0</v>
      </c>
      <c r="F59" s="73">
        <f>$C59*VLOOKUP($B59,FoodDB!$A$2:$I$1024,5,0)</f>
        <v>0</v>
      </c>
      <c r="G59" s="73">
        <f>$C59*VLOOKUP($B59,FoodDB!$A$2:$I$1024,6,0)</f>
        <v>0</v>
      </c>
      <c r="H59" s="73">
        <f>$C59*VLOOKUP($B59,FoodDB!$A$2:$I$1024,7,0)</f>
        <v>0</v>
      </c>
      <c r="I59" s="73">
        <f>$C59*VLOOKUP($B59,FoodDB!$A$2:$I$1024,8,0)</f>
        <v>0</v>
      </c>
      <c r="J59" s="73">
        <f>$C59*VLOOKUP($B59,FoodDB!$A$2:$I$1024,9,0)</f>
        <v>0</v>
      </c>
      <c r="K59" s="73"/>
      <c r="L59" s="73"/>
      <c r="M59" s="73"/>
      <c r="N59" s="73"/>
      <c r="O59" s="73"/>
      <c r="P59" s="73"/>
      <c r="Q59" s="73"/>
      <c r="R59" s="73"/>
      <c r="S59" s="73"/>
    </row>
    <row r="60" spans="1:19" x14ac:dyDescent="0.25">
      <c r="A60" t="s">
        <v>99</v>
      </c>
      <c r="D60" s="73"/>
      <c r="E60" s="73"/>
      <c r="F60" s="73"/>
      <c r="G60" s="73">
        <f>SUM(G53:G59)</f>
        <v>0</v>
      </c>
      <c r="H60" s="73">
        <f>SUM(H53:H59)</f>
        <v>0</v>
      </c>
      <c r="I60" s="73">
        <f>SUM(I53:I59)</f>
        <v>0</v>
      </c>
      <c r="J60" s="73">
        <f>SUM(G60:I60)</f>
        <v>0</v>
      </c>
      <c r="K60" s="73"/>
      <c r="L60" s="73"/>
      <c r="M60" s="73"/>
      <c r="N60" s="73"/>
      <c r="O60" s="73"/>
      <c r="P60" s="73"/>
      <c r="Q60" s="73"/>
      <c r="R60" s="73"/>
      <c r="S60" s="73"/>
    </row>
    <row r="61" spans="1:19" x14ac:dyDescent="0.25">
      <c r="A61" t="s">
        <v>100</v>
      </c>
      <c r="B61" t="s">
        <v>101</v>
      </c>
      <c r="D61" s="73"/>
      <c r="E61" s="73"/>
      <c r="F61" s="73"/>
      <c r="G61" s="73">
        <f>VLOOKUP($A53,LossChart!$A$3:$AB$73,14,0)</f>
        <v>431.74476004662756</v>
      </c>
      <c r="H61" s="73">
        <f>VLOOKUP($A53,LossChart!$A$3:$AB$73,15,0)</f>
        <v>80</v>
      </c>
      <c r="I61" s="73">
        <f>VLOOKUP($A53,LossChart!$A$3:$AB$73,16,0)</f>
        <v>463.76562996293683</v>
      </c>
      <c r="J61" s="73">
        <f>VLOOKUP($A53,LossChart!$A$3:$AB$73,17,0)</f>
        <v>975.51039000956439</v>
      </c>
      <c r="K61" s="73"/>
      <c r="L61" s="73"/>
      <c r="M61" s="73"/>
      <c r="N61" s="73"/>
      <c r="O61" s="73"/>
      <c r="P61" s="73"/>
      <c r="Q61" s="73"/>
      <c r="R61" s="73"/>
      <c r="S61" s="73"/>
    </row>
    <row r="62" spans="1:19" x14ac:dyDescent="0.25">
      <c r="A62" t="s">
        <v>102</v>
      </c>
      <c r="D62" s="73"/>
      <c r="E62" s="73"/>
      <c r="F62" s="73"/>
      <c r="G62" s="73">
        <f>G61-G60</f>
        <v>431.74476004662756</v>
      </c>
      <c r="H62" s="73">
        <f>H61-H60</f>
        <v>80</v>
      </c>
      <c r="I62" s="73">
        <f>I61-I60</f>
        <v>463.76562996293683</v>
      </c>
      <c r="J62" s="73">
        <f>J61-J60</f>
        <v>975.51039000956439</v>
      </c>
      <c r="K62" s="73"/>
      <c r="L62" s="73"/>
      <c r="M62" s="73"/>
      <c r="N62" s="73"/>
      <c r="O62" s="73"/>
      <c r="P62" s="73"/>
      <c r="Q62" s="73"/>
      <c r="R62" s="73"/>
      <c r="S62" s="73"/>
    </row>
    <row r="64" spans="1:19" ht="60" x14ac:dyDescent="0.25">
      <c r="A64" s="25" t="s">
        <v>63</v>
      </c>
      <c r="B64" s="25" t="s">
        <v>80</v>
      </c>
      <c r="C64" s="25" t="s">
        <v>81</v>
      </c>
      <c r="D64" s="69" t="str">
        <f>FoodDB!$C$1</f>
        <v>Fat
(g)</v>
      </c>
      <c r="E64" s="69" t="str">
        <f>FoodDB!$D$1</f>
        <v xml:space="preserve"> Net
Carbs
(g)</v>
      </c>
      <c r="F64" s="69" t="str">
        <f>FoodDB!$E$1</f>
        <v>Protein
(g)</v>
      </c>
      <c r="G64" s="69" t="str">
        <f>FoodDB!$F$1</f>
        <v>Fat
(Cal)</v>
      </c>
      <c r="H64" s="69" t="str">
        <f>FoodDB!$G$1</f>
        <v>Carb
(Cal)</v>
      </c>
      <c r="I64" s="69" t="str">
        <f>FoodDB!$H$1</f>
        <v>Protein
(Cal)</v>
      </c>
      <c r="J64" s="69" t="str">
        <f>FoodDB!$I$1</f>
        <v>Total
Calories</v>
      </c>
      <c r="K64" s="69"/>
      <c r="L64" s="69" t="s">
        <v>82</v>
      </c>
      <c r="M64" s="69" t="s">
        <v>83</v>
      </c>
      <c r="N64" s="69" t="s">
        <v>84</v>
      </c>
      <c r="O64" s="69" t="s">
        <v>85</v>
      </c>
      <c r="P64" s="69" t="s">
        <v>86</v>
      </c>
      <c r="Q64" s="69" t="s">
        <v>87</v>
      </c>
      <c r="R64" s="69" t="s">
        <v>88</v>
      </c>
      <c r="S64" s="69" t="s">
        <v>89</v>
      </c>
    </row>
    <row r="65" spans="1:19" x14ac:dyDescent="0.25">
      <c r="A65" s="70">
        <f>A53+1</f>
        <v>43036</v>
      </c>
      <c r="B65" s="71" t="s">
        <v>95</v>
      </c>
      <c r="C65" s="72">
        <v>1</v>
      </c>
      <c r="D65" s="73">
        <f>$C65*VLOOKUP($B65,FoodDB!$A$2:$I$1024,3,0)</f>
        <v>0</v>
      </c>
      <c r="E65" s="73">
        <f>$C65*VLOOKUP($B65,FoodDB!$A$2:$I$1024,4,0)</f>
        <v>0</v>
      </c>
      <c r="F65" s="73">
        <f>$C65*VLOOKUP($B65,FoodDB!$A$2:$I$1024,5,0)</f>
        <v>0</v>
      </c>
      <c r="G65" s="73">
        <f>$C65*VLOOKUP($B65,FoodDB!$A$2:$I$1024,6,0)</f>
        <v>0</v>
      </c>
      <c r="H65" s="73">
        <f>$C65*VLOOKUP($B65,FoodDB!$A$2:$I$1024,7,0)</f>
        <v>0</v>
      </c>
      <c r="I65" s="73">
        <f>$C65*VLOOKUP($B65,FoodDB!$A$2:$I$1024,8,0)</f>
        <v>0</v>
      </c>
      <c r="J65" s="73">
        <f>$C65*VLOOKUP($B65,FoodDB!$A$2:$I$1024,9,0)</f>
        <v>0</v>
      </c>
      <c r="K65" s="73"/>
      <c r="L65" s="73">
        <f>SUM(G65:G71)</f>
        <v>0</v>
      </c>
      <c r="M65" s="73">
        <f>SUM(H65:H71)</f>
        <v>0</v>
      </c>
      <c r="N65" s="73">
        <f>SUM(I65:I71)</f>
        <v>0</v>
      </c>
      <c r="O65" s="73">
        <f>SUM(L65:N65)</f>
        <v>0</v>
      </c>
      <c r="P65" s="73">
        <f>VLOOKUP($A65,LossChart!$A$3:$AB$73,14,0)-L65</f>
        <v>439.33451477830022</v>
      </c>
      <c r="Q65" s="73">
        <f>VLOOKUP($A65,LossChart!$A$3:$AB$73,15,0)-M65</f>
        <v>80</v>
      </c>
      <c r="R65" s="73">
        <f>VLOOKUP($A65,LossChart!$A$3:$AB$73,16,0)-N65</f>
        <v>463.76562996293683</v>
      </c>
      <c r="S65" s="73">
        <f>VLOOKUP($A65,LossChart!$A$3:$AB$73,17,0)-O65</f>
        <v>983.10014474123705</v>
      </c>
    </row>
    <row r="66" spans="1:19" x14ac:dyDescent="0.25">
      <c r="B66" s="71" t="s">
        <v>95</v>
      </c>
      <c r="C66" s="72">
        <v>1</v>
      </c>
      <c r="D66" s="73">
        <f>$C66*VLOOKUP($B66,FoodDB!$A$2:$I$1024,3,0)</f>
        <v>0</v>
      </c>
      <c r="E66" s="73">
        <f>$C66*VLOOKUP($B66,FoodDB!$A$2:$I$1024,4,0)</f>
        <v>0</v>
      </c>
      <c r="F66" s="73">
        <f>$C66*VLOOKUP($B66,FoodDB!$A$2:$I$1024,5,0)</f>
        <v>0</v>
      </c>
      <c r="G66" s="73">
        <f>$C66*VLOOKUP($B66,FoodDB!$A$2:$I$1024,6,0)</f>
        <v>0</v>
      </c>
      <c r="H66" s="73">
        <f>$C66*VLOOKUP($B66,FoodDB!$A$2:$I$1024,7,0)</f>
        <v>0</v>
      </c>
      <c r="I66" s="73">
        <f>$C66*VLOOKUP($B66,FoodDB!$A$2:$I$1024,8,0)</f>
        <v>0</v>
      </c>
      <c r="J66" s="73">
        <f>$C66*VLOOKUP($B66,FoodDB!$A$2:$I$1024,9,0)</f>
        <v>0</v>
      </c>
      <c r="K66" s="73"/>
      <c r="L66" s="73"/>
      <c r="M66" s="73"/>
      <c r="N66" s="73"/>
      <c r="O66" s="73"/>
      <c r="P66" s="73"/>
      <c r="Q66" s="73"/>
      <c r="R66" s="73"/>
      <c r="S66" s="73"/>
    </row>
    <row r="67" spans="1:19" x14ac:dyDescent="0.25">
      <c r="B67" s="71" t="s">
        <v>95</v>
      </c>
      <c r="C67" s="72">
        <v>1</v>
      </c>
      <c r="D67" s="73">
        <f>$C67*VLOOKUP($B67,FoodDB!$A$2:$I$1024,3,0)</f>
        <v>0</v>
      </c>
      <c r="E67" s="73">
        <f>$C67*VLOOKUP($B67,FoodDB!$A$2:$I$1024,4,0)</f>
        <v>0</v>
      </c>
      <c r="F67" s="73">
        <f>$C67*VLOOKUP($B67,FoodDB!$A$2:$I$1024,5,0)</f>
        <v>0</v>
      </c>
      <c r="G67" s="73">
        <f>$C67*VLOOKUP($B67,FoodDB!$A$2:$I$1024,6,0)</f>
        <v>0</v>
      </c>
      <c r="H67" s="73">
        <f>$C67*VLOOKUP($B67,FoodDB!$A$2:$I$1024,7,0)</f>
        <v>0</v>
      </c>
      <c r="I67" s="73">
        <f>$C67*VLOOKUP($B67,FoodDB!$A$2:$I$1024,8,0)</f>
        <v>0</v>
      </c>
      <c r="J67" s="73">
        <f>$C67*VLOOKUP($B67,FoodDB!$A$2:$I$1024,9,0)</f>
        <v>0</v>
      </c>
      <c r="K67" s="73"/>
      <c r="L67" s="73"/>
      <c r="M67" s="73"/>
      <c r="N67" s="73"/>
      <c r="O67" s="73"/>
      <c r="P67" s="73"/>
      <c r="Q67" s="73"/>
      <c r="R67" s="73"/>
      <c r="S67" s="73"/>
    </row>
    <row r="68" spans="1:19" x14ac:dyDescent="0.25">
      <c r="B68" s="71" t="s">
        <v>95</v>
      </c>
      <c r="C68" s="72">
        <v>1</v>
      </c>
      <c r="D68" s="73">
        <f>$C68*VLOOKUP($B68,FoodDB!$A$2:$I$1024,3,0)</f>
        <v>0</v>
      </c>
      <c r="E68" s="73">
        <f>$C68*VLOOKUP($B68,FoodDB!$A$2:$I$1024,4,0)</f>
        <v>0</v>
      </c>
      <c r="F68" s="73">
        <f>$C68*VLOOKUP($B68,FoodDB!$A$2:$I$1024,5,0)</f>
        <v>0</v>
      </c>
      <c r="G68" s="73">
        <f>$C68*VLOOKUP($B68,FoodDB!$A$2:$I$1024,6,0)</f>
        <v>0</v>
      </c>
      <c r="H68" s="73">
        <f>$C68*VLOOKUP($B68,FoodDB!$A$2:$I$1024,7,0)</f>
        <v>0</v>
      </c>
      <c r="I68" s="73">
        <f>$C68*VLOOKUP($B68,FoodDB!$A$2:$I$1024,8,0)</f>
        <v>0</v>
      </c>
      <c r="J68" s="73">
        <f>$C68*VLOOKUP($B68,FoodDB!$A$2:$I$1024,9,0)</f>
        <v>0</v>
      </c>
      <c r="K68" s="73"/>
      <c r="L68" s="73"/>
      <c r="M68" s="73"/>
      <c r="N68" s="73"/>
      <c r="O68" s="73"/>
      <c r="P68" s="73"/>
      <c r="Q68" s="73"/>
      <c r="R68" s="73"/>
      <c r="S68" s="73"/>
    </row>
    <row r="69" spans="1:19" x14ac:dyDescent="0.25">
      <c r="B69" s="71" t="s">
        <v>95</v>
      </c>
      <c r="C69" s="72">
        <v>1</v>
      </c>
      <c r="D69" s="73">
        <f>$C69*VLOOKUP($B69,FoodDB!$A$2:$I$1024,3,0)</f>
        <v>0</v>
      </c>
      <c r="E69" s="73">
        <f>$C69*VLOOKUP($B69,FoodDB!$A$2:$I$1024,4,0)</f>
        <v>0</v>
      </c>
      <c r="F69" s="73">
        <f>$C69*VLOOKUP($B69,FoodDB!$A$2:$I$1024,5,0)</f>
        <v>0</v>
      </c>
      <c r="G69" s="73">
        <f>$C69*VLOOKUP($B69,FoodDB!$A$2:$I$1024,6,0)</f>
        <v>0</v>
      </c>
      <c r="H69" s="73">
        <f>$C69*VLOOKUP($B69,FoodDB!$A$2:$I$1024,7,0)</f>
        <v>0</v>
      </c>
      <c r="I69" s="73">
        <f>$C69*VLOOKUP($B69,FoodDB!$A$2:$I$1024,8,0)</f>
        <v>0</v>
      </c>
      <c r="J69" s="73">
        <f>$C69*VLOOKUP($B69,FoodDB!$A$2:$I$1024,9,0)</f>
        <v>0</v>
      </c>
      <c r="K69" s="73"/>
      <c r="L69" s="73"/>
      <c r="M69" s="73"/>
      <c r="N69" s="73"/>
      <c r="O69" s="73"/>
      <c r="P69" s="73"/>
      <c r="Q69" s="73"/>
      <c r="R69" s="73"/>
      <c r="S69" s="73"/>
    </row>
    <row r="70" spans="1:19" x14ac:dyDescent="0.25">
      <c r="B70" s="71" t="s">
        <v>95</v>
      </c>
      <c r="C70" s="72">
        <v>1</v>
      </c>
      <c r="D70" s="73">
        <f>$C70*VLOOKUP($B70,FoodDB!$A$2:$I$1024,3,0)</f>
        <v>0</v>
      </c>
      <c r="E70" s="73">
        <f>$C70*VLOOKUP($B70,FoodDB!$A$2:$I$1024,4,0)</f>
        <v>0</v>
      </c>
      <c r="F70" s="73">
        <f>$C70*VLOOKUP($B70,FoodDB!$A$2:$I$1024,5,0)</f>
        <v>0</v>
      </c>
      <c r="G70" s="73">
        <f>$C70*VLOOKUP($B70,FoodDB!$A$2:$I$1024,6,0)</f>
        <v>0</v>
      </c>
      <c r="H70" s="73">
        <f>$C70*VLOOKUP($B70,FoodDB!$A$2:$I$1024,7,0)</f>
        <v>0</v>
      </c>
      <c r="I70" s="73">
        <f>$C70*VLOOKUP($B70,FoodDB!$A$2:$I$1024,8,0)</f>
        <v>0</v>
      </c>
      <c r="J70" s="73">
        <f>$C70*VLOOKUP($B70,FoodDB!$A$2:$I$1024,9,0)</f>
        <v>0</v>
      </c>
      <c r="K70" s="73"/>
      <c r="L70" s="73"/>
      <c r="M70" s="73"/>
      <c r="N70" s="73"/>
      <c r="O70" s="73"/>
      <c r="P70" s="73"/>
      <c r="Q70" s="73"/>
      <c r="R70" s="73"/>
      <c r="S70" s="73"/>
    </row>
    <row r="71" spans="1:19" x14ac:dyDescent="0.25">
      <c r="B71" s="71" t="s">
        <v>95</v>
      </c>
      <c r="C71" s="72">
        <v>1</v>
      </c>
      <c r="D71" s="73">
        <f>$C71*VLOOKUP($B71,FoodDB!$A$2:$I$1024,3,0)</f>
        <v>0</v>
      </c>
      <c r="E71" s="73">
        <f>$C71*VLOOKUP($B71,FoodDB!$A$2:$I$1024,4,0)</f>
        <v>0</v>
      </c>
      <c r="F71" s="73">
        <f>$C71*VLOOKUP($B71,FoodDB!$A$2:$I$1024,5,0)</f>
        <v>0</v>
      </c>
      <c r="G71" s="73">
        <f>$C71*VLOOKUP($B71,FoodDB!$A$2:$I$1024,6,0)</f>
        <v>0</v>
      </c>
      <c r="H71" s="73">
        <f>$C71*VLOOKUP($B71,FoodDB!$A$2:$I$1024,7,0)</f>
        <v>0</v>
      </c>
      <c r="I71" s="73">
        <f>$C71*VLOOKUP($B71,FoodDB!$A$2:$I$1024,8,0)</f>
        <v>0</v>
      </c>
      <c r="J71" s="73">
        <f>$C71*VLOOKUP($B71,FoodDB!$A$2:$I$1024,9,0)</f>
        <v>0</v>
      </c>
      <c r="K71" s="73"/>
      <c r="L71" s="73"/>
      <c r="M71" s="73"/>
      <c r="N71" s="73"/>
      <c r="O71" s="73"/>
      <c r="P71" s="73"/>
      <c r="Q71" s="73"/>
      <c r="R71" s="73"/>
      <c r="S71" s="73"/>
    </row>
    <row r="72" spans="1:19" x14ac:dyDescent="0.25">
      <c r="A72" t="s">
        <v>99</v>
      </c>
      <c r="D72" s="73"/>
      <c r="E72" s="73"/>
      <c r="F72" s="73"/>
      <c r="G72" s="73">
        <f>SUM(G65:G71)</f>
        <v>0</v>
      </c>
      <c r="H72" s="73">
        <f>SUM(H65:H71)</f>
        <v>0</v>
      </c>
      <c r="I72" s="73">
        <f>SUM(I65:I71)</f>
        <v>0</v>
      </c>
      <c r="J72" s="73">
        <f>SUM(G72:I72)</f>
        <v>0</v>
      </c>
      <c r="K72" s="73"/>
      <c r="L72" s="73"/>
      <c r="M72" s="73"/>
      <c r="N72" s="73"/>
      <c r="O72" s="73"/>
      <c r="P72" s="73"/>
      <c r="Q72" s="73"/>
      <c r="R72" s="73"/>
      <c r="S72" s="73"/>
    </row>
    <row r="73" spans="1:19" x14ac:dyDescent="0.25">
      <c r="A73" t="s">
        <v>100</v>
      </c>
      <c r="B73" t="s">
        <v>101</v>
      </c>
      <c r="D73" s="73"/>
      <c r="E73" s="73"/>
      <c r="F73" s="73"/>
      <c r="G73" s="73">
        <f>VLOOKUP($A65,LossChart!$A$3:$AB$73,14,0)</f>
        <v>439.33451477830022</v>
      </c>
      <c r="H73" s="73">
        <f>VLOOKUP($A65,LossChart!$A$3:$AB$73,15,0)</f>
        <v>80</v>
      </c>
      <c r="I73" s="73">
        <f>VLOOKUP($A65,LossChart!$A$3:$AB$73,16,0)</f>
        <v>463.76562996293683</v>
      </c>
      <c r="J73" s="73">
        <f>VLOOKUP($A65,LossChart!$A$3:$AB$73,17,0)</f>
        <v>983.10014474123705</v>
      </c>
      <c r="K73" s="73"/>
      <c r="L73" s="73"/>
      <c r="M73" s="73"/>
      <c r="N73" s="73"/>
      <c r="O73" s="73"/>
      <c r="P73" s="73"/>
      <c r="Q73" s="73"/>
      <c r="R73" s="73"/>
      <c r="S73" s="73"/>
    </row>
    <row r="74" spans="1:19" x14ac:dyDescent="0.25">
      <c r="A74" t="s">
        <v>102</v>
      </c>
      <c r="D74" s="73"/>
      <c r="E74" s="73"/>
      <c r="F74" s="73"/>
      <c r="G74" s="73">
        <f>G73-G72</f>
        <v>439.33451477830022</v>
      </c>
      <c r="H74" s="73">
        <f>H73-H72</f>
        <v>80</v>
      </c>
      <c r="I74" s="73">
        <f>I73-I72</f>
        <v>463.76562996293683</v>
      </c>
      <c r="J74" s="73">
        <f>J73-J72</f>
        <v>983.10014474123705</v>
      </c>
      <c r="K74" s="73"/>
      <c r="L74" s="73"/>
      <c r="M74" s="73"/>
      <c r="N74" s="73"/>
      <c r="O74" s="73"/>
      <c r="P74" s="73"/>
      <c r="Q74" s="73"/>
      <c r="R74" s="73"/>
      <c r="S74" s="73"/>
    </row>
    <row r="76" spans="1:19" ht="60" x14ac:dyDescent="0.25">
      <c r="A76" s="25" t="s">
        <v>63</v>
      </c>
      <c r="B76" s="25" t="s">
        <v>80</v>
      </c>
      <c r="C76" s="25" t="s">
        <v>81</v>
      </c>
      <c r="D76" s="69" t="str">
        <f>FoodDB!$C$1</f>
        <v>Fat
(g)</v>
      </c>
      <c r="E76" s="69" t="str">
        <f>FoodDB!$D$1</f>
        <v xml:space="preserve"> Net
Carbs
(g)</v>
      </c>
      <c r="F76" s="69" t="str">
        <f>FoodDB!$E$1</f>
        <v>Protein
(g)</v>
      </c>
      <c r="G76" s="69" t="str">
        <f>FoodDB!$F$1</f>
        <v>Fat
(Cal)</v>
      </c>
      <c r="H76" s="69" t="str">
        <f>FoodDB!$G$1</f>
        <v>Carb
(Cal)</v>
      </c>
      <c r="I76" s="69" t="str">
        <f>FoodDB!$H$1</f>
        <v>Protein
(Cal)</v>
      </c>
      <c r="J76" s="69" t="str">
        <f>FoodDB!$I$1</f>
        <v>Total
Calories</v>
      </c>
      <c r="K76" s="69"/>
      <c r="L76" s="69" t="s">
        <v>82</v>
      </c>
      <c r="M76" s="69" t="s">
        <v>83</v>
      </c>
      <c r="N76" s="69" t="s">
        <v>84</v>
      </c>
      <c r="O76" s="69" t="s">
        <v>85</v>
      </c>
      <c r="P76" s="69" t="s">
        <v>86</v>
      </c>
      <c r="Q76" s="69" t="s">
        <v>87</v>
      </c>
      <c r="R76" s="69" t="s">
        <v>88</v>
      </c>
      <c r="S76" s="69" t="s">
        <v>89</v>
      </c>
    </row>
    <row r="77" spans="1:19" x14ac:dyDescent="0.25">
      <c r="A77" s="70">
        <f>A65+1</f>
        <v>43037</v>
      </c>
      <c r="B77" s="71" t="s">
        <v>95</v>
      </c>
      <c r="C77" s="72">
        <v>1</v>
      </c>
      <c r="D77" s="73">
        <f>$C77*VLOOKUP($B77,FoodDB!$A$2:$I$1024,3,0)</f>
        <v>0</v>
      </c>
      <c r="E77" s="73">
        <f>$C77*VLOOKUP($B77,FoodDB!$A$2:$I$1024,4,0)</f>
        <v>0</v>
      </c>
      <c r="F77" s="73">
        <f>$C77*VLOOKUP($B77,FoodDB!$A$2:$I$1024,5,0)</f>
        <v>0</v>
      </c>
      <c r="G77" s="73">
        <f>$C77*VLOOKUP($B77,FoodDB!$A$2:$I$1024,6,0)</f>
        <v>0</v>
      </c>
      <c r="H77" s="73">
        <f>$C77*VLOOKUP($B77,FoodDB!$A$2:$I$1024,7,0)</f>
        <v>0</v>
      </c>
      <c r="I77" s="73">
        <f>$C77*VLOOKUP($B77,FoodDB!$A$2:$I$1024,8,0)</f>
        <v>0</v>
      </c>
      <c r="J77" s="73">
        <f>$C77*VLOOKUP($B77,FoodDB!$A$2:$I$1024,9,0)</f>
        <v>0</v>
      </c>
      <c r="K77" s="73"/>
      <c r="L77" s="73">
        <f>SUM(G77:G83)</f>
        <v>0</v>
      </c>
      <c r="M77" s="73">
        <f>SUM(H77:H83)</f>
        <v>0</v>
      </c>
      <c r="N77" s="73">
        <f>SUM(I77:I83)</f>
        <v>0</v>
      </c>
      <c r="O77" s="73">
        <f>SUM(L77:N77)</f>
        <v>0</v>
      </c>
      <c r="P77" s="73">
        <f>VLOOKUP($A77,LossChart!$A$3:$AB$73,14,0)-L77</f>
        <v>446.85704596806431</v>
      </c>
      <c r="Q77" s="73">
        <f>VLOOKUP($A77,LossChart!$A$3:$AB$73,15,0)-M77</f>
        <v>80</v>
      </c>
      <c r="R77" s="73">
        <f>VLOOKUP($A77,LossChart!$A$3:$AB$73,16,0)-N77</f>
        <v>463.76562996293683</v>
      </c>
      <c r="S77" s="73">
        <f>VLOOKUP($A77,LossChart!$A$3:$AB$73,17,0)-O77</f>
        <v>990.62267593100114</v>
      </c>
    </row>
    <row r="78" spans="1:19" x14ac:dyDescent="0.25">
      <c r="B78" s="71" t="s">
        <v>95</v>
      </c>
      <c r="C78" s="72">
        <v>1</v>
      </c>
      <c r="D78" s="73">
        <f>$C78*VLOOKUP($B78,FoodDB!$A$2:$I$1024,3,0)</f>
        <v>0</v>
      </c>
      <c r="E78" s="73">
        <f>$C78*VLOOKUP($B78,FoodDB!$A$2:$I$1024,4,0)</f>
        <v>0</v>
      </c>
      <c r="F78" s="73">
        <f>$C78*VLOOKUP($B78,FoodDB!$A$2:$I$1024,5,0)</f>
        <v>0</v>
      </c>
      <c r="G78" s="73">
        <f>$C78*VLOOKUP($B78,FoodDB!$A$2:$I$1024,6,0)</f>
        <v>0</v>
      </c>
      <c r="H78" s="73">
        <f>$C78*VLOOKUP($B78,FoodDB!$A$2:$I$1024,7,0)</f>
        <v>0</v>
      </c>
      <c r="I78" s="73">
        <f>$C78*VLOOKUP($B78,FoodDB!$A$2:$I$1024,8,0)</f>
        <v>0</v>
      </c>
      <c r="J78" s="73">
        <f>$C78*VLOOKUP($B78,FoodDB!$A$2:$I$1024,9,0)</f>
        <v>0</v>
      </c>
      <c r="K78" s="73"/>
      <c r="L78" s="73"/>
      <c r="M78" s="73"/>
      <c r="N78" s="73"/>
      <c r="O78" s="73"/>
      <c r="P78" s="73"/>
      <c r="Q78" s="73"/>
      <c r="R78" s="73"/>
      <c r="S78" s="73"/>
    </row>
    <row r="79" spans="1:19" x14ac:dyDescent="0.25">
      <c r="B79" s="71" t="s">
        <v>95</v>
      </c>
      <c r="C79" s="72">
        <v>1</v>
      </c>
      <c r="D79" s="73">
        <f>$C79*VLOOKUP($B79,FoodDB!$A$2:$I$1024,3,0)</f>
        <v>0</v>
      </c>
      <c r="E79" s="73">
        <f>$C79*VLOOKUP($B79,FoodDB!$A$2:$I$1024,4,0)</f>
        <v>0</v>
      </c>
      <c r="F79" s="73">
        <f>$C79*VLOOKUP($B79,FoodDB!$A$2:$I$1024,5,0)</f>
        <v>0</v>
      </c>
      <c r="G79" s="73">
        <f>$C79*VLOOKUP($B79,FoodDB!$A$2:$I$1024,6,0)</f>
        <v>0</v>
      </c>
      <c r="H79" s="73">
        <f>$C79*VLOOKUP($B79,FoodDB!$A$2:$I$1024,7,0)</f>
        <v>0</v>
      </c>
      <c r="I79" s="73">
        <f>$C79*VLOOKUP($B79,FoodDB!$A$2:$I$1024,8,0)</f>
        <v>0</v>
      </c>
      <c r="J79" s="73">
        <f>$C79*VLOOKUP($B79,FoodDB!$A$2:$I$1024,9,0)</f>
        <v>0</v>
      </c>
      <c r="K79" s="73"/>
      <c r="L79" s="73"/>
      <c r="M79" s="73"/>
      <c r="N79" s="73"/>
      <c r="O79" s="73"/>
      <c r="P79" s="73"/>
      <c r="Q79" s="73"/>
      <c r="R79" s="73"/>
      <c r="S79" s="73"/>
    </row>
    <row r="80" spans="1:19" x14ac:dyDescent="0.25">
      <c r="B80" s="71" t="s">
        <v>95</v>
      </c>
      <c r="C80" s="72">
        <v>1</v>
      </c>
      <c r="D80" s="73">
        <f>$C80*VLOOKUP($B80,FoodDB!$A$2:$I$1024,3,0)</f>
        <v>0</v>
      </c>
      <c r="E80" s="73">
        <f>$C80*VLOOKUP($B80,FoodDB!$A$2:$I$1024,4,0)</f>
        <v>0</v>
      </c>
      <c r="F80" s="73">
        <f>$C80*VLOOKUP($B80,FoodDB!$A$2:$I$1024,5,0)</f>
        <v>0</v>
      </c>
      <c r="G80" s="73">
        <f>$C80*VLOOKUP($B80,FoodDB!$A$2:$I$1024,6,0)</f>
        <v>0</v>
      </c>
      <c r="H80" s="73">
        <f>$C80*VLOOKUP($B80,FoodDB!$A$2:$I$1024,7,0)</f>
        <v>0</v>
      </c>
      <c r="I80" s="73">
        <f>$C80*VLOOKUP($B80,FoodDB!$A$2:$I$1024,8,0)</f>
        <v>0</v>
      </c>
      <c r="J80" s="73">
        <f>$C80*VLOOKUP($B80,FoodDB!$A$2:$I$1024,9,0)</f>
        <v>0</v>
      </c>
      <c r="K80" s="73"/>
      <c r="L80" s="73"/>
      <c r="M80" s="73"/>
      <c r="N80" s="73"/>
      <c r="O80" s="73"/>
      <c r="P80" s="73"/>
      <c r="Q80" s="73"/>
      <c r="R80" s="73"/>
      <c r="S80" s="73"/>
    </row>
    <row r="81" spans="1:19" x14ac:dyDescent="0.25">
      <c r="B81" s="71" t="s">
        <v>95</v>
      </c>
      <c r="C81" s="72">
        <v>1</v>
      </c>
      <c r="D81" s="73">
        <f>$C81*VLOOKUP($B81,FoodDB!$A$2:$I$1024,3,0)</f>
        <v>0</v>
      </c>
      <c r="E81" s="73">
        <f>$C81*VLOOKUP($B81,FoodDB!$A$2:$I$1024,4,0)</f>
        <v>0</v>
      </c>
      <c r="F81" s="73">
        <f>$C81*VLOOKUP($B81,FoodDB!$A$2:$I$1024,5,0)</f>
        <v>0</v>
      </c>
      <c r="G81" s="73">
        <f>$C81*VLOOKUP($B81,FoodDB!$A$2:$I$1024,6,0)</f>
        <v>0</v>
      </c>
      <c r="H81" s="73">
        <f>$C81*VLOOKUP($B81,FoodDB!$A$2:$I$1024,7,0)</f>
        <v>0</v>
      </c>
      <c r="I81" s="73">
        <f>$C81*VLOOKUP($B81,FoodDB!$A$2:$I$1024,8,0)</f>
        <v>0</v>
      </c>
      <c r="J81" s="73">
        <f>$C81*VLOOKUP($B81,FoodDB!$A$2:$I$1024,9,0)</f>
        <v>0</v>
      </c>
      <c r="K81" s="73"/>
      <c r="L81" s="73"/>
      <c r="M81" s="73"/>
      <c r="N81" s="73"/>
      <c r="O81" s="73"/>
      <c r="P81" s="73"/>
      <c r="Q81" s="73"/>
      <c r="R81" s="73"/>
      <c r="S81" s="73"/>
    </row>
    <row r="82" spans="1:19" x14ac:dyDescent="0.25">
      <c r="B82" s="71" t="s">
        <v>95</v>
      </c>
      <c r="C82" s="72">
        <v>1</v>
      </c>
      <c r="D82" s="73">
        <f>$C82*VLOOKUP($B82,FoodDB!$A$2:$I$1024,3,0)</f>
        <v>0</v>
      </c>
      <c r="E82" s="73">
        <f>$C82*VLOOKUP($B82,FoodDB!$A$2:$I$1024,4,0)</f>
        <v>0</v>
      </c>
      <c r="F82" s="73">
        <f>$C82*VLOOKUP($B82,FoodDB!$A$2:$I$1024,5,0)</f>
        <v>0</v>
      </c>
      <c r="G82" s="73">
        <f>$C82*VLOOKUP($B82,FoodDB!$A$2:$I$1024,6,0)</f>
        <v>0</v>
      </c>
      <c r="H82" s="73">
        <f>$C82*VLOOKUP($B82,FoodDB!$A$2:$I$1024,7,0)</f>
        <v>0</v>
      </c>
      <c r="I82" s="73">
        <f>$C82*VLOOKUP($B82,FoodDB!$A$2:$I$1024,8,0)</f>
        <v>0</v>
      </c>
      <c r="J82" s="73">
        <f>$C82*VLOOKUP($B82,FoodDB!$A$2:$I$1024,9,0)</f>
        <v>0</v>
      </c>
      <c r="K82" s="73"/>
      <c r="L82" s="73"/>
      <c r="M82" s="73"/>
      <c r="N82" s="73"/>
      <c r="O82" s="73"/>
      <c r="P82" s="73"/>
      <c r="Q82" s="73"/>
      <c r="R82" s="73"/>
      <c r="S82" s="73"/>
    </row>
    <row r="83" spans="1:19" x14ac:dyDescent="0.25">
      <c r="B83" s="71" t="s">
        <v>95</v>
      </c>
      <c r="C83" s="72">
        <v>1</v>
      </c>
      <c r="D83" s="73">
        <f>$C83*VLOOKUP($B83,FoodDB!$A$2:$I$1024,3,0)</f>
        <v>0</v>
      </c>
      <c r="E83" s="73">
        <f>$C83*VLOOKUP($B83,FoodDB!$A$2:$I$1024,4,0)</f>
        <v>0</v>
      </c>
      <c r="F83" s="73">
        <f>$C83*VLOOKUP($B83,FoodDB!$A$2:$I$1024,5,0)</f>
        <v>0</v>
      </c>
      <c r="G83" s="73">
        <f>$C83*VLOOKUP($B83,FoodDB!$A$2:$I$1024,6,0)</f>
        <v>0</v>
      </c>
      <c r="H83" s="73">
        <f>$C83*VLOOKUP($B83,FoodDB!$A$2:$I$1024,7,0)</f>
        <v>0</v>
      </c>
      <c r="I83" s="73">
        <f>$C83*VLOOKUP($B83,FoodDB!$A$2:$I$1024,8,0)</f>
        <v>0</v>
      </c>
      <c r="J83" s="73">
        <f>$C83*VLOOKUP($B83,FoodDB!$A$2:$I$1024,9,0)</f>
        <v>0</v>
      </c>
      <c r="K83" s="73"/>
      <c r="L83" s="73"/>
      <c r="M83" s="73"/>
      <c r="N83" s="73"/>
      <c r="O83" s="73"/>
      <c r="P83" s="73"/>
      <c r="Q83" s="73"/>
      <c r="R83" s="73"/>
      <c r="S83" s="73"/>
    </row>
    <row r="84" spans="1:19" x14ac:dyDescent="0.25">
      <c r="A84" t="s">
        <v>99</v>
      </c>
      <c r="D84" s="73"/>
      <c r="E84" s="73"/>
      <c r="F84" s="73"/>
      <c r="G84" s="73">
        <f>SUM(G77:G83)</f>
        <v>0</v>
      </c>
      <c r="H84" s="73">
        <f>SUM(H77:H83)</f>
        <v>0</v>
      </c>
      <c r="I84" s="73">
        <f>SUM(I77:I83)</f>
        <v>0</v>
      </c>
      <c r="J84" s="73">
        <f>SUM(G84:I84)</f>
        <v>0</v>
      </c>
      <c r="K84" s="73"/>
      <c r="L84" s="73"/>
      <c r="M84" s="73"/>
      <c r="N84" s="73"/>
      <c r="O84" s="73"/>
      <c r="P84" s="73"/>
      <c r="Q84" s="73"/>
      <c r="R84" s="73"/>
      <c r="S84" s="73"/>
    </row>
    <row r="85" spans="1:19" x14ac:dyDescent="0.25">
      <c r="A85" t="s">
        <v>100</v>
      </c>
      <c r="B85" t="s">
        <v>101</v>
      </c>
      <c r="D85" s="73"/>
      <c r="E85" s="73"/>
      <c r="F85" s="73"/>
      <c r="G85" s="73">
        <f>VLOOKUP($A77,LossChart!$A$3:$AB$73,14,0)</f>
        <v>446.85704596806431</v>
      </c>
      <c r="H85" s="73">
        <f>VLOOKUP($A77,LossChart!$A$3:$AB$73,15,0)</f>
        <v>80</v>
      </c>
      <c r="I85" s="73">
        <f>VLOOKUP($A77,LossChart!$A$3:$AB$73,16,0)</f>
        <v>463.76562996293683</v>
      </c>
      <c r="J85" s="73">
        <f>VLOOKUP($A77,LossChart!$A$3:$AB$73,17,0)</f>
        <v>990.62267593100114</v>
      </c>
      <c r="K85" s="73"/>
      <c r="L85" s="73"/>
      <c r="M85" s="73"/>
      <c r="N85" s="73"/>
      <c r="O85" s="73"/>
      <c r="P85" s="73"/>
      <c r="Q85" s="73"/>
      <c r="R85" s="73"/>
      <c r="S85" s="73"/>
    </row>
    <row r="86" spans="1:19" x14ac:dyDescent="0.25">
      <c r="A86" t="s">
        <v>102</v>
      </c>
      <c r="D86" s="73"/>
      <c r="E86" s="73"/>
      <c r="F86" s="73"/>
      <c r="G86" s="73">
        <f>G85-G84</f>
        <v>446.85704596806431</v>
      </c>
      <c r="H86" s="73">
        <f>H85-H84</f>
        <v>80</v>
      </c>
      <c r="I86" s="73">
        <f>I85-I84</f>
        <v>463.76562996293683</v>
      </c>
      <c r="J86" s="73">
        <f>J85-J84</f>
        <v>990.62267593100114</v>
      </c>
      <c r="K86" s="73"/>
      <c r="L86" s="73"/>
      <c r="M86" s="73"/>
      <c r="N86" s="73"/>
      <c r="O86" s="73"/>
      <c r="P86" s="73"/>
      <c r="Q86" s="73"/>
      <c r="R86" s="73"/>
      <c r="S86" s="73"/>
    </row>
    <row r="88" spans="1:19" ht="60" x14ac:dyDescent="0.25">
      <c r="A88" s="25" t="s">
        <v>63</v>
      </c>
      <c r="B88" s="25" t="s">
        <v>80</v>
      </c>
      <c r="C88" s="25" t="s">
        <v>81</v>
      </c>
      <c r="D88" s="69" t="str">
        <f>FoodDB!$C$1</f>
        <v>Fat
(g)</v>
      </c>
      <c r="E88" s="69" t="str">
        <f>FoodDB!$D$1</f>
        <v xml:space="preserve"> Net
Carbs
(g)</v>
      </c>
      <c r="F88" s="69" t="str">
        <f>FoodDB!$E$1</f>
        <v>Protein
(g)</v>
      </c>
      <c r="G88" s="69" t="str">
        <f>FoodDB!$F$1</f>
        <v>Fat
(Cal)</v>
      </c>
      <c r="H88" s="69" t="str">
        <f>FoodDB!$G$1</f>
        <v>Carb
(Cal)</v>
      </c>
      <c r="I88" s="69" t="str">
        <f>FoodDB!$H$1</f>
        <v>Protein
(Cal)</v>
      </c>
      <c r="J88" s="69" t="str">
        <f>FoodDB!$I$1</f>
        <v>Total
Calories</v>
      </c>
      <c r="K88" s="69"/>
      <c r="L88" s="69" t="s">
        <v>82</v>
      </c>
      <c r="M88" s="69" t="s">
        <v>83</v>
      </c>
      <c r="N88" s="69" t="s">
        <v>84</v>
      </c>
      <c r="O88" s="69" t="s">
        <v>85</v>
      </c>
      <c r="P88" s="69" t="s">
        <v>86</v>
      </c>
      <c r="Q88" s="69" t="s">
        <v>87</v>
      </c>
      <c r="R88" s="69" t="s">
        <v>88</v>
      </c>
      <c r="S88" s="69" t="s">
        <v>89</v>
      </c>
    </row>
    <row r="89" spans="1:19" x14ac:dyDescent="0.25">
      <c r="A89" s="70">
        <f>A77+1</f>
        <v>43038</v>
      </c>
      <c r="B89" s="71" t="s">
        <v>95</v>
      </c>
      <c r="C89" s="72">
        <v>1</v>
      </c>
      <c r="D89" s="73">
        <f>$C89*VLOOKUP($B89,FoodDB!$A$2:$I$1024,3,0)</f>
        <v>0</v>
      </c>
      <c r="E89" s="73">
        <f>$C89*VLOOKUP($B89,FoodDB!$A$2:$I$1024,4,0)</f>
        <v>0</v>
      </c>
      <c r="F89" s="73">
        <f>$C89*VLOOKUP($B89,FoodDB!$A$2:$I$1024,5,0)</f>
        <v>0</v>
      </c>
      <c r="G89" s="73">
        <f>$C89*VLOOKUP($B89,FoodDB!$A$2:$I$1024,6,0)</f>
        <v>0</v>
      </c>
      <c r="H89" s="73">
        <f>$C89*VLOOKUP($B89,FoodDB!$A$2:$I$1024,7,0)</f>
        <v>0</v>
      </c>
      <c r="I89" s="73">
        <f>$C89*VLOOKUP($B89,FoodDB!$A$2:$I$1024,8,0)</f>
        <v>0</v>
      </c>
      <c r="J89" s="73">
        <f>$C89*VLOOKUP($B89,FoodDB!$A$2:$I$1024,9,0)</f>
        <v>0</v>
      </c>
      <c r="K89" s="73"/>
      <c r="L89" s="73">
        <f>SUM(G89:G95)</f>
        <v>0</v>
      </c>
      <c r="M89" s="73">
        <f>SUM(H89:H95)</f>
        <v>0</v>
      </c>
      <c r="N89" s="73">
        <f>SUM(I89:I95)</f>
        <v>0</v>
      </c>
      <c r="O89" s="73">
        <f>SUM(L89:N89)</f>
        <v>0</v>
      </c>
      <c r="P89" s="73">
        <f>VLOOKUP($A89,LossChart!$A$3:$AB$73,14,0)-L89</f>
        <v>454.31294902443346</v>
      </c>
      <c r="Q89" s="73">
        <f>VLOOKUP($A89,LossChart!$A$3:$AB$73,15,0)-M89</f>
        <v>80</v>
      </c>
      <c r="R89" s="73">
        <f>VLOOKUP($A89,LossChart!$A$3:$AB$73,16,0)-N89</f>
        <v>463.76562996293683</v>
      </c>
      <c r="S89" s="73">
        <f>VLOOKUP($A89,LossChart!$A$3:$AB$73,17,0)-O89</f>
        <v>998.07857898737029</v>
      </c>
    </row>
    <row r="90" spans="1:19" x14ac:dyDescent="0.25">
      <c r="B90" s="71" t="s">
        <v>95</v>
      </c>
      <c r="C90" s="72">
        <v>1</v>
      </c>
      <c r="D90" s="73">
        <f>$C90*VLOOKUP($B90,FoodDB!$A$2:$I$1024,3,0)</f>
        <v>0</v>
      </c>
      <c r="E90" s="73">
        <f>$C90*VLOOKUP($B90,FoodDB!$A$2:$I$1024,4,0)</f>
        <v>0</v>
      </c>
      <c r="F90" s="73">
        <f>$C90*VLOOKUP($B90,FoodDB!$A$2:$I$1024,5,0)</f>
        <v>0</v>
      </c>
      <c r="G90" s="73">
        <f>$C90*VLOOKUP($B90,FoodDB!$A$2:$I$1024,6,0)</f>
        <v>0</v>
      </c>
      <c r="H90" s="73">
        <f>$C90*VLOOKUP($B90,FoodDB!$A$2:$I$1024,7,0)</f>
        <v>0</v>
      </c>
      <c r="I90" s="73">
        <f>$C90*VLOOKUP($B90,FoodDB!$A$2:$I$1024,8,0)</f>
        <v>0</v>
      </c>
      <c r="J90" s="73">
        <f>$C90*VLOOKUP($B90,FoodDB!$A$2:$I$1024,9,0)</f>
        <v>0</v>
      </c>
      <c r="K90" s="73"/>
      <c r="L90" s="73"/>
      <c r="M90" s="73"/>
      <c r="N90" s="73"/>
      <c r="O90" s="73"/>
      <c r="P90" s="73"/>
      <c r="Q90" s="73"/>
      <c r="R90" s="73"/>
      <c r="S90" s="73"/>
    </row>
    <row r="91" spans="1:19" x14ac:dyDescent="0.25">
      <c r="B91" s="71" t="s">
        <v>95</v>
      </c>
      <c r="C91" s="72">
        <v>1</v>
      </c>
      <c r="D91" s="73">
        <f>$C91*VLOOKUP($B91,FoodDB!$A$2:$I$1024,3,0)</f>
        <v>0</v>
      </c>
      <c r="E91" s="73">
        <f>$C91*VLOOKUP($B91,FoodDB!$A$2:$I$1024,4,0)</f>
        <v>0</v>
      </c>
      <c r="F91" s="73">
        <f>$C91*VLOOKUP($B91,FoodDB!$A$2:$I$1024,5,0)</f>
        <v>0</v>
      </c>
      <c r="G91" s="73">
        <f>$C91*VLOOKUP($B91,FoodDB!$A$2:$I$1024,6,0)</f>
        <v>0</v>
      </c>
      <c r="H91" s="73">
        <f>$C91*VLOOKUP($B91,FoodDB!$A$2:$I$1024,7,0)</f>
        <v>0</v>
      </c>
      <c r="I91" s="73">
        <f>$C91*VLOOKUP($B91,FoodDB!$A$2:$I$1024,8,0)</f>
        <v>0</v>
      </c>
      <c r="J91" s="73">
        <f>$C91*VLOOKUP($B91,FoodDB!$A$2:$I$1024,9,0)</f>
        <v>0</v>
      </c>
      <c r="K91" s="73"/>
      <c r="L91" s="73"/>
      <c r="M91" s="73"/>
      <c r="N91" s="73"/>
      <c r="O91" s="73"/>
      <c r="P91" s="73"/>
      <c r="Q91" s="73"/>
      <c r="R91" s="73"/>
      <c r="S91" s="73"/>
    </row>
    <row r="92" spans="1:19" x14ac:dyDescent="0.25">
      <c r="B92" s="71" t="s">
        <v>95</v>
      </c>
      <c r="C92" s="72">
        <v>1</v>
      </c>
      <c r="D92" s="73">
        <f>$C92*VLOOKUP($B92,FoodDB!$A$2:$I$1024,3,0)</f>
        <v>0</v>
      </c>
      <c r="E92" s="73">
        <f>$C92*VLOOKUP($B92,FoodDB!$A$2:$I$1024,4,0)</f>
        <v>0</v>
      </c>
      <c r="F92" s="73">
        <f>$C92*VLOOKUP($B92,FoodDB!$A$2:$I$1024,5,0)</f>
        <v>0</v>
      </c>
      <c r="G92" s="73">
        <f>$C92*VLOOKUP($B92,FoodDB!$A$2:$I$1024,6,0)</f>
        <v>0</v>
      </c>
      <c r="H92" s="73">
        <f>$C92*VLOOKUP($B92,FoodDB!$A$2:$I$1024,7,0)</f>
        <v>0</v>
      </c>
      <c r="I92" s="73">
        <f>$C92*VLOOKUP($B92,FoodDB!$A$2:$I$1024,8,0)</f>
        <v>0</v>
      </c>
      <c r="J92" s="73">
        <f>$C92*VLOOKUP($B92,FoodDB!$A$2:$I$1024,9,0)</f>
        <v>0</v>
      </c>
      <c r="K92" s="73"/>
      <c r="L92" s="73"/>
      <c r="M92" s="73"/>
      <c r="N92" s="73"/>
      <c r="O92" s="73"/>
      <c r="P92" s="73"/>
      <c r="Q92" s="73"/>
      <c r="R92" s="73"/>
      <c r="S92" s="73"/>
    </row>
    <row r="93" spans="1:19" x14ac:dyDescent="0.25">
      <c r="B93" s="71" t="s">
        <v>95</v>
      </c>
      <c r="C93" s="72">
        <v>1</v>
      </c>
      <c r="D93" s="73">
        <f>$C93*VLOOKUP($B93,FoodDB!$A$2:$I$1024,3,0)</f>
        <v>0</v>
      </c>
      <c r="E93" s="73">
        <f>$C93*VLOOKUP($B93,FoodDB!$A$2:$I$1024,4,0)</f>
        <v>0</v>
      </c>
      <c r="F93" s="73">
        <f>$C93*VLOOKUP($B93,FoodDB!$A$2:$I$1024,5,0)</f>
        <v>0</v>
      </c>
      <c r="G93" s="73">
        <f>$C93*VLOOKUP($B93,FoodDB!$A$2:$I$1024,6,0)</f>
        <v>0</v>
      </c>
      <c r="H93" s="73">
        <f>$C93*VLOOKUP($B93,FoodDB!$A$2:$I$1024,7,0)</f>
        <v>0</v>
      </c>
      <c r="I93" s="73">
        <f>$C93*VLOOKUP($B93,FoodDB!$A$2:$I$1024,8,0)</f>
        <v>0</v>
      </c>
      <c r="J93" s="73">
        <f>$C93*VLOOKUP($B93,FoodDB!$A$2:$I$1024,9,0)</f>
        <v>0</v>
      </c>
      <c r="K93" s="73"/>
      <c r="L93" s="73"/>
      <c r="M93" s="73"/>
      <c r="N93" s="73"/>
      <c r="O93" s="73"/>
      <c r="P93" s="73"/>
      <c r="Q93" s="73"/>
      <c r="R93" s="73"/>
      <c r="S93" s="73"/>
    </row>
    <row r="94" spans="1:19" x14ac:dyDescent="0.25">
      <c r="B94" s="71" t="s">
        <v>95</v>
      </c>
      <c r="C94" s="72">
        <v>1</v>
      </c>
      <c r="D94" s="73">
        <f>$C94*VLOOKUP($B94,FoodDB!$A$2:$I$1024,3,0)</f>
        <v>0</v>
      </c>
      <c r="E94" s="73">
        <f>$C94*VLOOKUP($B94,FoodDB!$A$2:$I$1024,4,0)</f>
        <v>0</v>
      </c>
      <c r="F94" s="73">
        <f>$C94*VLOOKUP($B94,FoodDB!$A$2:$I$1024,5,0)</f>
        <v>0</v>
      </c>
      <c r="G94" s="73">
        <f>$C94*VLOOKUP($B94,FoodDB!$A$2:$I$1024,6,0)</f>
        <v>0</v>
      </c>
      <c r="H94" s="73">
        <f>$C94*VLOOKUP($B94,FoodDB!$A$2:$I$1024,7,0)</f>
        <v>0</v>
      </c>
      <c r="I94" s="73">
        <f>$C94*VLOOKUP($B94,FoodDB!$A$2:$I$1024,8,0)</f>
        <v>0</v>
      </c>
      <c r="J94" s="73">
        <f>$C94*VLOOKUP($B94,FoodDB!$A$2:$I$1024,9,0)</f>
        <v>0</v>
      </c>
      <c r="K94" s="73"/>
      <c r="L94" s="73"/>
      <c r="M94" s="73"/>
      <c r="N94" s="73"/>
      <c r="O94" s="73"/>
      <c r="P94" s="73"/>
      <c r="Q94" s="73"/>
      <c r="R94" s="73"/>
      <c r="S94" s="73"/>
    </row>
    <row r="95" spans="1:19" x14ac:dyDescent="0.25">
      <c r="B95" s="71" t="s">
        <v>95</v>
      </c>
      <c r="C95" s="72">
        <v>1</v>
      </c>
      <c r="D95" s="73">
        <f>$C95*VLOOKUP($B95,FoodDB!$A$2:$I$1024,3,0)</f>
        <v>0</v>
      </c>
      <c r="E95" s="73">
        <f>$C95*VLOOKUP($B95,FoodDB!$A$2:$I$1024,4,0)</f>
        <v>0</v>
      </c>
      <c r="F95" s="73">
        <f>$C95*VLOOKUP($B95,FoodDB!$A$2:$I$1024,5,0)</f>
        <v>0</v>
      </c>
      <c r="G95" s="73">
        <f>$C95*VLOOKUP($B95,FoodDB!$A$2:$I$1024,6,0)</f>
        <v>0</v>
      </c>
      <c r="H95" s="73">
        <f>$C95*VLOOKUP($B95,FoodDB!$A$2:$I$1024,7,0)</f>
        <v>0</v>
      </c>
      <c r="I95" s="73">
        <f>$C95*VLOOKUP($B95,FoodDB!$A$2:$I$1024,8,0)</f>
        <v>0</v>
      </c>
      <c r="J95" s="73">
        <f>$C95*VLOOKUP($B95,FoodDB!$A$2:$I$1024,9,0)</f>
        <v>0</v>
      </c>
      <c r="K95" s="73"/>
      <c r="L95" s="73"/>
      <c r="M95" s="73"/>
      <c r="N95" s="73"/>
      <c r="O95" s="73"/>
      <c r="P95" s="73"/>
      <c r="Q95" s="73"/>
      <c r="R95" s="73"/>
      <c r="S95" s="73"/>
    </row>
    <row r="96" spans="1:19" x14ac:dyDescent="0.25">
      <c r="A96" t="s">
        <v>99</v>
      </c>
      <c r="D96" s="73"/>
      <c r="E96" s="73"/>
      <c r="F96" s="73"/>
      <c r="G96" s="73">
        <f>SUM(G89:G95)</f>
        <v>0</v>
      </c>
      <c r="H96" s="73">
        <f>SUM(H89:H95)</f>
        <v>0</v>
      </c>
      <c r="I96" s="73">
        <f>SUM(I89:I95)</f>
        <v>0</v>
      </c>
      <c r="J96" s="73">
        <f>SUM(G96:I96)</f>
        <v>0</v>
      </c>
      <c r="K96" s="73"/>
      <c r="L96" s="73"/>
      <c r="M96" s="73"/>
      <c r="N96" s="73"/>
      <c r="O96" s="73"/>
      <c r="P96" s="73"/>
      <c r="Q96" s="73"/>
      <c r="R96" s="73"/>
      <c r="S96" s="73"/>
    </row>
    <row r="97" spans="1:19" x14ac:dyDescent="0.25">
      <c r="A97" t="s">
        <v>100</v>
      </c>
      <c r="B97" t="s">
        <v>101</v>
      </c>
      <c r="D97" s="73"/>
      <c r="E97" s="73"/>
      <c r="F97" s="73"/>
      <c r="G97" s="73">
        <f>VLOOKUP($A89,LossChart!$A$3:$AB$73,14,0)</f>
        <v>454.31294902443346</v>
      </c>
      <c r="H97" s="73">
        <f>VLOOKUP($A89,LossChart!$A$3:$AB$73,15,0)</f>
        <v>80</v>
      </c>
      <c r="I97" s="73">
        <f>VLOOKUP($A89,LossChart!$A$3:$AB$73,16,0)</f>
        <v>463.76562996293683</v>
      </c>
      <c r="J97" s="73">
        <f>VLOOKUP($A89,LossChart!$A$3:$AB$73,17,0)</f>
        <v>998.07857898737029</v>
      </c>
      <c r="K97" s="73"/>
      <c r="L97" s="73"/>
      <c r="M97" s="73"/>
      <c r="N97" s="73"/>
      <c r="O97" s="73"/>
      <c r="P97" s="73"/>
      <c r="Q97" s="73"/>
      <c r="R97" s="73"/>
      <c r="S97" s="73"/>
    </row>
    <row r="98" spans="1:19" x14ac:dyDescent="0.25">
      <c r="A98" t="s">
        <v>102</v>
      </c>
      <c r="D98" s="73"/>
      <c r="E98" s="73"/>
      <c r="F98" s="73"/>
      <c r="G98" s="73">
        <f>G97-G96</f>
        <v>454.31294902443346</v>
      </c>
      <c r="H98" s="73">
        <f>H97-H96</f>
        <v>80</v>
      </c>
      <c r="I98" s="73">
        <f>I97-I96</f>
        <v>463.76562996293683</v>
      </c>
      <c r="J98" s="73">
        <f>J97-J96</f>
        <v>998.07857898737029</v>
      </c>
      <c r="K98" s="73"/>
      <c r="L98" s="73"/>
      <c r="M98" s="73"/>
      <c r="N98" s="73"/>
      <c r="O98" s="73"/>
      <c r="P98" s="73"/>
      <c r="Q98" s="73"/>
      <c r="R98" s="73"/>
      <c r="S98" s="73"/>
    </row>
    <row r="100" spans="1:19" ht="60" x14ac:dyDescent="0.25">
      <c r="A100" s="25" t="s">
        <v>63</v>
      </c>
      <c r="B100" s="25" t="s">
        <v>80</v>
      </c>
      <c r="C100" s="25" t="s">
        <v>81</v>
      </c>
      <c r="D100" s="69" t="str">
        <f>FoodDB!$C$1</f>
        <v>Fat
(g)</v>
      </c>
      <c r="E100" s="69" t="str">
        <f>FoodDB!$D$1</f>
        <v xml:space="preserve"> Net
Carbs
(g)</v>
      </c>
      <c r="F100" s="69" t="str">
        <f>FoodDB!$E$1</f>
        <v>Protein
(g)</v>
      </c>
      <c r="G100" s="69" t="str">
        <f>FoodDB!$F$1</f>
        <v>Fat
(Cal)</v>
      </c>
      <c r="H100" s="69" t="str">
        <f>FoodDB!$G$1</f>
        <v>Carb
(Cal)</v>
      </c>
      <c r="I100" s="69" t="str">
        <f>FoodDB!$H$1</f>
        <v>Protein
(Cal)</v>
      </c>
      <c r="J100" s="69" t="str">
        <f>FoodDB!$I$1</f>
        <v>Total
Calories</v>
      </c>
      <c r="K100" s="69"/>
      <c r="L100" s="69" t="s">
        <v>82</v>
      </c>
      <c r="M100" s="69" t="s">
        <v>83</v>
      </c>
      <c r="N100" s="69" t="s">
        <v>84</v>
      </c>
      <c r="O100" s="69" t="s">
        <v>85</v>
      </c>
      <c r="P100" s="69" t="s">
        <v>86</v>
      </c>
      <c r="Q100" s="69" t="s">
        <v>87</v>
      </c>
      <c r="R100" s="69" t="s">
        <v>88</v>
      </c>
      <c r="S100" s="69" t="s">
        <v>89</v>
      </c>
    </row>
    <row r="101" spans="1:19" x14ac:dyDescent="0.25">
      <c r="A101" s="70">
        <f>A89+1</f>
        <v>43039</v>
      </c>
      <c r="B101" s="71" t="s">
        <v>95</v>
      </c>
      <c r="C101" s="72">
        <v>1</v>
      </c>
      <c r="D101" s="73">
        <f>$C101*VLOOKUP($B101,FoodDB!$A$2:$I$1024,3,0)</f>
        <v>0</v>
      </c>
      <c r="E101" s="73">
        <f>$C101*VLOOKUP($B101,FoodDB!$A$2:$I$1024,4,0)</f>
        <v>0</v>
      </c>
      <c r="F101" s="73">
        <f>$C101*VLOOKUP($B101,FoodDB!$A$2:$I$1024,5,0)</f>
        <v>0</v>
      </c>
      <c r="G101" s="73">
        <f>$C101*VLOOKUP($B101,FoodDB!$A$2:$I$1024,6,0)</f>
        <v>0</v>
      </c>
      <c r="H101" s="73">
        <f>$C101*VLOOKUP($B101,FoodDB!$A$2:$I$1024,7,0)</f>
        <v>0</v>
      </c>
      <c r="I101" s="73">
        <f>$C101*VLOOKUP($B101,FoodDB!$A$2:$I$1024,8,0)</f>
        <v>0</v>
      </c>
      <c r="J101" s="73">
        <f>$C101*VLOOKUP($B101,FoodDB!$A$2:$I$1024,9,0)</f>
        <v>0</v>
      </c>
      <c r="K101" s="73"/>
      <c r="L101" s="73">
        <f>SUM(G101:G107)</f>
        <v>0</v>
      </c>
      <c r="M101" s="73">
        <f>SUM(H101:H107)</f>
        <v>0</v>
      </c>
      <c r="N101" s="73">
        <f>SUM(I101:I107)</f>
        <v>0</v>
      </c>
      <c r="O101" s="73">
        <f>SUM(L101:N101)</f>
        <v>0</v>
      </c>
      <c r="P101" s="73">
        <f>VLOOKUP($A101,LossChart!$A$3:$AB$73,14,0)-L101</f>
        <v>461.70281408230267</v>
      </c>
      <c r="Q101" s="73">
        <f>VLOOKUP($A101,LossChart!$A$3:$AB$73,15,0)-M101</f>
        <v>80</v>
      </c>
      <c r="R101" s="73">
        <f>VLOOKUP($A101,LossChart!$A$3:$AB$73,16,0)-N101</f>
        <v>463.76562996293683</v>
      </c>
      <c r="S101" s="73">
        <f>VLOOKUP($A101,LossChart!$A$3:$AB$73,17,0)-O101</f>
        <v>1005.4684440452395</v>
      </c>
    </row>
    <row r="102" spans="1:19" x14ac:dyDescent="0.25">
      <c r="B102" s="71" t="s">
        <v>95</v>
      </c>
      <c r="C102" s="72">
        <v>1</v>
      </c>
      <c r="D102" s="73">
        <f>$C102*VLOOKUP($B102,FoodDB!$A$2:$I$1024,3,0)</f>
        <v>0</v>
      </c>
      <c r="E102" s="73">
        <f>$C102*VLOOKUP($B102,FoodDB!$A$2:$I$1024,4,0)</f>
        <v>0</v>
      </c>
      <c r="F102" s="73">
        <f>$C102*VLOOKUP($B102,FoodDB!$A$2:$I$1024,5,0)</f>
        <v>0</v>
      </c>
      <c r="G102" s="73">
        <f>$C102*VLOOKUP($B102,FoodDB!$A$2:$I$1024,6,0)</f>
        <v>0</v>
      </c>
      <c r="H102" s="73">
        <f>$C102*VLOOKUP($B102,FoodDB!$A$2:$I$1024,7,0)</f>
        <v>0</v>
      </c>
      <c r="I102" s="73">
        <f>$C102*VLOOKUP($B102,FoodDB!$A$2:$I$1024,8,0)</f>
        <v>0</v>
      </c>
      <c r="J102" s="73">
        <f>$C102*VLOOKUP($B102,FoodDB!$A$2:$I$1024,9,0)</f>
        <v>0</v>
      </c>
      <c r="K102" s="73"/>
      <c r="L102" s="73"/>
      <c r="M102" s="73"/>
      <c r="N102" s="73"/>
      <c r="O102" s="73"/>
      <c r="P102" s="73"/>
      <c r="Q102" s="73"/>
      <c r="R102" s="73"/>
      <c r="S102" s="73"/>
    </row>
    <row r="103" spans="1:19" x14ac:dyDescent="0.25">
      <c r="B103" s="71" t="s">
        <v>95</v>
      </c>
      <c r="C103" s="72">
        <v>1</v>
      </c>
      <c r="D103" s="73">
        <f>$C103*VLOOKUP($B103,FoodDB!$A$2:$I$1024,3,0)</f>
        <v>0</v>
      </c>
      <c r="E103" s="73">
        <f>$C103*VLOOKUP($B103,FoodDB!$A$2:$I$1024,4,0)</f>
        <v>0</v>
      </c>
      <c r="F103" s="73">
        <f>$C103*VLOOKUP($B103,FoodDB!$A$2:$I$1024,5,0)</f>
        <v>0</v>
      </c>
      <c r="G103" s="73">
        <f>$C103*VLOOKUP($B103,FoodDB!$A$2:$I$1024,6,0)</f>
        <v>0</v>
      </c>
      <c r="H103" s="73">
        <f>$C103*VLOOKUP($B103,FoodDB!$A$2:$I$1024,7,0)</f>
        <v>0</v>
      </c>
      <c r="I103" s="73">
        <f>$C103*VLOOKUP($B103,FoodDB!$A$2:$I$1024,8,0)</f>
        <v>0</v>
      </c>
      <c r="J103" s="73">
        <f>$C103*VLOOKUP($B103,FoodDB!$A$2:$I$1024,9,0)</f>
        <v>0</v>
      </c>
      <c r="K103" s="73"/>
      <c r="L103" s="73"/>
      <c r="M103" s="73"/>
      <c r="N103" s="73"/>
      <c r="O103" s="73"/>
      <c r="P103" s="73"/>
      <c r="Q103" s="73"/>
      <c r="R103" s="73"/>
      <c r="S103" s="73"/>
    </row>
    <row r="104" spans="1:19" x14ac:dyDescent="0.25">
      <c r="B104" s="71" t="s">
        <v>95</v>
      </c>
      <c r="C104" s="72">
        <v>1</v>
      </c>
      <c r="D104" s="73">
        <f>$C104*VLOOKUP($B104,FoodDB!$A$2:$I$1024,3,0)</f>
        <v>0</v>
      </c>
      <c r="E104" s="73">
        <f>$C104*VLOOKUP($B104,FoodDB!$A$2:$I$1024,4,0)</f>
        <v>0</v>
      </c>
      <c r="F104" s="73">
        <f>$C104*VLOOKUP($B104,FoodDB!$A$2:$I$1024,5,0)</f>
        <v>0</v>
      </c>
      <c r="G104" s="73">
        <f>$C104*VLOOKUP($B104,FoodDB!$A$2:$I$1024,6,0)</f>
        <v>0</v>
      </c>
      <c r="H104" s="73">
        <f>$C104*VLOOKUP($B104,FoodDB!$A$2:$I$1024,7,0)</f>
        <v>0</v>
      </c>
      <c r="I104" s="73">
        <f>$C104*VLOOKUP($B104,FoodDB!$A$2:$I$1024,8,0)</f>
        <v>0</v>
      </c>
      <c r="J104" s="73">
        <f>$C104*VLOOKUP($B104,FoodDB!$A$2:$I$1024,9,0)</f>
        <v>0</v>
      </c>
      <c r="K104" s="73"/>
      <c r="L104" s="73"/>
      <c r="M104" s="73"/>
      <c r="N104" s="73"/>
      <c r="O104" s="73"/>
      <c r="P104" s="73"/>
      <c r="Q104" s="73"/>
      <c r="R104" s="73"/>
      <c r="S104" s="73"/>
    </row>
    <row r="105" spans="1:19" x14ac:dyDescent="0.25">
      <c r="B105" s="71" t="s">
        <v>95</v>
      </c>
      <c r="C105" s="72">
        <v>1</v>
      </c>
      <c r="D105" s="73">
        <f>$C105*VLOOKUP($B105,FoodDB!$A$2:$I$1024,3,0)</f>
        <v>0</v>
      </c>
      <c r="E105" s="73">
        <f>$C105*VLOOKUP($B105,FoodDB!$A$2:$I$1024,4,0)</f>
        <v>0</v>
      </c>
      <c r="F105" s="73">
        <f>$C105*VLOOKUP($B105,FoodDB!$A$2:$I$1024,5,0)</f>
        <v>0</v>
      </c>
      <c r="G105" s="73">
        <f>$C105*VLOOKUP($B105,FoodDB!$A$2:$I$1024,6,0)</f>
        <v>0</v>
      </c>
      <c r="H105" s="73">
        <f>$C105*VLOOKUP($B105,FoodDB!$A$2:$I$1024,7,0)</f>
        <v>0</v>
      </c>
      <c r="I105" s="73">
        <f>$C105*VLOOKUP($B105,FoodDB!$A$2:$I$1024,8,0)</f>
        <v>0</v>
      </c>
      <c r="J105" s="73">
        <f>$C105*VLOOKUP($B105,FoodDB!$A$2:$I$1024,9,0)</f>
        <v>0</v>
      </c>
      <c r="K105" s="73"/>
      <c r="L105" s="73"/>
      <c r="M105" s="73"/>
      <c r="N105" s="73"/>
      <c r="O105" s="73"/>
      <c r="P105" s="73"/>
      <c r="Q105" s="73"/>
      <c r="R105" s="73"/>
      <c r="S105" s="73"/>
    </row>
    <row r="106" spans="1:19" x14ac:dyDescent="0.25">
      <c r="B106" s="71" t="s">
        <v>95</v>
      </c>
      <c r="C106" s="72">
        <v>1</v>
      </c>
      <c r="D106" s="73">
        <f>$C106*VLOOKUP($B106,FoodDB!$A$2:$I$1024,3,0)</f>
        <v>0</v>
      </c>
      <c r="E106" s="73">
        <f>$C106*VLOOKUP($B106,FoodDB!$A$2:$I$1024,4,0)</f>
        <v>0</v>
      </c>
      <c r="F106" s="73">
        <f>$C106*VLOOKUP($B106,FoodDB!$A$2:$I$1024,5,0)</f>
        <v>0</v>
      </c>
      <c r="G106" s="73">
        <f>$C106*VLOOKUP($B106,FoodDB!$A$2:$I$1024,6,0)</f>
        <v>0</v>
      </c>
      <c r="H106" s="73">
        <f>$C106*VLOOKUP($B106,FoodDB!$A$2:$I$1024,7,0)</f>
        <v>0</v>
      </c>
      <c r="I106" s="73">
        <f>$C106*VLOOKUP($B106,FoodDB!$A$2:$I$1024,8,0)</f>
        <v>0</v>
      </c>
      <c r="J106" s="73">
        <f>$C106*VLOOKUP($B106,FoodDB!$A$2:$I$1024,9,0)</f>
        <v>0</v>
      </c>
      <c r="K106" s="73"/>
      <c r="L106" s="73"/>
      <c r="M106" s="73"/>
      <c r="N106" s="73"/>
      <c r="O106" s="73"/>
      <c r="P106" s="73"/>
      <c r="Q106" s="73"/>
      <c r="R106" s="73"/>
      <c r="S106" s="73"/>
    </row>
    <row r="107" spans="1:19" x14ac:dyDescent="0.25">
      <c r="B107" s="71" t="s">
        <v>95</v>
      </c>
      <c r="C107" s="72">
        <v>1</v>
      </c>
      <c r="D107" s="73">
        <f>$C107*VLOOKUP($B107,FoodDB!$A$2:$I$1024,3,0)</f>
        <v>0</v>
      </c>
      <c r="E107" s="73">
        <f>$C107*VLOOKUP($B107,FoodDB!$A$2:$I$1024,4,0)</f>
        <v>0</v>
      </c>
      <c r="F107" s="73">
        <f>$C107*VLOOKUP($B107,FoodDB!$A$2:$I$1024,5,0)</f>
        <v>0</v>
      </c>
      <c r="G107" s="73">
        <f>$C107*VLOOKUP($B107,FoodDB!$A$2:$I$1024,6,0)</f>
        <v>0</v>
      </c>
      <c r="H107" s="73">
        <f>$C107*VLOOKUP($B107,FoodDB!$A$2:$I$1024,7,0)</f>
        <v>0</v>
      </c>
      <c r="I107" s="73">
        <f>$C107*VLOOKUP($B107,FoodDB!$A$2:$I$1024,8,0)</f>
        <v>0</v>
      </c>
      <c r="J107" s="73">
        <f>$C107*VLOOKUP($B107,FoodDB!$A$2:$I$1024,9,0)</f>
        <v>0</v>
      </c>
      <c r="K107" s="73"/>
      <c r="L107" s="73"/>
      <c r="M107" s="73"/>
      <c r="N107" s="73"/>
      <c r="O107" s="73"/>
      <c r="P107" s="73"/>
      <c r="Q107" s="73"/>
      <c r="R107" s="73"/>
      <c r="S107" s="73"/>
    </row>
    <row r="108" spans="1:19" x14ac:dyDescent="0.25">
      <c r="A108" t="s">
        <v>99</v>
      </c>
      <c r="D108" s="73"/>
      <c r="E108" s="73"/>
      <c r="F108" s="73"/>
      <c r="G108" s="73">
        <f>SUM(G101:G107)</f>
        <v>0</v>
      </c>
      <c r="H108" s="73">
        <f>SUM(H101:H107)</f>
        <v>0</v>
      </c>
      <c r="I108" s="73">
        <f>SUM(I101:I107)</f>
        <v>0</v>
      </c>
      <c r="J108" s="73">
        <f>SUM(G108:I108)</f>
        <v>0</v>
      </c>
      <c r="K108" s="73"/>
      <c r="L108" s="73"/>
      <c r="M108" s="73"/>
      <c r="N108" s="73"/>
      <c r="O108" s="73"/>
      <c r="P108" s="73"/>
      <c r="Q108" s="73"/>
      <c r="R108" s="73"/>
      <c r="S108" s="73"/>
    </row>
    <row r="109" spans="1:19" x14ac:dyDescent="0.25">
      <c r="A109" t="s">
        <v>100</v>
      </c>
      <c r="B109" t="s">
        <v>101</v>
      </c>
      <c r="D109" s="73"/>
      <c r="E109" s="73"/>
      <c r="F109" s="73"/>
      <c r="G109" s="73">
        <f>VLOOKUP($A101,LossChart!$A$3:$AB$73,14,0)</f>
        <v>461.70281408230267</v>
      </c>
      <c r="H109" s="73">
        <f>VLOOKUP($A101,LossChart!$A$3:$AB$73,15,0)</f>
        <v>80</v>
      </c>
      <c r="I109" s="73">
        <f>VLOOKUP($A101,LossChart!$A$3:$AB$73,16,0)</f>
        <v>463.76562996293683</v>
      </c>
      <c r="J109" s="73">
        <f>VLOOKUP($A101,LossChart!$A$3:$AB$73,17,0)</f>
        <v>1005.4684440452395</v>
      </c>
      <c r="K109" s="73"/>
      <c r="L109" s="73"/>
      <c r="M109" s="73"/>
      <c r="N109" s="73"/>
      <c r="O109" s="73"/>
      <c r="P109" s="73"/>
      <c r="Q109" s="73"/>
      <c r="R109" s="73"/>
      <c r="S109" s="73"/>
    </row>
    <row r="110" spans="1:19" x14ac:dyDescent="0.25">
      <c r="A110" t="s">
        <v>102</v>
      </c>
      <c r="D110" s="73"/>
      <c r="E110" s="73"/>
      <c r="F110" s="73"/>
      <c r="G110" s="73">
        <f>G109-G108</f>
        <v>461.70281408230267</v>
      </c>
      <c r="H110" s="73">
        <f>H109-H108</f>
        <v>80</v>
      </c>
      <c r="I110" s="73">
        <f>I109-I108</f>
        <v>463.76562996293683</v>
      </c>
      <c r="J110" s="73">
        <f>J109-J108</f>
        <v>1005.4684440452395</v>
      </c>
      <c r="K110" s="73"/>
      <c r="L110" s="73"/>
      <c r="M110" s="73"/>
      <c r="N110" s="73"/>
      <c r="O110" s="73"/>
      <c r="P110" s="73"/>
      <c r="Q110" s="73"/>
      <c r="R110" s="73"/>
      <c r="S110" s="73"/>
    </row>
    <row r="112" spans="1:19" ht="60" x14ac:dyDescent="0.25">
      <c r="A112" s="25" t="s">
        <v>63</v>
      </c>
      <c r="B112" s="25" t="s">
        <v>80</v>
      </c>
      <c r="C112" s="25" t="s">
        <v>81</v>
      </c>
      <c r="D112" s="69" t="str">
        <f>FoodDB!$C$1</f>
        <v>Fat
(g)</v>
      </c>
      <c r="E112" s="69" t="str">
        <f>FoodDB!$D$1</f>
        <v xml:space="preserve"> Net
Carbs
(g)</v>
      </c>
      <c r="F112" s="69" t="str">
        <f>FoodDB!$E$1</f>
        <v>Protein
(g)</v>
      </c>
      <c r="G112" s="69" t="str">
        <f>FoodDB!$F$1</f>
        <v>Fat
(Cal)</v>
      </c>
      <c r="H112" s="69" t="str">
        <f>FoodDB!$G$1</f>
        <v>Carb
(Cal)</v>
      </c>
      <c r="I112" s="69" t="str">
        <f>FoodDB!$H$1</f>
        <v>Protein
(Cal)</v>
      </c>
      <c r="J112" s="69" t="str">
        <f>FoodDB!$I$1</f>
        <v>Total
Calories</v>
      </c>
      <c r="K112" s="69"/>
      <c r="L112" s="69" t="s">
        <v>82</v>
      </c>
      <c r="M112" s="69" t="s">
        <v>83</v>
      </c>
      <c r="N112" s="69" t="s">
        <v>84</v>
      </c>
      <c r="O112" s="69" t="s">
        <v>85</v>
      </c>
      <c r="P112" s="69" t="s">
        <v>86</v>
      </c>
      <c r="Q112" s="69" t="s">
        <v>87</v>
      </c>
      <c r="R112" s="69" t="s">
        <v>88</v>
      </c>
      <c r="S112" s="69" t="s">
        <v>89</v>
      </c>
    </row>
    <row r="113" spans="1:19" x14ac:dyDescent="0.25">
      <c r="A113" s="70">
        <f>A101+1</f>
        <v>43040</v>
      </c>
      <c r="B113" s="71" t="s">
        <v>95</v>
      </c>
      <c r="C113" s="72">
        <v>1</v>
      </c>
      <c r="D113" s="73">
        <f>$C113*VLOOKUP($B113,FoodDB!$A$2:$I$1024,3,0)</f>
        <v>0</v>
      </c>
      <c r="E113" s="73">
        <f>$C113*VLOOKUP($B113,FoodDB!$A$2:$I$1024,4,0)</f>
        <v>0</v>
      </c>
      <c r="F113" s="73">
        <f>$C113*VLOOKUP($B113,FoodDB!$A$2:$I$1024,5,0)</f>
        <v>0</v>
      </c>
      <c r="G113" s="73">
        <f>$C113*VLOOKUP($B113,FoodDB!$A$2:$I$1024,6,0)</f>
        <v>0</v>
      </c>
      <c r="H113" s="73">
        <f>$C113*VLOOKUP($B113,FoodDB!$A$2:$I$1024,7,0)</f>
        <v>0</v>
      </c>
      <c r="I113" s="73">
        <f>$C113*VLOOKUP($B113,FoodDB!$A$2:$I$1024,8,0)</f>
        <v>0</v>
      </c>
      <c r="J113" s="73">
        <f>$C113*VLOOKUP($B113,FoodDB!$A$2:$I$1024,9,0)</f>
        <v>0</v>
      </c>
      <c r="K113" s="73"/>
      <c r="L113" s="73">
        <f>SUM(G113:G119)</f>
        <v>0</v>
      </c>
      <c r="M113" s="73">
        <f>SUM(H113:H119)</f>
        <v>0</v>
      </c>
      <c r="N113" s="73">
        <f>SUM(I113:I119)</f>
        <v>0</v>
      </c>
      <c r="O113" s="73">
        <f>SUM(L113:N113)</f>
        <v>0</v>
      </c>
      <c r="P113" s="73">
        <f>VLOOKUP($A113,LossChart!$A$3:$AB$73,14,0)-L113</f>
        <v>469.02722604966016</v>
      </c>
      <c r="Q113" s="73">
        <f>VLOOKUP($A113,LossChart!$A$3:$AB$73,15,0)-M113</f>
        <v>80</v>
      </c>
      <c r="R113" s="73">
        <f>VLOOKUP($A113,LossChart!$A$3:$AB$73,16,0)-N113</f>
        <v>463.76562996293683</v>
      </c>
      <c r="S113" s="73">
        <f>VLOOKUP($A113,LossChart!$A$3:$AB$73,17,0)-O113</f>
        <v>1012.792856012597</v>
      </c>
    </row>
    <row r="114" spans="1:19" x14ac:dyDescent="0.25">
      <c r="B114" s="71" t="s">
        <v>95</v>
      </c>
      <c r="C114" s="72">
        <v>1</v>
      </c>
      <c r="D114" s="73">
        <f>$C114*VLOOKUP($B114,FoodDB!$A$2:$I$1024,3,0)</f>
        <v>0</v>
      </c>
      <c r="E114" s="73">
        <f>$C114*VLOOKUP($B114,FoodDB!$A$2:$I$1024,4,0)</f>
        <v>0</v>
      </c>
      <c r="F114" s="73">
        <f>$C114*VLOOKUP($B114,FoodDB!$A$2:$I$1024,5,0)</f>
        <v>0</v>
      </c>
      <c r="G114" s="73">
        <f>$C114*VLOOKUP($B114,FoodDB!$A$2:$I$1024,6,0)</f>
        <v>0</v>
      </c>
      <c r="H114" s="73">
        <f>$C114*VLOOKUP($B114,FoodDB!$A$2:$I$1024,7,0)</f>
        <v>0</v>
      </c>
      <c r="I114" s="73">
        <f>$C114*VLOOKUP($B114,FoodDB!$A$2:$I$1024,8,0)</f>
        <v>0</v>
      </c>
      <c r="J114" s="73">
        <f>$C114*VLOOKUP($B114,FoodDB!$A$2:$I$1024,9,0)</f>
        <v>0</v>
      </c>
      <c r="K114" s="73"/>
      <c r="L114" s="73"/>
      <c r="M114" s="73"/>
      <c r="N114" s="73"/>
      <c r="O114" s="73"/>
      <c r="P114" s="73"/>
      <c r="Q114" s="73"/>
      <c r="R114" s="73"/>
      <c r="S114" s="73"/>
    </row>
    <row r="115" spans="1:19" x14ac:dyDescent="0.25">
      <c r="B115" s="71" t="s">
        <v>95</v>
      </c>
      <c r="C115" s="72">
        <v>1</v>
      </c>
      <c r="D115" s="73">
        <f>$C115*VLOOKUP($B115,FoodDB!$A$2:$I$1024,3,0)</f>
        <v>0</v>
      </c>
      <c r="E115" s="73">
        <f>$C115*VLOOKUP($B115,FoodDB!$A$2:$I$1024,4,0)</f>
        <v>0</v>
      </c>
      <c r="F115" s="73">
        <f>$C115*VLOOKUP($B115,FoodDB!$A$2:$I$1024,5,0)</f>
        <v>0</v>
      </c>
      <c r="G115" s="73">
        <f>$C115*VLOOKUP($B115,FoodDB!$A$2:$I$1024,6,0)</f>
        <v>0</v>
      </c>
      <c r="H115" s="73">
        <f>$C115*VLOOKUP($B115,FoodDB!$A$2:$I$1024,7,0)</f>
        <v>0</v>
      </c>
      <c r="I115" s="73">
        <f>$C115*VLOOKUP($B115,FoodDB!$A$2:$I$1024,8,0)</f>
        <v>0</v>
      </c>
      <c r="J115" s="73">
        <f>$C115*VLOOKUP($B115,FoodDB!$A$2:$I$1024,9,0)</f>
        <v>0</v>
      </c>
      <c r="K115" s="73"/>
      <c r="L115" s="73"/>
      <c r="M115" s="73"/>
      <c r="N115" s="73"/>
      <c r="O115" s="73"/>
      <c r="P115" s="73"/>
      <c r="Q115" s="73"/>
      <c r="R115" s="73"/>
      <c r="S115" s="73"/>
    </row>
    <row r="116" spans="1:19" x14ac:dyDescent="0.25">
      <c r="B116" s="71" t="s">
        <v>95</v>
      </c>
      <c r="C116" s="72">
        <v>1</v>
      </c>
      <c r="D116" s="73">
        <f>$C116*VLOOKUP($B116,FoodDB!$A$2:$I$1024,3,0)</f>
        <v>0</v>
      </c>
      <c r="E116" s="73">
        <f>$C116*VLOOKUP($B116,FoodDB!$A$2:$I$1024,4,0)</f>
        <v>0</v>
      </c>
      <c r="F116" s="73">
        <f>$C116*VLOOKUP($B116,FoodDB!$A$2:$I$1024,5,0)</f>
        <v>0</v>
      </c>
      <c r="G116" s="73">
        <f>$C116*VLOOKUP($B116,FoodDB!$A$2:$I$1024,6,0)</f>
        <v>0</v>
      </c>
      <c r="H116" s="73">
        <f>$C116*VLOOKUP($B116,FoodDB!$A$2:$I$1024,7,0)</f>
        <v>0</v>
      </c>
      <c r="I116" s="73">
        <f>$C116*VLOOKUP($B116,FoodDB!$A$2:$I$1024,8,0)</f>
        <v>0</v>
      </c>
      <c r="J116" s="73">
        <f>$C116*VLOOKUP($B116,FoodDB!$A$2:$I$1024,9,0)</f>
        <v>0</v>
      </c>
      <c r="K116" s="73"/>
      <c r="L116" s="73"/>
      <c r="M116" s="73"/>
      <c r="N116" s="73"/>
      <c r="O116" s="73"/>
      <c r="P116" s="73"/>
      <c r="Q116" s="73"/>
      <c r="R116" s="73"/>
      <c r="S116" s="73"/>
    </row>
    <row r="117" spans="1:19" x14ac:dyDescent="0.25">
      <c r="B117" s="71" t="s">
        <v>95</v>
      </c>
      <c r="C117" s="72">
        <v>1</v>
      </c>
      <c r="D117" s="73">
        <f>$C117*VLOOKUP($B117,FoodDB!$A$2:$I$1024,3,0)</f>
        <v>0</v>
      </c>
      <c r="E117" s="73">
        <f>$C117*VLOOKUP($B117,FoodDB!$A$2:$I$1024,4,0)</f>
        <v>0</v>
      </c>
      <c r="F117" s="73">
        <f>$C117*VLOOKUP($B117,FoodDB!$A$2:$I$1024,5,0)</f>
        <v>0</v>
      </c>
      <c r="G117" s="73">
        <f>$C117*VLOOKUP($B117,FoodDB!$A$2:$I$1024,6,0)</f>
        <v>0</v>
      </c>
      <c r="H117" s="73">
        <f>$C117*VLOOKUP($B117,FoodDB!$A$2:$I$1024,7,0)</f>
        <v>0</v>
      </c>
      <c r="I117" s="73">
        <f>$C117*VLOOKUP($B117,FoodDB!$A$2:$I$1024,8,0)</f>
        <v>0</v>
      </c>
      <c r="J117" s="73">
        <f>$C117*VLOOKUP($B117,FoodDB!$A$2:$I$1024,9,0)</f>
        <v>0</v>
      </c>
      <c r="K117" s="73"/>
      <c r="L117" s="73"/>
      <c r="M117" s="73"/>
      <c r="N117" s="73"/>
      <c r="O117" s="73"/>
      <c r="P117" s="73"/>
      <c r="Q117" s="73"/>
      <c r="R117" s="73"/>
      <c r="S117" s="73"/>
    </row>
    <row r="118" spans="1:19" x14ac:dyDescent="0.25">
      <c r="B118" s="71" t="s">
        <v>95</v>
      </c>
      <c r="C118" s="72">
        <v>1</v>
      </c>
      <c r="D118" s="73">
        <f>$C118*VLOOKUP($B118,FoodDB!$A$2:$I$1024,3,0)</f>
        <v>0</v>
      </c>
      <c r="E118" s="73">
        <f>$C118*VLOOKUP($B118,FoodDB!$A$2:$I$1024,4,0)</f>
        <v>0</v>
      </c>
      <c r="F118" s="73">
        <f>$C118*VLOOKUP($B118,FoodDB!$A$2:$I$1024,5,0)</f>
        <v>0</v>
      </c>
      <c r="G118" s="73">
        <f>$C118*VLOOKUP($B118,FoodDB!$A$2:$I$1024,6,0)</f>
        <v>0</v>
      </c>
      <c r="H118" s="73">
        <f>$C118*VLOOKUP($B118,FoodDB!$A$2:$I$1024,7,0)</f>
        <v>0</v>
      </c>
      <c r="I118" s="73">
        <f>$C118*VLOOKUP($B118,FoodDB!$A$2:$I$1024,8,0)</f>
        <v>0</v>
      </c>
      <c r="J118" s="73">
        <f>$C118*VLOOKUP($B118,FoodDB!$A$2:$I$1024,9,0)</f>
        <v>0</v>
      </c>
      <c r="K118" s="73"/>
      <c r="L118" s="73"/>
      <c r="M118" s="73"/>
      <c r="N118" s="73"/>
      <c r="O118" s="73"/>
      <c r="P118" s="73"/>
      <c r="Q118" s="73"/>
      <c r="R118" s="73"/>
      <c r="S118" s="73"/>
    </row>
    <row r="119" spans="1:19" x14ac:dyDescent="0.25">
      <c r="B119" s="71" t="s">
        <v>95</v>
      </c>
      <c r="C119" s="72">
        <v>1</v>
      </c>
      <c r="D119" s="73">
        <f>$C119*VLOOKUP($B119,FoodDB!$A$2:$I$1024,3,0)</f>
        <v>0</v>
      </c>
      <c r="E119" s="73">
        <f>$C119*VLOOKUP($B119,FoodDB!$A$2:$I$1024,4,0)</f>
        <v>0</v>
      </c>
      <c r="F119" s="73">
        <f>$C119*VLOOKUP($B119,FoodDB!$A$2:$I$1024,5,0)</f>
        <v>0</v>
      </c>
      <c r="G119" s="73">
        <f>$C119*VLOOKUP($B119,FoodDB!$A$2:$I$1024,6,0)</f>
        <v>0</v>
      </c>
      <c r="H119" s="73">
        <f>$C119*VLOOKUP($B119,FoodDB!$A$2:$I$1024,7,0)</f>
        <v>0</v>
      </c>
      <c r="I119" s="73">
        <f>$C119*VLOOKUP($B119,FoodDB!$A$2:$I$1024,8,0)</f>
        <v>0</v>
      </c>
      <c r="J119" s="73">
        <f>$C119*VLOOKUP($B119,FoodDB!$A$2:$I$1024,9,0)</f>
        <v>0</v>
      </c>
      <c r="K119" s="73"/>
      <c r="L119" s="73"/>
      <c r="M119" s="73"/>
      <c r="N119" s="73"/>
      <c r="O119" s="73"/>
      <c r="P119" s="73"/>
      <c r="Q119" s="73"/>
      <c r="R119" s="73"/>
      <c r="S119" s="73"/>
    </row>
    <row r="120" spans="1:19" x14ac:dyDescent="0.25">
      <c r="A120" t="s">
        <v>99</v>
      </c>
      <c r="D120" s="73"/>
      <c r="E120" s="73"/>
      <c r="F120" s="73"/>
      <c r="G120" s="73">
        <f>SUM(G113:G119)</f>
        <v>0</v>
      </c>
      <c r="H120" s="73">
        <f>SUM(H113:H119)</f>
        <v>0</v>
      </c>
      <c r="I120" s="73">
        <f>SUM(I113:I119)</f>
        <v>0</v>
      </c>
      <c r="J120" s="73">
        <f>SUM(G120:I120)</f>
        <v>0</v>
      </c>
      <c r="K120" s="73"/>
      <c r="L120" s="73"/>
      <c r="M120" s="73"/>
      <c r="N120" s="73"/>
      <c r="O120" s="73"/>
      <c r="P120" s="73"/>
      <c r="Q120" s="73"/>
      <c r="R120" s="73"/>
      <c r="S120" s="73"/>
    </row>
    <row r="121" spans="1:19" x14ac:dyDescent="0.25">
      <c r="A121" t="s">
        <v>100</v>
      </c>
      <c r="B121" t="s">
        <v>101</v>
      </c>
      <c r="D121" s="73"/>
      <c r="E121" s="73"/>
      <c r="F121" s="73"/>
      <c r="G121" s="73">
        <f>VLOOKUP($A113,LossChart!$A$3:$AB$73,14,0)</f>
        <v>469.02722604966016</v>
      </c>
      <c r="H121" s="73">
        <f>VLOOKUP($A113,LossChart!$A$3:$AB$73,15,0)</f>
        <v>80</v>
      </c>
      <c r="I121" s="73">
        <f>VLOOKUP($A113,LossChart!$A$3:$AB$73,16,0)</f>
        <v>463.76562996293683</v>
      </c>
      <c r="J121" s="73">
        <f>VLOOKUP($A113,LossChart!$A$3:$AB$73,17,0)</f>
        <v>1012.792856012597</v>
      </c>
      <c r="K121" s="73"/>
      <c r="L121" s="73"/>
      <c r="M121" s="73"/>
      <c r="N121" s="73"/>
      <c r="O121" s="73"/>
      <c r="P121" s="73"/>
      <c r="Q121" s="73"/>
      <c r="R121" s="73"/>
      <c r="S121" s="73"/>
    </row>
    <row r="122" spans="1:19" x14ac:dyDescent="0.25">
      <c r="A122" t="s">
        <v>102</v>
      </c>
      <c r="D122" s="73"/>
      <c r="E122" s="73"/>
      <c r="F122" s="73"/>
      <c r="G122" s="73">
        <f>G121-G120</f>
        <v>469.02722604966016</v>
      </c>
      <c r="H122" s="73">
        <f>H121-H120</f>
        <v>80</v>
      </c>
      <c r="I122" s="73">
        <f>I121-I120</f>
        <v>463.76562996293683</v>
      </c>
      <c r="J122" s="73">
        <f>J121-J120</f>
        <v>1012.792856012597</v>
      </c>
      <c r="K122" s="73"/>
      <c r="L122" s="73"/>
      <c r="M122" s="73"/>
      <c r="N122" s="73"/>
      <c r="O122" s="73"/>
      <c r="P122" s="73"/>
      <c r="Q122" s="73"/>
      <c r="R122" s="73"/>
      <c r="S122" s="73"/>
    </row>
    <row r="124" spans="1:19" ht="60" x14ac:dyDescent="0.25">
      <c r="A124" s="25" t="s">
        <v>63</v>
      </c>
      <c r="B124" s="25" t="s">
        <v>80</v>
      </c>
      <c r="C124" s="25" t="s">
        <v>81</v>
      </c>
      <c r="D124" s="69" t="str">
        <f>FoodDB!$C$1</f>
        <v>Fat
(g)</v>
      </c>
      <c r="E124" s="69" t="str">
        <f>FoodDB!$D$1</f>
        <v xml:space="preserve"> Net
Carbs
(g)</v>
      </c>
      <c r="F124" s="69" t="str">
        <f>FoodDB!$E$1</f>
        <v>Protein
(g)</v>
      </c>
      <c r="G124" s="69" t="str">
        <f>FoodDB!$F$1</f>
        <v>Fat
(Cal)</v>
      </c>
      <c r="H124" s="69" t="str">
        <f>FoodDB!$G$1</f>
        <v>Carb
(Cal)</v>
      </c>
      <c r="I124" s="69" t="str">
        <f>FoodDB!$H$1</f>
        <v>Protein
(Cal)</v>
      </c>
      <c r="J124" s="69" t="str">
        <f>FoodDB!$I$1</f>
        <v>Total
Calories</v>
      </c>
      <c r="K124" s="69"/>
      <c r="L124" s="69" t="s">
        <v>82</v>
      </c>
      <c r="M124" s="69" t="s">
        <v>83</v>
      </c>
      <c r="N124" s="69" t="s">
        <v>84</v>
      </c>
      <c r="O124" s="69" t="s">
        <v>85</v>
      </c>
      <c r="P124" s="69" t="s">
        <v>86</v>
      </c>
      <c r="Q124" s="69" t="s">
        <v>87</v>
      </c>
      <c r="R124" s="69" t="s">
        <v>88</v>
      </c>
      <c r="S124" s="69" t="s">
        <v>89</v>
      </c>
    </row>
    <row r="125" spans="1:19" x14ac:dyDescent="0.25">
      <c r="A125" s="70">
        <f>A113+1</f>
        <v>43041</v>
      </c>
      <c r="B125" s="71" t="s">
        <v>95</v>
      </c>
      <c r="C125" s="72">
        <v>1</v>
      </c>
      <c r="D125" s="73">
        <f>$C125*VLOOKUP($B125,FoodDB!$A$2:$I$1024,3,0)</f>
        <v>0</v>
      </c>
      <c r="E125" s="73">
        <f>$C125*VLOOKUP($B125,FoodDB!$A$2:$I$1024,4,0)</f>
        <v>0</v>
      </c>
      <c r="F125" s="73">
        <f>$C125*VLOOKUP($B125,FoodDB!$A$2:$I$1024,5,0)</f>
        <v>0</v>
      </c>
      <c r="G125" s="73">
        <f>$C125*VLOOKUP($B125,FoodDB!$A$2:$I$1024,6,0)</f>
        <v>0</v>
      </c>
      <c r="H125" s="73">
        <f>$C125*VLOOKUP($B125,FoodDB!$A$2:$I$1024,7,0)</f>
        <v>0</v>
      </c>
      <c r="I125" s="73">
        <f>$C125*VLOOKUP($B125,FoodDB!$A$2:$I$1024,8,0)</f>
        <v>0</v>
      </c>
      <c r="J125" s="73">
        <f>$C125*VLOOKUP($B125,FoodDB!$A$2:$I$1024,9,0)</f>
        <v>0</v>
      </c>
      <c r="K125" s="73"/>
      <c r="L125" s="73">
        <f>SUM(G125:G131)</f>
        <v>0</v>
      </c>
      <c r="M125" s="73">
        <f>SUM(H125:H131)</f>
        <v>0</v>
      </c>
      <c r="N125" s="73">
        <f>SUM(I125:I131)</f>
        <v>0</v>
      </c>
      <c r="O125" s="73">
        <f>SUM(L125:N125)</f>
        <v>0</v>
      </c>
      <c r="P125" s="73">
        <f>VLOOKUP($A125,LossChart!$A$3:$AB$73,14,0)-L125</f>
        <v>476.28676465387775</v>
      </c>
      <c r="Q125" s="73">
        <f>VLOOKUP($A125,LossChart!$A$3:$AB$73,15,0)-M125</f>
        <v>80</v>
      </c>
      <c r="R125" s="73">
        <f>VLOOKUP($A125,LossChart!$A$3:$AB$73,16,0)-N125</f>
        <v>463.76562996293683</v>
      </c>
      <c r="S125" s="73">
        <f>VLOOKUP($A125,LossChart!$A$3:$AB$73,17,0)-O125</f>
        <v>1020.0523946168146</v>
      </c>
    </row>
    <row r="126" spans="1:19" x14ac:dyDescent="0.25">
      <c r="B126" s="71" t="s">
        <v>95</v>
      </c>
      <c r="C126" s="72">
        <v>1</v>
      </c>
      <c r="D126" s="73">
        <f>$C126*VLOOKUP($B126,FoodDB!$A$2:$I$1024,3,0)</f>
        <v>0</v>
      </c>
      <c r="E126" s="73">
        <f>$C126*VLOOKUP($B126,FoodDB!$A$2:$I$1024,4,0)</f>
        <v>0</v>
      </c>
      <c r="F126" s="73">
        <f>$C126*VLOOKUP($B126,FoodDB!$A$2:$I$1024,5,0)</f>
        <v>0</v>
      </c>
      <c r="G126" s="73">
        <f>$C126*VLOOKUP($B126,FoodDB!$A$2:$I$1024,6,0)</f>
        <v>0</v>
      </c>
      <c r="H126" s="73">
        <f>$C126*VLOOKUP($B126,FoodDB!$A$2:$I$1024,7,0)</f>
        <v>0</v>
      </c>
      <c r="I126" s="73">
        <f>$C126*VLOOKUP($B126,FoodDB!$A$2:$I$1024,8,0)</f>
        <v>0</v>
      </c>
      <c r="J126" s="73">
        <f>$C126*VLOOKUP($B126,FoodDB!$A$2:$I$1024,9,0)</f>
        <v>0</v>
      </c>
      <c r="K126" s="73"/>
      <c r="L126" s="73"/>
      <c r="M126" s="73"/>
      <c r="N126" s="73"/>
      <c r="O126" s="73"/>
      <c r="P126" s="73"/>
      <c r="Q126" s="73"/>
      <c r="R126" s="73"/>
      <c r="S126" s="73"/>
    </row>
    <row r="127" spans="1:19" x14ac:dyDescent="0.25">
      <c r="B127" s="71" t="s">
        <v>95</v>
      </c>
      <c r="C127" s="72">
        <v>1</v>
      </c>
      <c r="D127" s="73">
        <f>$C127*VLOOKUP($B127,FoodDB!$A$2:$I$1024,3,0)</f>
        <v>0</v>
      </c>
      <c r="E127" s="73">
        <f>$C127*VLOOKUP($B127,FoodDB!$A$2:$I$1024,4,0)</f>
        <v>0</v>
      </c>
      <c r="F127" s="73">
        <f>$C127*VLOOKUP($B127,FoodDB!$A$2:$I$1024,5,0)</f>
        <v>0</v>
      </c>
      <c r="G127" s="73">
        <f>$C127*VLOOKUP($B127,FoodDB!$A$2:$I$1024,6,0)</f>
        <v>0</v>
      </c>
      <c r="H127" s="73">
        <f>$C127*VLOOKUP($B127,FoodDB!$A$2:$I$1024,7,0)</f>
        <v>0</v>
      </c>
      <c r="I127" s="73">
        <f>$C127*VLOOKUP($B127,FoodDB!$A$2:$I$1024,8,0)</f>
        <v>0</v>
      </c>
      <c r="J127" s="73">
        <f>$C127*VLOOKUP($B127,FoodDB!$A$2:$I$1024,9,0)</f>
        <v>0</v>
      </c>
      <c r="K127" s="73"/>
      <c r="L127" s="73"/>
      <c r="M127" s="73"/>
      <c r="N127" s="73"/>
      <c r="O127" s="73"/>
      <c r="P127" s="73"/>
      <c r="Q127" s="73"/>
      <c r="R127" s="73"/>
      <c r="S127" s="73"/>
    </row>
    <row r="128" spans="1:19" x14ac:dyDescent="0.25">
      <c r="B128" s="71" t="s">
        <v>95</v>
      </c>
      <c r="C128" s="72">
        <v>1</v>
      </c>
      <c r="D128" s="73">
        <f>$C128*VLOOKUP($B128,FoodDB!$A$2:$I$1024,3,0)</f>
        <v>0</v>
      </c>
      <c r="E128" s="73">
        <f>$C128*VLOOKUP($B128,FoodDB!$A$2:$I$1024,4,0)</f>
        <v>0</v>
      </c>
      <c r="F128" s="73">
        <f>$C128*VLOOKUP($B128,FoodDB!$A$2:$I$1024,5,0)</f>
        <v>0</v>
      </c>
      <c r="G128" s="73">
        <f>$C128*VLOOKUP($B128,FoodDB!$A$2:$I$1024,6,0)</f>
        <v>0</v>
      </c>
      <c r="H128" s="73">
        <f>$C128*VLOOKUP($B128,FoodDB!$A$2:$I$1024,7,0)</f>
        <v>0</v>
      </c>
      <c r="I128" s="73">
        <f>$C128*VLOOKUP($B128,FoodDB!$A$2:$I$1024,8,0)</f>
        <v>0</v>
      </c>
      <c r="J128" s="73">
        <f>$C128*VLOOKUP($B128,FoodDB!$A$2:$I$1024,9,0)</f>
        <v>0</v>
      </c>
      <c r="K128" s="73"/>
      <c r="L128" s="73"/>
      <c r="M128" s="73"/>
      <c r="N128" s="73"/>
      <c r="O128" s="73"/>
      <c r="P128" s="73"/>
      <c r="Q128" s="73"/>
      <c r="R128" s="73"/>
      <c r="S128" s="73"/>
    </row>
    <row r="129" spans="1:19" x14ac:dyDescent="0.25">
      <c r="B129" s="71" t="s">
        <v>95</v>
      </c>
      <c r="C129" s="72">
        <v>1</v>
      </c>
      <c r="D129" s="73">
        <f>$C129*VLOOKUP($B129,FoodDB!$A$2:$I$1024,3,0)</f>
        <v>0</v>
      </c>
      <c r="E129" s="73">
        <f>$C129*VLOOKUP($B129,FoodDB!$A$2:$I$1024,4,0)</f>
        <v>0</v>
      </c>
      <c r="F129" s="73">
        <f>$C129*VLOOKUP($B129,FoodDB!$A$2:$I$1024,5,0)</f>
        <v>0</v>
      </c>
      <c r="G129" s="73">
        <f>$C129*VLOOKUP($B129,FoodDB!$A$2:$I$1024,6,0)</f>
        <v>0</v>
      </c>
      <c r="H129" s="73">
        <f>$C129*VLOOKUP($B129,FoodDB!$A$2:$I$1024,7,0)</f>
        <v>0</v>
      </c>
      <c r="I129" s="73">
        <f>$C129*VLOOKUP($B129,FoodDB!$A$2:$I$1024,8,0)</f>
        <v>0</v>
      </c>
      <c r="J129" s="73">
        <f>$C129*VLOOKUP($B129,FoodDB!$A$2:$I$1024,9,0)</f>
        <v>0</v>
      </c>
      <c r="K129" s="73"/>
      <c r="L129" s="73"/>
      <c r="M129" s="73"/>
      <c r="N129" s="73"/>
      <c r="O129" s="73"/>
      <c r="P129" s="73"/>
      <c r="Q129" s="73"/>
      <c r="R129" s="73"/>
      <c r="S129" s="73"/>
    </row>
    <row r="130" spans="1:19" x14ac:dyDescent="0.25">
      <c r="B130" s="71" t="s">
        <v>95</v>
      </c>
      <c r="C130" s="72">
        <v>1</v>
      </c>
      <c r="D130" s="73">
        <f>$C130*VLOOKUP($B130,FoodDB!$A$2:$I$1024,3,0)</f>
        <v>0</v>
      </c>
      <c r="E130" s="73">
        <f>$C130*VLOOKUP($B130,FoodDB!$A$2:$I$1024,4,0)</f>
        <v>0</v>
      </c>
      <c r="F130" s="73">
        <f>$C130*VLOOKUP($B130,FoodDB!$A$2:$I$1024,5,0)</f>
        <v>0</v>
      </c>
      <c r="G130" s="73">
        <f>$C130*VLOOKUP($B130,FoodDB!$A$2:$I$1024,6,0)</f>
        <v>0</v>
      </c>
      <c r="H130" s="73">
        <f>$C130*VLOOKUP($B130,FoodDB!$A$2:$I$1024,7,0)</f>
        <v>0</v>
      </c>
      <c r="I130" s="73">
        <f>$C130*VLOOKUP($B130,FoodDB!$A$2:$I$1024,8,0)</f>
        <v>0</v>
      </c>
      <c r="J130" s="73">
        <f>$C130*VLOOKUP($B130,FoodDB!$A$2:$I$1024,9,0)</f>
        <v>0</v>
      </c>
      <c r="K130" s="73"/>
      <c r="L130" s="73"/>
      <c r="M130" s="73"/>
      <c r="N130" s="73"/>
      <c r="O130" s="73"/>
      <c r="P130" s="73"/>
      <c r="Q130" s="73"/>
      <c r="R130" s="73"/>
      <c r="S130" s="73"/>
    </row>
    <row r="131" spans="1:19" x14ac:dyDescent="0.25">
      <c r="B131" s="71" t="s">
        <v>95</v>
      </c>
      <c r="C131" s="72">
        <v>1</v>
      </c>
      <c r="D131" s="73">
        <f>$C131*VLOOKUP($B131,FoodDB!$A$2:$I$1024,3,0)</f>
        <v>0</v>
      </c>
      <c r="E131" s="73">
        <f>$C131*VLOOKUP($B131,FoodDB!$A$2:$I$1024,4,0)</f>
        <v>0</v>
      </c>
      <c r="F131" s="73">
        <f>$C131*VLOOKUP($B131,FoodDB!$A$2:$I$1024,5,0)</f>
        <v>0</v>
      </c>
      <c r="G131" s="73">
        <f>$C131*VLOOKUP($B131,FoodDB!$A$2:$I$1024,6,0)</f>
        <v>0</v>
      </c>
      <c r="H131" s="73">
        <f>$C131*VLOOKUP($B131,FoodDB!$A$2:$I$1024,7,0)</f>
        <v>0</v>
      </c>
      <c r="I131" s="73">
        <f>$C131*VLOOKUP($B131,FoodDB!$A$2:$I$1024,8,0)</f>
        <v>0</v>
      </c>
      <c r="J131" s="73">
        <f>$C131*VLOOKUP($B131,FoodDB!$A$2:$I$1024,9,0)</f>
        <v>0</v>
      </c>
      <c r="K131" s="73"/>
      <c r="L131" s="73"/>
      <c r="M131" s="73"/>
      <c r="N131" s="73"/>
      <c r="O131" s="73"/>
      <c r="P131" s="73"/>
      <c r="Q131" s="73"/>
      <c r="R131" s="73"/>
      <c r="S131" s="73"/>
    </row>
    <row r="132" spans="1:19" x14ac:dyDescent="0.25">
      <c r="A132" t="s">
        <v>99</v>
      </c>
      <c r="D132" s="73"/>
      <c r="E132" s="73"/>
      <c r="F132" s="73"/>
      <c r="G132" s="73">
        <f>SUM(G125:G131)</f>
        <v>0</v>
      </c>
      <c r="H132" s="73">
        <f>SUM(H125:H131)</f>
        <v>0</v>
      </c>
      <c r="I132" s="73">
        <f>SUM(I125:I131)</f>
        <v>0</v>
      </c>
      <c r="J132" s="73">
        <f>SUM(G132:I132)</f>
        <v>0</v>
      </c>
      <c r="K132" s="73"/>
      <c r="L132" s="73"/>
      <c r="M132" s="73"/>
      <c r="N132" s="73"/>
      <c r="O132" s="73"/>
      <c r="P132" s="73"/>
      <c r="Q132" s="73"/>
      <c r="R132" s="73"/>
      <c r="S132" s="73"/>
    </row>
    <row r="133" spans="1:19" x14ac:dyDescent="0.25">
      <c r="A133" t="s">
        <v>100</v>
      </c>
      <c r="B133" t="s">
        <v>101</v>
      </c>
      <c r="D133" s="73"/>
      <c r="E133" s="73"/>
      <c r="F133" s="73"/>
      <c r="G133" s="73">
        <f>VLOOKUP($A125,LossChart!$A$3:$AB$73,14,0)</f>
        <v>476.28676465387775</v>
      </c>
      <c r="H133" s="73">
        <f>VLOOKUP($A125,LossChart!$A$3:$AB$73,15,0)</f>
        <v>80</v>
      </c>
      <c r="I133" s="73">
        <f>VLOOKUP($A125,LossChart!$A$3:$AB$73,16,0)</f>
        <v>463.76562996293683</v>
      </c>
      <c r="J133" s="73">
        <f>VLOOKUP($A125,LossChart!$A$3:$AB$73,17,0)</f>
        <v>1020.0523946168146</v>
      </c>
      <c r="K133" s="73"/>
      <c r="L133" s="73"/>
      <c r="M133" s="73"/>
      <c r="N133" s="73"/>
      <c r="O133" s="73"/>
      <c r="P133" s="73"/>
      <c r="Q133" s="73"/>
      <c r="R133" s="73"/>
      <c r="S133" s="73"/>
    </row>
    <row r="134" spans="1:19" x14ac:dyDescent="0.25">
      <c r="A134" t="s">
        <v>102</v>
      </c>
      <c r="D134" s="73"/>
      <c r="E134" s="73"/>
      <c r="F134" s="73"/>
      <c r="G134" s="73">
        <f>G133-G132</f>
        <v>476.28676465387775</v>
      </c>
      <c r="H134" s="73">
        <f>H133-H132</f>
        <v>80</v>
      </c>
      <c r="I134" s="73">
        <f>I133-I132</f>
        <v>463.76562996293683</v>
      </c>
      <c r="J134" s="73">
        <f>J133-J132</f>
        <v>1020.0523946168146</v>
      </c>
      <c r="K134" s="73"/>
      <c r="L134" s="73"/>
      <c r="M134" s="73"/>
      <c r="N134" s="73"/>
      <c r="O134" s="73"/>
      <c r="P134" s="73"/>
      <c r="Q134" s="73"/>
      <c r="R134" s="73"/>
      <c r="S134" s="73"/>
    </row>
    <row r="136" spans="1:19" ht="60" x14ac:dyDescent="0.25">
      <c r="A136" s="25" t="s">
        <v>63</v>
      </c>
      <c r="B136" s="25" t="s">
        <v>80</v>
      </c>
      <c r="C136" s="25" t="s">
        <v>81</v>
      </c>
      <c r="D136" s="69" t="str">
        <f>FoodDB!$C$1</f>
        <v>Fat
(g)</v>
      </c>
      <c r="E136" s="69" t="str">
        <f>FoodDB!$D$1</f>
        <v xml:space="preserve"> Net
Carbs
(g)</v>
      </c>
      <c r="F136" s="69" t="str">
        <f>FoodDB!$E$1</f>
        <v>Protein
(g)</v>
      </c>
      <c r="G136" s="69" t="str">
        <f>FoodDB!$F$1</f>
        <v>Fat
(Cal)</v>
      </c>
      <c r="H136" s="69" t="str">
        <f>FoodDB!$G$1</f>
        <v>Carb
(Cal)</v>
      </c>
      <c r="I136" s="69" t="str">
        <f>FoodDB!$H$1</f>
        <v>Protein
(Cal)</v>
      </c>
      <c r="J136" s="69" t="str">
        <f>FoodDB!$I$1</f>
        <v>Total
Calories</v>
      </c>
      <c r="K136" s="69"/>
      <c r="L136" s="69" t="s">
        <v>82</v>
      </c>
      <c r="M136" s="69" t="s">
        <v>83</v>
      </c>
      <c r="N136" s="69" t="s">
        <v>84</v>
      </c>
      <c r="O136" s="69" t="s">
        <v>85</v>
      </c>
      <c r="P136" s="69" t="s">
        <v>86</v>
      </c>
      <c r="Q136" s="69" t="s">
        <v>87</v>
      </c>
      <c r="R136" s="69" t="s">
        <v>88</v>
      </c>
      <c r="S136" s="69" t="s">
        <v>89</v>
      </c>
    </row>
    <row r="137" spans="1:19" x14ac:dyDescent="0.25">
      <c r="A137" s="70">
        <f>A125+1</f>
        <v>43042</v>
      </c>
      <c r="B137" s="71" t="s">
        <v>95</v>
      </c>
      <c r="C137" s="72">
        <v>1</v>
      </c>
      <c r="D137" s="73">
        <f>$C137*VLOOKUP($B137,FoodDB!$A$2:$I$1024,3,0)</f>
        <v>0</v>
      </c>
      <c r="E137" s="73">
        <f>$C137*VLOOKUP($B137,FoodDB!$A$2:$I$1024,4,0)</f>
        <v>0</v>
      </c>
      <c r="F137" s="73">
        <f>$C137*VLOOKUP($B137,FoodDB!$A$2:$I$1024,5,0)</f>
        <v>0</v>
      </c>
      <c r="G137" s="73">
        <f>$C137*VLOOKUP($B137,FoodDB!$A$2:$I$1024,6,0)</f>
        <v>0</v>
      </c>
      <c r="H137" s="73">
        <f>$C137*VLOOKUP($B137,FoodDB!$A$2:$I$1024,7,0)</f>
        <v>0</v>
      </c>
      <c r="I137" s="73">
        <f>$C137*VLOOKUP($B137,FoodDB!$A$2:$I$1024,8,0)</f>
        <v>0</v>
      </c>
      <c r="J137" s="73">
        <f>$C137*VLOOKUP($B137,FoodDB!$A$2:$I$1024,9,0)</f>
        <v>0</v>
      </c>
      <c r="K137" s="73"/>
      <c r="L137" s="73">
        <f>SUM(G137:G143)</f>
        <v>0</v>
      </c>
      <c r="M137" s="73">
        <f>SUM(H137:H143)</f>
        <v>0</v>
      </c>
      <c r="N137" s="73">
        <f>SUM(I137:I143)</f>
        <v>0</v>
      </c>
      <c r="O137" s="73">
        <f>SUM(L137:N137)</f>
        <v>0</v>
      </c>
      <c r="P137" s="73">
        <f>VLOOKUP($A137,LossChart!$A$3:$AB$73,14,0)-L137</f>
        <v>483.48200448760122</v>
      </c>
      <c r="Q137" s="73">
        <f>VLOOKUP($A137,LossChart!$A$3:$AB$73,15,0)-M137</f>
        <v>80</v>
      </c>
      <c r="R137" s="73">
        <f>VLOOKUP($A137,LossChart!$A$3:$AB$73,16,0)-N137</f>
        <v>463.76562996293683</v>
      </c>
      <c r="S137" s="73">
        <f>VLOOKUP($A137,LossChart!$A$3:$AB$73,17,0)-O137</f>
        <v>1027.247634450538</v>
      </c>
    </row>
    <row r="138" spans="1:19" x14ac:dyDescent="0.25">
      <c r="B138" s="71" t="s">
        <v>95</v>
      </c>
      <c r="C138" s="72">
        <v>1</v>
      </c>
      <c r="D138" s="73">
        <f>$C138*VLOOKUP($B138,FoodDB!$A$2:$I$1024,3,0)</f>
        <v>0</v>
      </c>
      <c r="E138" s="73">
        <f>$C138*VLOOKUP($B138,FoodDB!$A$2:$I$1024,4,0)</f>
        <v>0</v>
      </c>
      <c r="F138" s="73">
        <f>$C138*VLOOKUP($B138,FoodDB!$A$2:$I$1024,5,0)</f>
        <v>0</v>
      </c>
      <c r="G138" s="73">
        <f>$C138*VLOOKUP($B138,FoodDB!$A$2:$I$1024,6,0)</f>
        <v>0</v>
      </c>
      <c r="H138" s="73">
        <f>$C138*VLOOKUP($B138,FoodDB!$A$2:$I$1024,7,0)</f>
        <v>0</v>
      </c>
      <c r="I138" s="73">
        <f>$C138*VLOOKUP($B138,FoodDB!$A$2:$I$1024,8,0)</f>
        <v>0</v>
      </c>
      <c r="J138" s="73">
        <f>$C138*VLOOKUP($B138,FoodDB!$A$2:$I$1024,9,0)</f>
        <v>0</v>
      </c>
      <c r="K138" s="73"/>
      <c r="L138" s="73"/>
      <c r="M138" s="73"/>
      <c r="N138" s="73"/>
      <c r="O138" s="73"/>
      <c r="P138" s="73"/>
      <c r="Q138" s="73"/>
      <c r="R138" s="73"/>
      <c r="S138" s="73"/>
    </row>
    <row r="139" spans="1:19" x14ac:dyDescent="0.25">
      <c r="B139" s="71" t="s">
        <v>95</v>
      </c>
      <c r="C139" s="72">
        <v>1</v>
      </c>
      <c r="D139" s="73">
        <f>$C139*VLOOKUP($B139,FoodDB!$A$2:$I$1024,3,0)</f>
        <v>0</v>
      </c>
      <c r="E139" s="73">
        <f>$C139*VLOOKUP($B139,FoodDB!$A$2:$I$1024,4,0)</f>
        <v>0</v>
      </c>
      <c r="F139" s="73">
        <f>$C139*VLOOKUP($B139,FoodDB!$A$2:$I$1024,5,0)</f>
        <v>0</v>
      </c>
      <c r="G139" s="73">
        <f>$C139*VLOOKUP($B139,FoodDB!$A$2:$I$1024,6,0)</f>
        <v>0</v>
      </c>
      <c r="H139" s="73">
        <f>$C139*VLOOKUP($B139,FoodDB!$A$2:$I$1024,7,0)</f>
        <v>0</v>
      </c>
      <c r="I139" s="73">
        <f>$C139*VLOOKUP($B139,FoodDB!$A$2:$I$1024,8,0)</f>
        <v>0</v>
      </c>
      <c r="J139" s="73">
        <f>$C139*VLOOKUP($B139,FoodDB!$A$2:$I$1024,9,0)</f>
        <v>0</v>
      </c>
      <c r="K139" s="73"/>
      <c r="L139" s="73"/>
      <c r="M139" s="73"/>
      <c r="N139" s="73"/>
      <c r="O139" s="73"/>
      <c r="P139" s="73"/>
      <c r="Q139" s="73"/>
      <c r="R139" s="73"/>
      <c r="S139" s="73"/>
    </row>
    <row r="140" spans="1:19" x14ac:dyDescent="0.25">
      <c r="B140" s="71" t="s">
        <v>95</v>
      </c>
      <c r="C140" s="72">
        <v>1</v>
      </c>
      <c r="D140" s="73">
        <f>$C140*VLOOKUP($B140,FoodDB!$A$2:$I$1024,3,0)</f>
        <v>0</v>
      </c>
      <c r="E140" s="73">
        <f>$C140*VLOOKUP($B140,FoodDB!$A$2:$I$1024,4,0)</f>
        <v>0</v>
      </c>
      <c r="F140" s="73">
        <f>$C140*VLOOKUP($B140,FoodDB!$A$2:$I$1024,5,0)</f>
        <v>0</v>
      </c>
      <c r="G140" s="73">
        <f>$C140*VLOOKUP($B140,FoodDB!$A$2:$I$1024,6,0)</f>
        <v>0</v>
      </c>
      <c r="H140" s="73">
        <f>$C140*VLOOKUP($B140,FoodDB!$A$2:$I$1024,7,0)</f>
        <v>0</v>
      </c>
      <c r="I140" s="73">
        <f>$C140*VLOOKUP($B140,FoodDB!$A$2:$I$1024,8,0)</f>
        <v>0</v>
      </c>
      <c r="J140" s="73">
        <f>$C140*VLOOKUP($B140,FoodDB!$A$2:$I$1024,9,0)</f>
        <v>0</v>
      </c>
      <c r="K140" s="73"/>
      <c r="L140" s="73"/>
      <c r="M140" s="73"/>
      <c r="N140" s="73"/>
      <c r="O140" s="73"/>
      <c r="P140" s="73"/>
      <c r="Q140" s="73"/>
      <c r="R140" s="73"/>
      <c r="S140" s="73"/>
    </row>
    <row r="141" spans="1:19" x14ac:dyDescent="0.25">
      <c r="B141" s="71" t="s">
        <v>95</v>
      </c>
      <c r="C141" s="72">
        <v>1</v>
      </c>
      <c r="D141" s="73">
        <f>$C141*VLOOKUP($B141,FoodDB!$A$2:$I$1024,3,0)</f>
        <v>0</v>
      </c>
      <c r="E141" s="73">
        <f>$C141*VLOOKUP($B141,FoodDB!$A$2:$I$1024,4,0)</f>
        <v>0</v>
      </c>
      <c r="F141" s="73">
        <f>$C141*VLOOKUP($B141,FoodDB!$A$2:$I$1024,5,0)</f>
        <v>0</v>
      </c>
      <c r="G141" s="73">
        <f>$C141*VLOOKUP($B141,FoodDB!$A$2:$I$1024,6,0)</f>
        <v>0</v>
      </c>
      <c r="H141" s="73">
        <f>$C141*VLOOKUP($B141,FoodDB!$A$2:$I$1024,7,0)</f>
        <v>0</v>
      </c>
      <c r="I141" s="73">
        <f>$C141*VLOOKUP($B141,FoodDB!$A$2:$I$1024,8,0)</f>
        <v>0</v>
      </c>
      <c r="J141" s="73">
        <f>$C141*VLOOKUP($B141,FoodDB!$A$2:$I$1024,9,0)</f>
        <v>0</v>
      </c>
      <c r="K141" s="73"/>
      <c r="L141" s="73"/>
      <c r="M141" s="73"/>
      <c r="N141" s="73"/>
      <c r="O141" s="73"/>
      <c r="P141" s="73"/>
      <c r="Q141" s="73"/>
      <c r="R141" s="73"/>
      <c r="S141" s="73"/>
    </row>
    <row r="142" spans="1:19" x14ac:dyDescent="0.25">
      <c r="B142" s="71" t="s">
        <v>95</v>
      </c>
      <c r="C142" s="72">
        <v>1</v>
      </c>
      <c r="D142" s="73">
        <f>$C142*VLOOKUP($B142,FoodDB!$A$2:$I$1024,3,0)</f>
        <v>0</v>
      </c>
      <c r="E142" s="73">
        <f>$C142*VLOOKUP($B142,FoodDB!$A$2:$I$1024,4,0)</f>
        <v>0</v>
      </c>
      <c r="F142" s="73">
        <f>$C142*VLOOKUP($B142,FoodDB!$A$2:$I$1024,5,0)</f>
        <v>0</v>
      </c>
      <c r="G142" s="73">
        <f>$C142*VLOOKUP($B142,FoodDB!$A$2:$I$1024,6,0)</f>
        <v>0</v>
      </c>
      <c r="H142" s="73">
        <f>$C142*VLOOKUP($B142,FoodDB!$A$2:$I$1024,7,0)</f>
        <v>0</v>
      </c>
      <c r="I142" s="73">
        <f>$C142*VLOOKUP($B142,FoodDB!$A$2:$I$1024,8,0)</f>
        <v>0</v>
      </c>
      <c r="J142" s="73">
        <f>$C142*VLOOKUP($B142,FoodDB!$A$2:$I$1024,9,0)</f>
        <v>0</v>
      </c>
      <c r="K142" s="73"/>
      <c r="L142" s="73"/>
      <c r="M142" s="73"/>
      <c r="N142" s="73"/>
      <c r="O142" s="73"/>
      <c r="P142" s="73"/>
      <c r="Q142" s="73"/>
      <c r="R142" s="73"/>
      <c r="S142" s="73"/>
    </row>
    <row r="143" spans="1:19" x14ac:dyDescent="0.25">
      <c r="B143" s="71" t="s">
        <v>95</v>
      </c>
      <c r="C143" s="72">
        <v>1</v>
      </c>
      <c r="D143" s="73">
        <f>$C143*VLOOKUP($B143,FoodDB!$A$2:$I$1024,3,0)</f>
        <v>0</v>
      </c>
      <c r="E143" s="73">
        <f>$C143*VLOOKUP($B143,FoodDB!$A$2:$I$1024,4,0)</f>
        <v>0</v>
      </c>
      <c r="F143" s="73">
        <f>$C143*VLOOKUP($B143,FoodDB!$A$2:$I$1024,5,0)</f>
        <v>0</v>
      </c>
      <c r="G143" s="73">
        <f>$C143*VLOOKUP($B143,FoodDB!$A$2:$I$1024,6,0)</f>
        <v>0</v>
      </c>
      <c r="H143" s="73">
        <f>$C143*VLOOKUP($B143,FoodDB!$A$2:$I$1024,7,0)</f>
        <v>0</v>
      </c>
      <c r="I143" s="73">
        <f>$C143*VLOOKUP($B143,FoodDB!$A$2:$I$1024,8,0)</f>
        <v>0</v>
      </c>
      <c r="J143" s="73">
        <f>$C143*VLOOKUP($B143,FoodDB!$A$2:$I$1024,9,0)</f>
        <v>0</v>
      </c>
      <c r="K143" s="73"/>
      <c r="L143" s="73"/>
      <c r="M143" s="73"/>
      <c r="N143" s="73"/>
      <c r="O143" s="73"/>
      <c r="P143" s="73"/>
      <c r="Q143" s="73"/>
      <c r="R143" s="73"/>
      <c r="S143" s="73"/>
    </row>
    <row r="144" spans="1:19" x14ac:dyDescent="0.25">
      <c r="A144" t="s">
        <v>99</v>
      </c>
      <c r="D144" s="73"/>
      <c r="E144" s="73"/>
      <c r="F144" s="73"/>
      <c r="G144" s="73">
        <f>SUM(G137:G143)</f>
        <v>0</v>
      </c>
      <c r="H144" s="73">
        <f>SUM(H137:H143)</f>
        <v>0</v>
      </c>
      <c r="I144" s="73">
        <f>SUM(I137:I143)</f>
        <v>0</v>
      </c>
      <c r="J144" s="73">
        <f>SUM(G144:I144)</f>
        <v>0</v>
      </c>
      <c r="K144" s="73"/>
      <c r="L144" s="73"/>
      <c r="M144" s="73"/>
      <c r="N144" s="73"/>
      <c r="O144" s="73"/>
      <c r="P144" s="73"/>
      <c r="Q144" s="73"/>
      <c r="R144" s="73"/>
      <c r="S144" s="73"/>
    </row>
    <row r="145" spans="1:19" x14ac:dyDescent="0.25">
      <c r="A145" t="s">
        <v>100</v>
      </c>
      <c r="B145" t="s">
        <v>101</v>
      </c>
      <c r="D145" s="73"/>
      <c r="E145" s="73"/>
      <c r="F145" s="73"/>
      <c r="G145" s="73">
        <f>VLOOKUP($A137,LossChart!$A$3:$AB$73,14,0)</f>
        <v>483.48200448760122</v>
      </c>
      <c r="H145" s="73">
        <f>VLOOKUP($A137,LossChart!$A$3:$AB$73,15,0)</f>
        <v>80</v>
      </c>
      <c r="I145" s="73">
        <f>VLOOKUP($A137,LossChart!$A$3:$AB$73,16,0)</f>
        <v>463.76562996293683</v>
      </c>
      <c r="J145" s="73">
        <f>VLOOKUP($A137,LossChart!$A$3:$AB$73,17,0)</f>
        <v>1027.247634450538</v>
      </c>
      <c r="K145" s="73"/>
      <c r="L145" s="73"/>
      <c r="M145" s="73"/>
      <c r="N145" s="73"/>
      <c r="O145" s="73"/>
      <c r="P145" s="73"/>
      <c r="Q145" s="73"/>
      <c r="R145" s="73"/>
      <c r="S145" s="73"/>
    </row>
    <row r="146" spans="1:19" x14ac:dyDescent="0.25">
      <c r="A146" t="s">
        <v>102</v>
      </c>
      <c r="D146" s="73"/>
      <c r="E146" s="73"/>
      <c r="F146" s="73"/>
      <c r="G146" s="73">
        <f>G145-G144</f>
        <v>483.48200448760122</v>
      </c>
      <c r="H146" s="73">
        <f>H145-H144</f>
        <v>80</v>
      </c>
      <c r="I146" s="73">
        <f>I145-I144</f>
        <v>463.76562996293683</v>
      </c>
      <c r="J146" s="73">
        <f>J145-J144</f>
        <v>1027.247634450538</v>
      </c>
      <c r="K146" s="73"/>
      <c r="L146" s="73"/>
      <c r="M146" s="73"/>
      <c r="N146" s="73"/>
      <c r="O146" s="73"/>
      <c r="P146" s="73"/>
      <c r="Q146" s="73"/>
      <c r="R146" s="73"/>
      <c r="S146" s="73"/>
    </row>
    <row r="148" spans="1:19" ht="60" x14ac:dyDescent="0.25">
      <c r="A148" s="25" t="s">
        <v>63</v>
      </c>
      <c r="B148" s="25" t="s">
        <v>80</v>
      </c>
      <c r="C148" s="25" t="s">
        <v>81</v>
      </c>
      <c r="D148" s="69" t="str">
        <f>FoodDB!$C$1</f>
        <v>Fat
(g)</v>
      </c>
      <c r="E148" s="69" t="str">
        <f>FoodDB!$D$1</f>
        <v xml:space="preserve"> Net
Carbs
(g)</v>
      </c>
      <c r="F148" s="69" t="str">
        <f>FoodDB!$E$1</f>
        <v>Protein
(g)</v>
      </c>
      <c r="G148" s="69" t="str">
        <f>FoodDB!$F$1</f>
        <v>Fat
(Cal)</v>
      </c>
      <c r="H148" s="69" t="str">
        <f>FoodDB!$G$1</f>
        <v>Carb
(Cal)</v>
      </c>
      <c r="I148" s="69" t="str">
        <f>FoodDB!$H$1</f>
        <v>Protein
(Cal)</v>
      </c>
      <c r="J148" s="69" t="str">
        <f>FoodDB!$I$1</f>
        <v>Total
Calories</v>
      </c>
      <c r="K148" s="69"/>
      <c r="L148" s="69" t="s">
        <v>82</v>
      </c>
      <c r="M148" s="69" t="s">
        <v>83</v>
      </c>
      <c r="N148" s="69" t="s">
        <v>84</v>
      </c>
      <c r="O148" s="69" t="s">
        <v>85</v>
      </c>
      <c r="P148" s="69" t="s">
        <v>86</v>
      </c>
      <c r="Q148" s="69" t="s">
        <v>87</v>
      </c>
      <c r="R148" s="69" t="s">
        <v>88</v>
      </c>
      <c r="S148" s="69" t="s">
        <v>89</v>
      </c>
    </row>
    <row r="149" spans="1:19" x14ac:dyDescent="0.25">
      <c r="A149" s="70">
        <f>A137+1</f>
        <v>43043</v>
      </c>
      <c r="B149" s="71" t="s">
        <v>95</v>
      </c>
      <c r="C149" s="72">
        <v>1</v>
      </c>
      <c r="D149" s="73">
        <f>$C149*VLOOKUP($B149,FoodDB!$A$2:$I$1024,3,0)</f>
        <v>0</v>
      </c>
      <c r="E149" s="73">
        <f>$C149*VLOOKUP($B149,FoodDB!$A$2:$I$1024,4,0)</f>
        <v>0</v>
      </c>
      <c r="F149" s="73">
        <f>$C149*VLOOKUP($B149,FoodDB!$A$2:$I$1024,5,0)</f>
        <v>0</v>
      </c>
      <c r="G149" s="73">
        <f>$C149*VLOOKUP($B149,FoodDB!$A$2:$I$1024,6,0)</f>
        <v>0</v>
      </c>
      <c r="H149" s="73">
        <f>$C149*VLOOKUP($B149,FoodDB!$A$2:$I$1024,7,0)</f>
        <v>0</v>
      </c>
      <c r="I149" s="73">
        <f>$C149*VLOOKUP($B149,FoodDB!$A$2:$I$1024,8,0)</f>
        <v>0</v>
      </c>
      <c r="J149" s="73">
        <f>$C149*VLOOKUP($B149,FoodDB!$A$2:$I$1024,9,0)</f>
        <v>0</v>
      </c>
      <c r="K149" s="73"/>
      <c r="L149" s="73">
        <f>SUM(G149:G155)</f>
        <v>0</v>
      </c>
      <c r="M149" s="73">
        <f>SUM(H149:H155)</f>
        <v>0</v>
      </c>
      <c r="N149" s="73">
        <f>SUM(I149:I155)</f>
        <v>0</v>
      </c>
      <c r="O149" s="73">
        <f>SUM(L149:N149)</f>
        <v>0</v>
      </c>
      <c r="P149" s="73">
        <f>VLOOKUP($A149,LossChart!$A$3:$AB$73,14,0)-L149</f>
        <v>490.61351505422522</v>
      </c>
      <c r="Q149" s="73">
        <f>VLOOKUP($A149,LossChart!$A$3:$AB$73,15,0)-M149</f>
        <v>80</v>
      </c>
      <c r="R149" s="73">
        <f>VLOOKUP($A149,LossChart!$A$3:$AB$73,16,0)-N149</f>
        <v>463.76562996293683</v>
      </c>
      <c r="S149" s="73">
        <f>VLOOKUP($A149,LossChart!$A$3:$AB$73,17,0)-O149</f>
        <v>1034.379145017162</v>
      </c>
    </row>
    <row r="150" spans="1:19" x14ac:dyDescent="0.25">
      <c r="B150" s="71" t="s">
        <v>95</v>
      </c>
      <c r="C150" s="72">
        <v>1</v>
      </c>
      <c r="D150" s="73">
        <f>$C150*VLOOKUP($B150,FoodDB!$A$2:$I$1024,3,0)</f>
        <v>0</v>
      </c>
      <c r="E150" s="73">
        <f>$C150*VLOOKUP($B150,FoodDB!$A$2:$I$1024,4,0)</f>
        <v>0</v>
      </c>
      <c r="F150" s="73">
        <f>$C150*VLOOKUP($B150,FoodDB!$A$2:$I$1024,5,0)</f>
        <v>0</v>
      </c>
      <c r="G150" s="73">
        <f>$C150*VLOOKUP($B150,FoodDB!$A$2:$I$1024,6,0)</f>
        <v>0</v>
      </c>
      <c r="H150" s="73">
        <f>$C150*VLOOKUP($B150,FoodDB!$A$2:$I$1024,7,0)</f>
        <v>0</v>
      </c>
      <c r="I150" s="73">
        <f>$C150*VLOOKUP($B150,FoodDB!$A$2:$I$1024,8,0)</f>
        <v>0</v>
      </c>
      <c r="J150" s="73">
        <f>$C150*VLOOKUP($B150,FoodDB!$A$2:$I$1024,9,0)</f>
        <v>0</v>
      </c>
      <c r="K150" s="73"/>
      <c r="L150" s="73"/>
      <c r="M150" s="73"/>
      <c r="N150" s="73"/>
      <c r="O150" s="73"/>
      <c r="P150" s="73"/>
      <c r="Q150" s="73"/>
      <c r="R150" s="73"/>
      <c r="S150" s="73"/>
    </row>
    <row r="151" spans="1:19" x14ac:dyDescent="0.25">
      <c r="B151" s="71" t="s">
        <v>95</v>
      </c>
      <c r="C151" s="72">
        <v>1</v>
      </c>
      <c r="D151" s="73">
        <f>$C151*VLOOKUP($B151,FoodDB!$A$2:$I$1024,3,0)</f>
        <v>0</v>
      </c>
      <c r="E151" s="73">
        <f>$C151*VLOOKUP($B151,FoodDB!$A$2:$I$1024,4,0)</f>
        <v>0</v>
      </c>
      <c r="F151" s="73">
        <f>$C151*VLOOKUP($B151,FoodDB!$A$2:$I$1024,5,0)</f>
        <v>0</v>
      </c>
      <c r="G151" s="73">
        <f>$C151*VLOOKUP($B151,FoodDB!$A$2:$I$1024,6,0)</f>
        <v>0</v>
      </c>
      <c r="H151" s="73">
        <f>$C151*VLOOKUP($B151,FoodDB!$A$2:$I$1024,7,0)</f>
        <v>0</v>
      </c>
      <c r="I151" s="73">
        <f>$C151*VLOOKUP($B151,FoodDB!$A$2:$I$1024,8,0)</f>
        <v>0</v>
      </c>
      <c r="J151" s="73">
        <f>$C151*VLOOKUP($B151,FoodDB!$A$2:$I$1024,9,0)</f>
        <v>0</v>
      </c>
      <c r="K151" s="73"/>
      <c r="L151" s="73"/>
      <c r="M151" s="73"/>
      <c r="N151" s="73"/>
      <c r="O151" s="73"/>
      <c r="P151" s="73"/>
      <c r="Q151" s="73"/>
      <c r="R151" s="73"/>
      <c r="S151" s="73"/>
    </row>
    <row r="152" spans="1:19" x14ac:dyDescent="0.25">
      <c r="B152" s="71" t="s">
        <v>95</v>
      </c>
      <c r="C152" s="72">
        <v>1</v>
      </c>
      <c r="D152" s="73">
        <f>$C152*VLOOKUP($B152,FoodDB!$A$2:$I$1024,3,0)</f>
        <v>0</v>
      </c>
      <c r="E152" s="73">
        <f>$C152*VLOOKUP($B152,FoodDB!$A$2:$I$1024,4,0)</f>
        <v>0</v>
      </c>
      <c r="F152" s="73">
        <f>$C152*VLOOKUP($B152,FoodDB!$A$2:$I$1024,5,0)</f>
        <v>0</v>
      </c>
      <c r="G152" s="73">
        <f>$C152*VLOOKUP($B152,FoodDB!$A$2:$I$1024,6,0)</f>
        <v>0</v>
      </c>
      <c r="H152" s="73">
        <f>$C152*VLOOKUP($B152,FoodDB!$A$2:$I$1024,7,0)</f>
        <v>0</v>
      </c>
      <c r="I152" s="73">
        <f>$C152*VLOOKUP($B152,FoodDB!$A$2:$I$1024,8,0)</f>
        <v>0</v>
      </c>
      <c r="J152" s="73">
        <f>$C152*VLOOKUP($B152,FoodDB!$A$2:$I$1024,9,0)</f>
        <v>0</v>
      </c>
      <c r="K152" s="73"/>
      <c r="L152" s="73"/>
      <c r="M152" s="73"/>
      <c r="N152" s="73"/>
      <c r="O152" s="73"/>
      <c r="P152" s="73"/>
      <c r="Q152" s="73"/>
      <c r="R152" s="73"/>
      <c r="S152" s="73"/>
    </row>
    <row r="153" spans="1:19" x14ac:dyDescent="0.25">
      <c r="B153" s="71" t="s">
        <v>95</v>
      </c>
      <c r="C153" s="72">
        <v>1</v>
      </c>
      <c r="D153" s="73">
        <f>$C153*VLOOKUP($B153,FoodDB!$A$2:$I$1024,3,0)</f>
        <v>0</v>
      </c>
      <c r="E153" s="73">
        <f>$C153*VLOOKUP($B153,FoodDB!$A$2:$I$1024,4,0)</f>
        <v>0</v>
      </c>
      <c r="F153" s="73">
        <f>$C153*VLOOKUP($B153,FoodDB!$A$2:$I$1024,5,0)</f>
        <v>0</v>
      </c>
      <c r="G153" s="73">
        <f>$C153*VLOOKUP($B153,FoodDB!$A$2:$I$1024,6,0)</f>
        <v>0</v>
      </c>
      <c r="H153" s="73">
        <f>$C153*VLOOKUP($B153,FoodDB!$A$2:$I$1024,7,0)</f>
        <v>0</v>
      </c>
      <c r="I153" s="73">
        <f>$C153*VLOOKUP($B153,FoodDB!$A$2:$I$1024,8,0)</f>
        <v>0</v>
      </c>
      <c r="J153" s="73">
        <f>$C153*VLOOKUP($B153,FoodDB!$A$2:$I$1024,9,0)</f>
        <v>0</v>
      </c>
      <c r="K153" s="73"/>
      <c r="L153" s="73"/>
      <c r="M153" s="73"/>
      <c r="N153" s="73"/>
      <c r="O153" s="73"/>
      <c r="P153" s="73"/>
      <c r="Q153" s="73"/>
      <c r="R153" s="73"/>
      <c r="S153" s="73"/>
    </row>
    <row r="154" spans="1:19" x14ac:dyDescent="0.25">
      <c r="B154" s="71" t="s">
        <v>95</v>
      </c>
      <c r="C154" s="72">
        <v>1</v>
      </c>
      <c r="D154" s="73">
        <f>$C154*VLOOKUP($B154,FoodDB!$A$2:$I$1024,3,0)</f>
        <v>0</v>
      </c>
      <c r="E154" s="73">
        <f>$C154*VLOOKUP($B154,FoodDB!$A$2:$I$1024,4,0)</f>
        <v>0</v>
      </c>
      <c r="F154" s="73">
        <f>$C154*VLOOKUP($B154,FoodDB!$A$2:$I$1024,5,0)</f>
        <v>0</v>
      </c>
      <c r="G154" s="73">
        <f>$C154*VLOOKUP($B154,FoodDB!$A$2:$I$1024,6,0)</f>
        <v>0</v>
      </c>
      <c r="H154" s="73">
        <f>$C154*VLOOKUP($B154,FoodDB!$A$2:$I$1024,7,0)</f>
        <v>0</v>
      </c>
      <c r="I154" s="73">
        <f>$C154*VLOOKUP($B154,FoodDB!$A$2:$I$1024,8,0)</f>
        <v>0</v>
      </c>
      <c r="J154" s="73">
        <f>$C154*VLOOKUP($B154,FoodDB!$A$2:$I$1024,9,0)</f>
        <v>0</v>
      </c>
      <c r="K154" s="73"/>
      <c r="L154" s="73"/>
      <c r="M154" s="73"/>
      <c r="N154" s="73"/>
      <c r="O154" s="73"/>
      <c r="P154" s="73"/>
      <c r="Q154" s="73"/>
      <c r="R154" s="73"/>
      <c r="S154" s="73"/>
    </row>
    <row r="155" spans="1:19" x14ac:dyDescent="0.25">
      <c r="B155" s="71" t="s">
        <v>95</v>
      </c>
      <c r="C155" s="72">
        <v>1</v>
      </c>
      <c r="D155" s="73">
        <f>$C155*VLOOKUP($B155,FoodDB!$A$2:$I$1024,3,0)</f>
        <v>0</v>
      </c>
      <c r="E155" s="73">
        <f>$C155*VLOOKUP($B155,FoodDB!$A$2:$I$1024,4,0)</f>
        <v>0</v>
      </c>
      <c r="F155" s="73">
        <f>$C155*VLOOKUP($B155,FoodDB!$A$2:$I$1024,5,0)</f>
        <v>0</v>
      </c>
      <c r="G155" s="73">
        <f>$C155*VLOOKUP($B155,FoodDB!$A$2:$I$1024,6,0)</f>
        <v>0</v>
      </c>
      <c r="H155" s="73">
        <f>$C155*VLOOKUP($B155,FoodDB!$A$2:$I$1024,7,0)</f>
        <v>0</v>
      </c>
      <c r="I155" s="73">
        <f>$C155*VLOOKUP($B155,FoodDB!$A$2:$I$1024,8,0)</f>
        <v>0</v>
      </c>
      <c r="J155" s="73">
        <f>$C155*VLOOKUP($B155,FoodDB!$A$2:$I$1024,9,0)</f>
        <v>0</v>
      </c>
      <c r="K155" s="73"/>
      <c r="L155" s="73"/>
      <c r="M155" s="73"/>
      <c r="N155" s="73"/>
      <c r="O155" s="73"/>
      <c r="P155" s="73"/>
      <c r="Q155" s="73"/>
      <c r="R155" s="73"/>
      <c r="S155" s="73"/>
    </row>
    <row r="156" spans="1:19" x14ac:dyDescent="0.25">
      <c r="A156" t="s">
        <v>99</v>
      </c>
      <c r="D156" s="73"/>
      <c r="E156" s="73"/>
      <c r="F156" s="73"/>
      <c r="G156" s="73">
        <f>SUM(G149:G155)</f>
        <v>0</v>
      </c>
      <c r="H156" s="73">
        <f>SUM(H149:H155)</f>
        <v>0</v>
      </c>
      <c r="I156" s="73">
        <f>SUM(I149:I155)</f>
        <v>0</v>
      </c>
      <c r="J156" s="73">
        <f>SUM(G156:I156)</f>
        <v>0</v>
      </c>
      <c r="K156" s="73"/>
      <c r="L156" s="73"/>
      <c r="M156" s="73"/>
      <c r="N156" s="73"/>
      <c r="O156" s="73"/>
      <c r="P156" s="73"/>
      <c r="Q156" s="73"/>
      <c r="R156" s="73"/>
      <c r="S156" s="73"/>
    </row>
    <row r="157" spans="1:19" x14ac:dyDescent="0.25">
      <c r="A157" t="s">
        <v>100</v>
      </c>
      <c r="B157" t="s">
        <v>101</v>
      </c>
      <c r="D157" s="73"/>
      <c r="E157" s="73"/>
      <c r="F157" s="73"/>
      <c r="G157" s="73">
        <f>VLOOKUP($A149,LossChart!$A$3:$AB$73,14,0)</f>
        <v>490.61351505422522</v>
      </c>
      <c r="H157" s="73">
        <f>VLOOKUP($A149,LossChart!$A$3:$AB$73,15,0)</f>
        <v>80</v>
      </c>
      <c r="I157" s="73">
        <f>VLOOKUP($A149,LossChart!$A$3:$AB$73,16,0)</f>
        <v>463.76562996293683</v>
      </c>
      <c r="J157" s="73">
        <f>VLOOKUP($A149,LossChart!$A$3:$AB$73,17,0)</f>
        <v>1034.379145017162</v>
      </c>
      <c r="K157" s="73"/>
      <c r="L157" s="73"/>
      <c r="M157" s="73"/>
      <c r="N157" s="73"/>
      <c r="O157" s="73"/>
      <c r="P157" s="73"/>
      <c r="Q157" s="73"/>
      <c r="R157" s="73"/>
      <c r="S157" s="73"/>
    </row>
    <row r="158" spans="1:19" x14ac:dyDescent="0.25">
      <c r="A158" t="s">
        <v>102</v>
      </c>
      <c r="D158" s="73"/>
      <c r="E158" s="73"/>
      <c r="F158" s="73"/>
      <c r="G158" s="73">
        <f>G157-G156</f>
        <v>490.61351505422522</v>
      </c>
      <c r="H158" s="73">
        <f>H157-H156</f>
        <v>80</v>
      </c>
      <c r="I158" s="73">
        <f>I157-I156</f>
        <v>463.76562996293683</v>
      </c>
      <c r="J158" s="73">
        <f>J157-J156</f>
        <v>1034.379145017162</v>
      </c>
      <c r="K158" s="73"/>
      <c r="L158" s="73"/>
      <c r="M158" s="73"/>
      <c r="N158" s="73"/>
      <c r="O158" s="73"/>
      <c r="P158" s="73"/>
      <c r="Q158" s="73"/>
      <c r="R158" s="73"/>
      <c r="S158" s="73"/>
    </row>
    <row r="160" spans="1:19" ht="60" x14ac:dyDescent="0.25">
      <c r="A160" s="25" t="s">
        <v>63</v>
      </c>
      <c r="B160" s="25" t="s">
        <v>80</v>
      </c>
      <c r="C160" s="25" t="s">
        <v>81</v>
      </c>
      <c r="D160" s="69" t="str">
        <f>FoodDB!$C$1</f>
        <v>Fat
(g)</v>
      </c>
      <c r="E160" s="69" t="str">
        <f>FoodDB!$D$1</f>
        <v xml:space="preserve"> Net
Carbs
(g)</v>
      </c>
      <c r="F160" s="69" t="str">
        <f>FoodDB!$E$1</f>
        <v>Protein
(g)</v>
      </c>
      <c r="G160" s="69" t="str">
        <f>FoodDB!$F$1</f>
        <v>Fat
(Cal)</v>
      </c>
      <c r="H160" s="69" t="str">
        <f>FoodDB!$G$1</f>
        <v>Carb
(Cal)</v>
      </c>
      <c r="I160" s="69" t="str">
        <f>FoodDB!$H$1</f>
        <v>Protein
(Cal)</v>
      </c>
      <c r="J160" s="69" t="str">
        <f>FoodDB!$I$1</f>
        <v>Total
Calories</v>
      </c>
      <c r="K160" s="69"/>
      <c r="L160" s="69" t="s">
        <v>82</v>
      </c>
      <c r="M160" s="69" t="s">
        <v>83</v>
      </c>
      <c r="N160" s="69" t="s">
        <v>84</v>
      </c>
      <c r="O160" s="69" t="s">
        <v>85</v>
      </c>
      <c r="P160" s="69" t="s">
        <v>86</v>
      </c>
      <c r="Q160" s="69" t="s">
        <v>87</v>
      </c>
      <c r="R160" s="69" t="s">
        <v>88</v>
      </c>
      <c r="S160" s="69" t="s">
        <v>89</v>
      </c>
    </row>
    <row r="161" spans="1:19" x14ac:dyDescent="0.25">
      <c r="A161" s="70">
        <f>A149+1</f>
        <v>43044</v>
      </c>
      <c r="B161" s="71" t="s">
        <v>95</v>
      </c>
      <c r="C161" s="72">
        <v>1</v>
      </c>
      <c r="D161" s="73">
        <f>$C161*VLOOKUP($B161,FoodDB!$A$2:$I$1024,3,0)</f>
        <v>0</v>
      </c>
      <c r="E161" s="73">
        <f>$C161*VLOOKUP($B161,FoodDB!$A$2:$I$1024,4,0)</f>
        <v>0</v>
      </c>
      <c r="F161" s="73">
        <f>$C161*VLOOKUP($B161,FoodDB!$A$2:$I$1024,5,0)</f>
        <v>0</v>
      </c>
      <c r="G161" s="73">
        <f>$C161*VLOOKUP($B161,FoodDB!$A$2:$I$1024,6,0)</f>
        <v>0</v>
      </c>
      <c r="H161" s="73">
        <f>$C161*VLOOKUP($B161,FoodDB!$A$2:$I$1024,7,0)</f>
        <v>0</v>
      </c>
      <c r="I161" s="73">
        <f>$C161*VLOOKUP($B161,FoodDB!$A$2:$I$1024,8,0)</f>
        <v>0</v>
      </c>
      <c r="J161" s="73">
        <f>$C161*VLOOKUP($B161,FoodDB!$A$2:$I$1024,9,0)</f>
        <v>0</v>
      </c>
      <c r="K161" s="73"/>
      <c r="L161" s="73">
        <f>SUM(G161:G167)</f>
        <v>0</v>
      </c>
      <c r="M161" s="73">
        <f>SUM(H161:H167)</f>
        <v>0</v>
      </c>
      <c r="N161" s="73">
        <f>SUM(I161:I167)</f>
        <v>0</v>
      </c>
      <c r="O161" s="73">
        <f>SUM(L161:N161)</f>
        <v>0</v>
      </c>
      <c r="P161" s="73">
        <f>VLOOKUP($A161,LossChart!$A$3:$AB$73,14,0)-L161</f>
        <v>497.68186081297449</v>
      </c>
      <c r="Q161" s="73">
        <f>VLOOKUP($A161,LossChart!$A$3:$AB$73,15,0)-M161</f>
        <v>80</v>
      </c>
      <c r="R161" s="73">
        <f>VLOOKUP($A161,LossChart!$A$3:$AB$73,16,0)-N161</f>
        <v>463.76562996293683</v>
      </c>
      <c r="S161" s="73">
        <f>VLOOKUP($A161,LossChart!$A$3:$AB$73,17,0)-O161</f>
        <v>1041.4474907759113</v>
      </c>
    </row>
    <row r="162" spans="1:19" x14ac:dyDescent="0.25">
      <c r="B162" s="71" t="s">
        <v>95</v>
      </c>
      <c r="C162" s="72">
        <v>1</v>
      </c>
      <c r="D162" s="73">
        <f>$C162*VLOOKUP($B162,FoodDB!$A$2:$I$1024,3,0)</f>
        <v>0</v>
      </c>
      <c r="E162" s="73">
        <f>$C162*VLOOKUP($B162,FoodDB!$A$2:$I$1024,4,0)</f>
        <v>0</v>
      </c>
      <c r="F162" s="73">
        <f>$C162*VLOOKUP($B162,FoodDB!$A$2:$I$1024,5,0)</f>
        <v>0</v>
      </c>
      <c r="G162" s="73">
        <f>$C162*VLOOKUP($B162,FoodDB!$A$2:$I$1024,6,0)</f>
        <v>0</v>
      </c>
      <c r="H162" s="73">
        <f>$C162*VLOOKUP($B162,FoodDB!$A$2:$I$1024,7,0)</f>
        <v>0</v>
      </c>
      <c r="I162" s="73">
        <f>$C162*VLOOKUP($B162,FoodDB!$A$2:$I$1024,8,0)</f>
        <v>0</v>
      </c>
      <c r="J162" s="73">
        <f>$C162*VLOOKUP($B162,FoodDB!$A$2:$I$1024,9,0)</f>
        <v>0</v>
      </c>
      <c r="K162" s="73"/>
      <c r="L162" s="73"/>
      <c r="M162" s="73"/>
      <c r="N162" s="73"/>
      <c r="O162" s="73"/>
      <c r="P162" s="73"/>
      <c r="Q162" s="73"/>
      <c r="R162" s="73"/>
      <c r="S162" s="73"/>
    </row>
    <row r="163" spans="1:19" x14ac:dyDescent="0.25">
      <c r="B163" s="71" t="s">
        <v>95</v>
      </c>
      <c r="C163" s="72">
        <v>1</v>
      </c>
      <c r="D163" s="73">
        <f>$C163*VLOOKUP($B163,FoodDB!$A$2:$I$1024,3,0)</f>
        <v>0</v>
      </c>
      <c r="E163" s="73">
        <f>$C163*VLOOKUP($B163,FoodDB!$A$2:$I$1024,4,0)</f>
        <v>0</v>
      </c>
      <c r="F163" s="73">
        <f>$C163*VLOOKUP($B163,FoodDB!$A$2:$I$1024,5,0)</f>
        <v>0</v>
      </c>
      <c r="G163" s="73">
        <f>$C163*VLOOKUP($B163,FoodDB!$A$2:$I$1024,6,0)</f>
        <v>0</v>
      </c>
      <c r="H163" s="73">
        <f>$C163*VLOOKUP($B163,FoodDB!$A$2:$I$1024,7,0)</f>
        <v>0</v>
      </c>
      <c r="I163" s="73">
        <f>$C163*VLOOKUP($B163,FoodDB!$A$2:$I$1024,8,0)</f>
        <v>0</v>
      </c>
      <c r="J163" s="73">
        <f>$C163*VLOOKUP($B163,FoodDB!$A$2:$I$1024,9,0)</f>
        <v>0</v>
      </c>
      <c r="K163" s="73"/>
      <c r="L163" s="73"/>
      <c r="M163" s="73"/>
      <c r="N163" s="73"/>
      <c r="O163" s="73"/>
      <c r="P163" s="73"/>
      <c r="Q163" s="73"/>
      <c r="R163" s="73"/>
      <c r="S163" s="73"/>
    </row>
    <row r="164" spans="1:19" x14ac:dyDescent="0.25">
      <c r="B164" s="71" t="s">
        <v>95</v>
      </c>
      <c r="C164" s="72">
        <v>1</v>
      </c>
      <c r="D164" s="73">
        <f>$C164*VLOOKUP($B164,FoodDB!$A$2:$I$1024,3,0)</f>
        <v>0</v>
      </c>
      <c r="E164" s="73">
        <f>$C164*VLOOKUP($B164,FoodDB!$A$2:$I$1024,4,0)</f>
        <v>0</v>
      </c>
      <c r="F164" s="73">
        <f>$C164*VLOOKUP($B164,FoodDB!$A$2:$I$1024,5,0)</f>
        <v>0</v>
      </c>
      <c r="G164" s="73">
        <f>$C164*VLOOKUP($B164,FoodDB!$A$2:$I$1024,6,0)</f>
        <v>0</v>
      </c>
      <c r="H164" s="73">
        <f>$C164*VLOOKUP($B164,FoodDB!$A$2:$I$1024,7,0)</f>
        <v>0</v>
      </c>
      <c r="I164" s="73">
        <f>$C164*VLOOKUP($B164,FoodDB!$A$2:$I$1024,8,0)</f>
        <v>0</v>
      </c>
      <c r="J164" s="73">
        <f>$C164*VLOOKUP($B164,FoodDB!$A$2:$I$1024,9,0)</f>
        <v>0</v>
      </c>
      <c r="K164" s="73"/>
      <c r="L164" s="73"/>
      <c r="M164" s="73"/>
      <c r="N164" s="73"/>
      <c r="O164" s="73"/>
      <c r="P164" s="73"/>
      <c r="Q164" s="73"/>
      <c r="R164" s="73"/>
      <c r="S164" s="73"/>
    </row>
    <row r="165" spans="1:19" x14ac:dyDescent="0.25">
      <c r="B165" s="71" t="s">
        <v>95</v>
      </c>
      <c r="C165" s="72">
        <v>1</v>
      </c>
      <c r="D165" s="73">
        <f>$C165*VLOOKUP($B165,FoodDB!$A$2:$I$1024,3,0)</f>
        <v>0</v>
      </c>
      <c r="E165" s="73">
        <f>$C165*VLOOKUP($B165,FoodDB!$A$2:$I$1024,4,0)</f>
        <v>0</v>
      </c>
      <c r="F165" s="73">
        <f>$C165*VLOOKUP($B165,FoodDB!$A$2:$I$1024,5,0)</f>
        <v>0</v>
      </c>
      <c r="G165" s="73">
        <f>$C165*VLOOKUP($B165,FoodDB!$A$2:$I$1024,6,0)</f>
        <v>0</v>
      </c>
      <c r="H165" s="73">
        <f>$C165*VLOOKUP($B165,FoodDB!$A$2:$I$1024,7,0)</f>
        <v>0</v>
      </c>
      <c r="I165" s="73">
        <f>$C165*VLOOKUP($B165,FoodDB!$A$2:$I$1024,8,0)</f>
        <v>0</v>
      </c>
      <c r="J165" s="73">
        <f>$C165*VLOOKUP($B165,FoodDB!$A$2:$I$1024,9,0)</f>
        <v>0</v>
      </c>
      <c r="K165" s="73"/>
      <c r="L165" s="73"/>
      <c r="M165" s="73"/>
      <c r="N165" s="73"/>
      <c r="O165" s="73"/>
      <c r="P165" s="73"/>
      <c r="Q165" s="73"/>
      <c r="R165" s="73"/>
      <c r="S165" s="73"/>
    </row>
    <row r="166" spans="1:19" x14ac:dyDescent="0.25">
      <c r="B166" s="71" t="s">
        <v>95</v>
      </c>
      <c r="C166" s="72">
        <v>1</v>
      </c>
      <c r="D166" s="73">
        <f>$C166*VLOOKUP($B166,FoodDB!$A$2:$I$1024,3,0)</f>
        <v>0</v>
      </c>
      <c r="E166" s="73">
        <f>$C166*VLOOKUP($B166,FoodDB!$A$2:$I$1024,4,0)</f>
        <v>0</v>
      </c>
      <c r="F166" s="73">
        <f>$C166*VLOOKUP($B166,FoodDB!$A$2:$I$1024,5,0)</f>
        <v>0</v>
      </c>
      <c r="G166" s="73">
        <f>$C166*VLOOKUP($B166,FoodDB!$A$2:$I$1024,6,0)</f>
        <v>0</v>
      </c>
      <c r="H166" s="73">
        <f>$C166*VLOOKUP($B166,FoodDB!$A$2:$I$1024,7,0)</f>
        <v>0</v>
      </c>
      <c r="I166" s="73">
        <f>$C166*VLOOKUP($B166,FoodDB!$A$2:$I$1024,8,0)</f>
        <v>0</v>
      </c>
      <c r="J166" s="73">
        <f>$C166*VLOOKUP($B166,FoodDB!$A$2:$I$1024,9,0)</f>
        <v>0</v>
      </c>
      <c r="K166" s="73"/>
      <c r="L166" s="73"/>
      <c r="M166" s="73"/>
      <c r="N166" s="73"/>
      <c r="O166" s="73"/>
      <c r="P166" s="73"/>
      <c r="Q166" s="73"/>
      <c r="R166" s="73"/>
      <c r="S166" s="73"/>
    </row>
    <row r="167" spans="1:19" x14ac:dyDescent="0.25">
      <c r="B167" s="71" t="s">
        <v>95</v>
      </c>
      <c r="C167" s="72">
        <v>1</v>
      </c>
      <c r="D167" s="73">
        <f>$C167*VLOOKUP($B167,FoodDB!$A$2:$I$1024,3,0)</f>
        <v>0</v>
      </c>
      <c r="E167" s="73">
        <f>$C167*VLOOKUP($B167,FoodDB!$A$2:$I$1024,4,0)</f>
        <v>0</v>
      </c>
      <c r="F167" s="73">
        <f>$C167*VLOOKUP($B167,FoodDB!$A$2:$I$1024,5,0)</f>
        <v>0</v>
      </c>
      <c r="G167" s="73">
        <f>$C167*VLOOKUP($B167,FoodDB!$A$2:$I$1024,6,0)</f>
        <v>0</v>
      </c>
      <c r="H167" s="73">
        <f>$C167*VLOOKUP($B167,FoodDB!$A$2:$I$1024,7,0)</f>
        <v>0</v>
      </c>
      <c r="I167" s="73">
        <f>$C167*VLOOKUP($B167,FoodDB!$A$2:$I$1024,8,0)</f>
        <v>0</v>
      </c>
      <c r="J167" s="73">
        <f>$C167*VLOOKUP($B167,FoodDB!$A$2:$I$1024,9,0)</f>
        <v>0</v>
      </c>
      <c r="K167" s="73"/>
      <c r="L167" s="73"/>
      <c r="M167" s="73"/>
      <c r="N167" s="73"/>
      <c r="O167" s="73"/>
      <c r="P167" s="73"/>
      <c r="Q167" s="73"/>
      <c r="R167" s="73"/>
      <c r="S167" s="73"/>
    </row>
    <row r="168" spans="1:19" x14ac:dyDescent="0.25">
      <c r="A168" t="s">
        <v>99</v>
      </c>
      <c r="D168" s="73"/>
      <c r="E168" s="73"/>
      <c r="F168" s="73"/>
      <c r="G168" s="73">
        <f>SUM(G161:G167)</f>
        <v>0</v>
      </c>
      <c r="H168" s="73">
        <f>SUM(H161:H167)</f>
        <v>0</v>
      </c>
      <c r="I168" s="73">
        <f>SUM(I161:I167)</f>
        <v>0</v>
      </c>
      <c r="J168" s="73">
        <f>SUM(G168:I168)</f>
        <v>0</v>
      </c>
      <c r="K168" s="73"/>
      <c r="L168" s="73"/>
      <c r="M168" s="73"/>
      <c r="N168" s="73"/>
      <c r="O168" s="73"/>
      <c r="P168" s="73"/>
      <c r="Q168" s="73"/>
      <c r="R168" s="73"/>
      <c r="S168" s="73"/>
    </row>
    <row r="169" spans="1:19" x14ac:dyDescent="0.25">
      <c r="A169" t="s">
        <v>100</v>
      </c>
      <c r="B169" t="s">
        <v>101</v>
      </c>
      <c r="D169" s="73"/>
      <c r="E169" s="73"/>
      <c r="F169" s="73"/>
      <c r="G169" s="73">
        <f>VLOOKUP($A161,LossChart!$A$3:$AB$73,14,0)</f>
        <v>497.68186081297449</v>
      </c>
      <c r="H169" s="73">
        <f>VLOOKUP($A161,LossChart!$A$3:$AB$73,15,0)</f>
        <v>80</v>
      </c>
      <c r="I169" s="73">
        <f>VLOOKUP($A161,LossChart!$A$3:$AB$73,16,0)</f>
        <v>463.76562996293683</v>
      </c>
      <c r="J169" s="73">
        <f>VLOOKUP($A161,LossChart!$A$3:$AB$73,17,0)</f>
        <v>1041.4474907759113</v>
      </c>
      <c r="K169" s="73"/>
      <c r="L169" s="73"/>
      <c r="M169" s="73"/>
      <c r="N169" s="73"/>
      <c r="O169" s="73"/>
      <c r="P169" s="73"/>
      <c r="Q169" s="73"/>
      <c r="R169" s="73"/>
      <c r="S169" s="73"/>
    </row>
    <row r="170" spans="1:19" x14ac:dyDescent="0.25">
      <c r="A170" t="s">
        <v>102</v>
      </c>
      <c r="D170" s="73"/>
      <c r="E170" s="73"/>
      <c r="F170" s="73"/>
      <c r="G170" s="73">
        <f>G169-G168</f>
        <v>497.68186081297449</v>
      </c>
      <c r="H170" s="73">
        <f>H169-H168</f>
        <v>80</v>
      </c>
      <c r="I170" s="73">
        <f>I169-I168</f>
        <v>463.76562996293683</v>
      </c>
      <c r="J170" s="73">
        <f>J169-J168</f>
        <v>1041.4474907759113</v>
      </c>
      <c r="K170" s="73"/>
      <c r="L170" s="73"/>
      <c r="M170" s="73"/>
      <c r="N170" s="73"/>
      <c r="O170" s="73"/>
      <c r="P170" s="73"/>
      <c r="Q170" s="73"/>
      <c r="R170" s="73"/>
      <c r="S170" s="73"/>
    </row>
    <row r="172" spans="1:19" ht="60" x14ac:dyDescent="0.25">
      <c r="A172" s="25" t="s">
        <v>63</v>
      </c>
      <c r="B172" s="25" t="s">
        <v>80</v>
      </c>
      <c r="C172" s="25" t="s">
        <v>81</v>
      </c>
      <c r="D172" s="69" t="str">
        <f>FoodDB!$C$1</f>
        <v>Fat
(g)</v>
      </c>
      <c r="E172" s="69" t="str">
        <f>FoodDB!$D$1</f>
        <v xml:space="preserve"> Net
Carbs
(g)</v>
      </c>
      <c r="F172" s="69" t="str">
        <f>FoodDB!$E$1</f>
        <v>Protein
(g)</v>
      </c>
      <c r="G172" s="69" t="str">
        <f>FoodDB!$F$1</f>
        <v>Fat
(Cal)</v>
      </c>
      <c r="H172" s="69" t="str">
        <f>FoodDB!$G$1</f>
        <v>Carb
(Cal)</v>
      </c>
      <c r="I172" s="69" t="str">
        <f>FoodDB!$H$1</f>
        <v>Protein
(Cal)</v>
      </c>
      <c r="J172" s="69" t="str">
        <f>FoodDB!$I$1</f>
        <v>Total
Calories</v>
      </c>
      <c r="K172" s="69"/>
      <c r="L172" s="69" t="s">
        <v>82</v>
      </c>
      <c r="M172" s="69" t="s">
        <v>83</v>
      </c>
      <c r="N172" s="69" t="s">
        <v>84</v>
      </c>
      <c r="O172" s="69" t="s">
        <v>85</v>
      </c>
      <c r="P172" s="69" t="s">
        <v>86</v>
      </c>
      <c r="Q172" s="69" t="s">
        <v>87</v>
      </c>
      <c r="R172" s="69" t="s">
        <v>88</v>
      </c>
      <c r="S172" s="69" t="s">
        <v>89</v>
      </c>
    </row>
    <row r="173" spans="1:19" x14ac:dyDescent="0.25">
      <c r="A173" s="70">
        <f>A161+1</f>
        <v>43045</v>
      </c>
      <c r="B173" s="71" t="s">
        <v>95</v>
      </c>
      <c r="C173" s="72">
        <v>1</v>
      </c>
      <c r="D173" s="73">
        <f>$C173*VLOOKUP($B173,FoodDB!$A$2:$I$1024,3,0)</f>
        <v>0</v>
      </c>
      <c r="E173" s="73">
        <f>$C173*VLOOKUP($B173,FoodDB!$A$2:$I$1024,4,0)</f>
        <v>0</v>
      </c>
      <c r="F173" s="73">
        <f>$C173*VLOOKUP($B173,FoodDB!$A$2:$I$1024,5,0)</f>
        <v>0</v>
      </c>
      <c r="G173" s="73">
        <f>$C173*VLOOKUP($B173,FoodDB!$A$2:$I$1024,6,0)</f>
        <v>0</v>
      </c>
      <c r="H173" s="73">
        <f>$C173*VLOOKUP($B173,FoodDB!$A$2:$I$1024,7,0)</f>
        <v>0</v>
      </c>
      <c r="I173" s="73">
        <f>$C173*VLOOKUP($B173,FoodDB!$A$2:$I$1024,8,0)</f>
        <v>0</v>
      </c>
      <c r="J173" s="73">
        <f>$C173*VLOOKUP($B173,FoodDB!$A$2:$I$1024,9,0)</f>
        <v>0</v>
      </c>
      <c r="K173" s="73"/>
      <c r="L173" s="73">
        <f>SUM(G173:G179)</f>
        <v>0</v>
      </c>
      <c r="M173" s="73">
        <f>SUM(H173:H179)</f>
        <v>0</v>
      </c>
      <c r="N173" s="73">
        <f>SUM(I173:I179)</f>
        <v>0</v>
      </c>
      <c r="O173" s="73">
        <f>SUM(L173:N173)</f>
        <v>0</v>
      </c>
      <c r="P173" s="73">
        <f>VLOOKUP($A173,LossChart!$A$3:$AB$73,14,0)-L173</f>
        <v>504.68760122357367</v>
      </c>
      <c r="Q173" s="73">
        <f>VLOOKUP($A173,LossChart!$A$3:$AB$73,15,0)-M173</f>
        <v>80</v>
      </c>
      <c r="R173" s="73">
        <f>VLOOKUP($A173,LossChart!$A$3:$AB$73,16,0)-N173</f>
        <v>463.76562996293683</v>
      </c>
      <c r="S173" s="73">
        <f>VLOOKUP($A173,LossChart!$A$3:$AB$73,17,0)-O173</f>
        <v>1048.4532311865105</v>
      </c>
    </row>
    <row r="174" spans="1:19" x14ac:dyDescent="0.25">
      <c r="B174" s="71" t="s">
        <v>95</v>
      </c>
      <c r="C174" s="72">
        <v>1</v>
      </c>
      <c r="D174" s="73">
        <f>$C174*VLOOKUP($B174,FoodDB!$A$2:$I$1024,3,0)</f>
        <v>0</v>
      </c>
      <c r="E174" s="73">
        <f>$C174*VLOOKUP($B174,FoodDB!$A$2:$I$1024,4,0)</f>
        <v>0</v>
      </c>
      <c r="F174" s="73">
        <f>$C174*VLOOKUP($B174,FoodDB!$A$2:$I$1024,5,0)</f>
        <v>0</v>
      </c>
      <c r="G174" s="73">
        <f>$C174*VLOOKUP($B174,FoodDB!$A$2:$I$1024,6,0)</f>
        <v>0</v>
      </c>
      <c r="H174" s="73">
        <f>$C174*VLOOKUP($B174,FoodDB!$A$2:$I$1024,7,0)</f>
        <v>0</v>
      </c>
      <c r="I174" s="73">
        <f>$C174*VLOOKUP($B174,FoodDB!$A$2:$I$1024,8,0)</f>
        <v>0</v>
      </c>
      <c r="J174" s="73">
        <f>$C174*VLOOKUP($B174,FoodDB!$A$2:$I$1024,9,0)</f>
        <v>0</v>
      </c>
      <c r="K174" s="73"/>
      <c r="L174" s="73"/>
      <c r="M174" s="73"/>
      <c r="N174" s="73"/>
      <c r="O174" s="73"/>
      <c r="P174" s="73"/>
      <c r="Q174" s="73"/>
      <c r="R174" s="73"/>
      <c r="S174" s="73"/>
    </row>
    <row r="175" spans="1:19" x14ac:dyDescent="0.25">
      <c r="B175" s="71" t="s">
        <v>95</v>
      </c>
      <c r="C175" s="72">
        <v>1</v>
      </c>
      <c r="D175" s="73">
        <f>$C175*VLOOKUP($B175,FoodDB!$A$2:$I$1024,3,0)</f>
        <v>0</v>
      </c>
      <c r="E175" s="73">
        <f>$C175*VLOOKUP($B175,FoodDB!$A$2:$I$1024,4,0)</f>
        <v>0</v>
      </c>
      <c r="F175" s="73">
        <f>$C175*VLOOKUP($B175,FoodDB!$A$2:$I$1024,5,0)</f>
        <v>0</v>
      </c>
      <c r="G175" s="73">
        <f>$C175*VLOOKUP($B175,FoodDB!$A$2:$I$1024,6,0)</f>
        <v>0</v>
      </c>
      <c r="H175" s="73">
        <f>$C175*VLOOKUP($B175,FoodDB!$A$2:$I$1024,7,0)</f>
        <v>0</v>
      </c>
      <c r="I175" s="73">
        <f>$C175*VLOOKUP($B175,FoodDB!$A$2:$I$1024,8,0)</f>
        <v>0</v>
      </c>
      <c r="J175" s="73">
        <f>$C175*VLOOKUP($B175,FoodDB!$A$2:$I$1024,9,0)</f>
        <v>0</v>
      </c>
      <c r="K175" s="73"/>
      <c r="L175" s="73"/>
      <c r="M175" s="73"/>
      <c r="N175" s="73"/>
      <c r="O175" s="73"/>
      <c r="P175" s="73"/>
      <c r="Q175" s="73"/>
      <c r="R175" s="73"/>
      <c r="S175" s="73"/>
    </row>
    <row r="176" spans="1:19" x14ac:dyDescent="0.25">
      <c r="B176" s="71" t="s">
        <v>95</v>
      </c>
      <c r="C176" s="72">
        <v>1</v>
      </c>
      <c r="D176" s="73">
        <f>$C176*VLOOKUP($B176,FoodDB!$A$2:$I$1024,3,0)</f>
        <v>0</v>
      </c>
      <c r="E176" s="73">
        <f>$C176*VLOOKUP($B176,FoodDB!$A$2:$I$1024,4,0)</f>
        <v>0</v>
      </c>
      <c r="F176" s="73">
        <f>$C176*VLOOKUP($B176,FoodDB!$A$2:$I$1024,5,0)</f>
        <v>0</v>
      </c>
      <c r="G176" s="73">
        <f>$C176*VLOOKUP($B176,FoodDB!$A$2:$I$1024,6,0)</f>
        <v>0</v>
      </c>
      <c r="H176" s="73">
        <f>$C176*VLOOKUP($B176,FoodDB!$A$2:$I$1024,7,0)</f>
        <v>0</v>
      </c>
      <c r="I176" s="73">
        <f>$C176*VLOOKUP($B176,FoodDB!$A$2:$I$1024,8,0)</f>
        <v>0</v>
      </c>
      <c r="J176" s="73">
        <f>$C176*VLOOKUP($B176,FoodDB!$A$2:$I$1024,9,0)</f>
        <v>0</v>
      </c>
      <c r="K176" s="73"/>
      <c r="L176" s="73"/>
      <c r="M176" s="73"/>
      <c r="N176" s="73"/>
      <c r="O176" s="73"/>
      <c r="P176" s="73"/>
      <c r="Q176" s="73"/>
      <c r="R176" s="73"/>
      <c r="S176" s="73"/>
    </row>
    <row r="177" spans="1:19" x14ac:dyDescent="0.25">
      <c r="B177" s="71" t="s">
        <v>95</v>
      </c>
      <c r="C177" s="72">
        <v>1</v>
      </c>
      <c r="D177" s="73">
        <f>$C177*VLOOKUP($B177,FoodDB!$A$2:$I$1024,3,0)</f>
        <v>0</v>
      </c>
      <c r="E177" s="73">
        <f>$C177*VLOOKUP($B177,FoodDB!$A$2:$I$1024,4,0)</f>
        <v>0</v>
      </c>
      <c r="F177" s="73">
        <f>$C177*VLOOKUP($B177,FoodDB!$A$2:$I$1024,5,0)</f>
        <v>0</v>
      </c>
      <c r="G177" s="73">
        <f>$C177*VLOOKUP($B177,FoodDB!$A$2:$I$1024,6,0)</f>
        <v>0</v>
      </c>
      <c r="H177" s="73">
        <f>$C177*VLOOKUP($B177,FoodDB!$A$2:$I$1024,7,0)</f>
        <v>0</v>
      </c>
      <c r="I177" s="73">
        <f>$C177*VLOOKUP($B177,FoodDB!$A$2:$I$1024,8,0)</f>
        <v>0</v>
      </c>
      <c r="J177" s="73">
        <f>$C177*VLOOKUP($B177,FoodDB!$A$2:$I$1024,9,0)</f>
        <v>0</v>
      </c>
      <c r="K177" s="73"/>
      <c r="L177" s="73"/>
      <c r="M177" s="73"/>
      <c r="N177" s="73"/>
      <c r="O177" s="73"/>
      <c r="P177" s="73"/>
      <c r="Q177" s="73"/>
      <c r="R177" s="73"/>
      <c r="S177" s="73"/>
    </row>
    <row r="178" spans="1:19" x14ac:dyDescent="0.25">
      <c r="B178" s="71" t="s">
        <v>95</v>
      </c>
      <c r="C178" s="72">
        <v>1</v>
      </c>
      <c r="D178" s="73">
        <f>$C178*VLOOKUP($B178,FoodDB!$A$2:$I$1024,3,0)</f>
        <v>0</v>
      </c>
      <c r="E178" s="73">
        <f>$C178*VLOOKUP($B178,FoodDB!$A$2:$I$1024,4,0)</f>
        <v>0</v>
      </c>
      <c r="F178" s="73">
        <f>$C178*VLOOKUP($B178,FoodDB!$A$2:$I$1024,5,0)</f>
        <v>0</v>
      </c>
      <c r="G178" s="73">
        <f>$C178*VLOOKUP($B178,FoodDB!$A$2:$I$1024,6,0)</f>
        <v>0</v>
      </c>
      <c r="H178" s="73">
        <f>$C178*VLOOKUP($B178,FoodDB!$A$2:$I$1024,7,0)</f>
        <v>0</v>
      </c>
      <c r="I178" s="73">
        <f>$C178*VLOOKUP($B178,FoodDB!$A$2:$I$1024,8,0)</f>
        <v>0</v>
      </c>
      <c r="J178" s="73">
        <f>$C178*VLOOKUP($B178,FoodDB!$A$2:$I$1024,9,0)</f>
        <v>0</v>
      </c>
      <c r="K178" s="73"/>
      <c r="L178" s="73"/>
      <c r="M178" s="73"/>
      <c r="N178" s="73"/>
      <c r="O178" s="73"/>
      <c r="P178" s="73"/>
      <c r="Q178" s="73"/>
      <c r="R178" s="73"/>
      <c r="S178" s="73"/>
    </row>
    <row r="179" spans="1:19" x14ac:dyDescent="0.25">
      <c r="B179" s="71" t="s">
        <v>95</v>
      </c>
      <c r="C179" s="72">
        <v>1</v>
      </c>
      <c r="D179" s="73">
        <f>$C179*VLOOKUP($B179,FoodDB!$A$2:$I$1024,3,0)</f>
        <v>0</v>
      </c>
      <c r="E179" s="73">
        <f>$C179*VLOOKUP($B179,FoodDB!$A$2:$I$1024,4,0)</f>
        <v>0</v>
      </c>
      <c r="F179" s="73">
        <f>$C179*VLOOKUP($B179,FoodDB!$A$2:$I$1024,5,0)</f>
        <v>0</v>
      </c>
      <c r="G179" s="73">
        <f>$C179*VLOOKUP($B179,FoodDB!$A$2:$I$1024,6,0)</f>
        <v>0</v>
      </c>
      <c r="H179" s="73">
        <f>$C179*VLOOKUP($B179,FoodDB!$A$2:$I$1024,7,0)</f>
        <v>0</v>
      </c>
      <c r="I179" s="73">
        <f>$C179*VLOOKUP($B179,FoodDB!$A$2:$I$1024,8,0)</f>
        <v>0</v>
      </c>
      <c r="J179" s="73">
        <f>$C179*VLOOKUP($B179,FoodDB!$A$2:$I$1024,9,0)</f>
        <v>0</v>
      </c>
      <c r="K179" s="73"/>
      <c r="L179" s="73"/>
      <c r="M179" s="73"/>
      <c r="N179" s="73"/>
      <c r="O179" s="73"/>
      <c r="P179" s="73"/>
      <c r="Q179" s="73"/>
      <c r="R179" s="73"/>
      <c r="S179" s="73"/>
    </row>
    <row r="180" spans="1:19" x14ac:dyDescent="0.25">
      <c r="A180" t="s">
        <v>99</v>
      </c>
      <c r="D180" s="73"/>
      <c r="E180" s="73"/>
      <c r="F180" s="73"/>
      <c r="G180" s="73">
        <f>SUM(G173:G179)</f>
        <v>0</v>
      </c>
      <c r="H180" s="73">
        <f>SUM(H173:H179)</f>
        <v>0</v>
      </c>
      <c r="I180" s="73">
        <f>SUM(I173:I179)</f>
        <v>0</v>
      </c>
      <c r="J180" s="73">
        <f>SUM(G180:I180)</f>
        <v>0</v>
      </c>
      <c r="K180" s="73"/>
      <c r="L180" s="73"/>
      <c r="M180" s="73"/>
      <c r="N180" s="73"/>
      <c r="O180" s="73"/>
      <c r="P180" s="73"/>
      <c r="Q180" s="73"/>
      <c r="R180" s="73"/>
      <c r="S180" s="73"/>
    </row>
    <row r="181" spans="1:19" x14ac:dyDescent="0.25">
      <c r="A181" t="s">
        <v>100</v>
      </c>
      <c r="B181" t="s">
        <v>101</v>
      </c>
      <c r="D181" s="73"/>
      <c r="E181" s="73"/>
      <c r="F181" s="73"/>
      <c r="G181" s="73">
        <f>VLOOKUP($A173,LossChart!$A$3:$AB$73,14,0)</f>
        <v>504.68760122357367</v>
      </c>
      <c r="H181" s="73">
        <f>VLOOKUP($A173,LossChart!$A$3:$AB$73,15,0)</f>
        <v>80</v>
      </c>
      <c r="I181" s="73">
        <f>VLOOKUP($A173,LossChart!$A$3:$AB$73,16,0)</f>
        <v>463.76562996293683</v>
      </c>
      <c r="J181" s="73">
        <f>VLOOKUP($A173,LossChart!$A$3:$AB$73,17,0)</f>
        <v>1048.4532311865105</v>
      </c>
      <c r="K181" s="73"/>
      <c r="L181" s="73"/>
      <c r="M181" s="73"/>
      <c r="N181" s="73"/>
      <c r="O181" s="73"/>
      <c r="P181" s="73"/>
      <c r="Q181" s="73"/>
      <c r="R181" s="73"/>
      <c r="S181" s="73"/>
    </row>
    <row r="182" spans="1:19" x14ac:dyDescent="0.25">
      <c r="A182" t="s">
        <v>102</v>
      </c>
      <c r="D182" s="73"/>
      <c r="E182" s="73"/>
      <c r="F182" s="73"/>
      <c r="G182" s="73">
        <f>G181-G180</f>
        <v>504.68760122357367</v>
      </c>
      <c r="H182" s="73">
        <f>H181-H180</f>
        <v>80</v>
      </c>
      <c r="I182" s="73">
        <f>I181-I180</f>
        <v>463.76562996293683</v>
      </c>
      <c r="J182" s="73">
        <f>J181-J180</f>
        <v>1048.4532311865105</v>
      </c>
      <c r="K182" s="73"/>
      <c r="L182" s="73"/>
      <c r="M182" s="73"/>
      <c r="N182" s="73"/>
      <c r="O182" s="73"/>
      <c r="P182" s="73"/>
      <c r="Q182" s="73"/>
      <c r="R182" s="73"/>
      <c r="S182" s="73"/>
    </row>
    <row r="184" spans="1:19" ht="60" x14ac:dyDescent="0.25">
      <c r="A184" s="25" t="s">
        <v>63</v>
      </c>
      <c r="B184" s="25" t="s">
        <v>80</v>
      </c>
      <c r="C184" s="25" t="s">
        <v>81</v>
      </c>
      <c r="D184" s="69" t="str">
        <f>FoodDB!$C$1</f>
        <v>Fat
(g)</v>
      </c>
      <c r="E184" s="69" t="str">
        <f>FoodDB!$D$1</f>
        <v xml:space="preserve"> Net
Carbs
(g)</v>
      </c>
      <c r="F184" s="69" t="str">
        <f>FoodDB!$E$1</f>
        <v>Protein
(g)</v>
      </c>
      <c r="G184" s="69" t="str">
        <f>FoodDB!$F$1</f>
        <v>Fat
(Cal)</v>
      </c>
      <c r="H184" s="69" t="str">
        <f>FoodDB!$G$1</f>
        <v>Carb
(Cal)</v>
      </c>
      <c r="I184" s="69" t="str">
        <f>FoodDB!$H$1</f>
        <v>Protein
(Cal)</v>
      </c>
      <c r="J184" s="69" t="str">
        <f>FoodDB!$I$1</f>
        <v>Total
Calories</v>
      </c>
      <c r="K184" s="69"/>
      <c r="L184" s="69" t="s">
        <v>82</v>
      </c>
      <c r="M184" s="69" t="s">
        <v>83</v>
      </c>
      <c r="N184" s="69" t="s">
        <v>84</v>
      </c>
      <c r="O184" s="69" t="s">
        <v>85</v>
      </c>
      <c r="P184" s="69" t="s">
        <v>86</v>
      </c>
      <c r="Q184" s="69" t="s">
        <v>87</v>
      </c>
      <c r="R184" s="69" t="s">
        <v>88</v>
      </c>
      <c r="S184" s="69" t="s">
        <v>89</v>
      </c>
    </row>
    <row r="185" spans="1:19" x14ac:dyDescent="0.25">
      <c r="A185" s="70">
        <f>A173+1</f>
        <v>43046</v>
      </c>
      <c r="B185" s="71" t="s">
        <v>95</v>
      </c>
      <c r="C185" s="72">
        <v>1</v>
      </c>
      <c r="D185" s="73">
        <f>$C185*VLOOKUP($B185,FoodDB!$A$2:$I$1024,3,0)</f>
        <v>0</v>
      </c>
      <c r="E185" s="73">
        <f>$C185*VLOOKUP($B185,FoodDB!$A$2:$I$1024,4,0)</f>
        <v>0</v>
      </c>
      <c r="F185" s="73">
        <f>$C185*VLOOKUP($B185,FoodDB!$A$2:$I$1024,5,0)</f>
        <v>0</v>
      </c>
      <c r="G185" s="73">
        <f>$C185*VLOOKUP($B185,FoodDB!$A$2:$I$1024,6,0)</f>
        <v>0</v>
      </c>
      <c r="H185" s="73">
        <f>$C185*VLOOKUP($B185,FoodDB!$A$2:$I$1024,7,0)</f>
        <v>0</v>
      </c>
      <c r="I185" s="73">
        <f>$C185*VLOOKUP($B185,FoodDB!$A$2:$I$1024,8,0)</f>
        <v>0</v>
      </c>
      <c r="J185" s="73">
        <f>$C185*VLOOKUP($B185,FoodDB!$A$2:$I$1024,9,0)</f>
        <v>0</v>
      </c>
      <c r="K185" s="73"/>
      <c r="L185" s="73">
        <f>SUM(G185:G191)</f>
        <v>0</v>
      </c>
      <c r="M185" s="73">
        <f>SUM(H185:H191)</f>
        <v>0</v>
      </c>
      <c r="N185" s="73">
        <f>SUM(I185:I191)</f>
        <v>0</v>
      </c>
      <c r="O185" s="73">
        <f>SUM(L185:N185)</f>
        <v>0</v>
      </c>
      <c r="P185" s="73">
        <f>VLOOKUP($A185,LossChart!$A$3:$AB$73,14,0)-L185</f>
        <v>511.63129079053692</v>
      </c>
      <c r="Q185" s="73">
        <f>VLOOKUP($A185,LossChart!$A$3:$AB$73,15,0)-M185</f>
        <v>80</v>
      </c>
      <c r="R185" s="73">
        <f>VLOOKUP($A185,LossChart!$A$3:$AB$73,16,0)-N185</f>
        <v>463.76562996293683</v>
      </c>
      <c r="S185" s="73">
        <f>VLOOKUP($A185,LossChart!$A$3:$AB$73,17,0)-O185</f>
        <v>1055.3969207534738</v>
      </c>
    </row>
    <row r="186" spans="1:19" x14ac:dyDescent="0.25">
      <c r="B186" s="71" t="s">
        <v>95</v>
      </c>
      <c r="C186" s="72">
        <v>1</v>
      </c>
      <c r="D186" s="73">
        <f>$C186*VLOOKUP($B186,FoodDB!$A$2:$I$1024,3,0)</f>
        <v>0</v>
      </c>
      <c r="E186" s="73">
        <f>$C186*VLOOKUP($B186,FoodDB!$A$2:$I$1024,4,0)</f>
        <v>0</v>
      </c>
      <c r="F186" s="73">
        <f>$C186*VLOOKUP($B186,FoodDB!$A$2:$I$1024,5,0)</f>
        <v>0</v>
      </c>
      <c r="G186" s="73">
        <f>$C186*VLOOKUP($B186,FoodDB!$A$2:$I$1024,6,0)</f>
        <v>0</v>
      </c>
      <c r="H186" s="73">
        <f>$C186*VLOOKUP($B186,FoodDB!$A$2:$I$1024,7,0)</f>
        <v>0</v>
      </c>
      <c r="I186" s="73">
        <f>$C186*VLOOKUP($B186,FoodDB!$A$2:$I$1024,8,0)</f>
        <v>0</v>
      </c>
      <c r="J186" s="73">
        <f>$C186*VLOOKUP($B186,FoodDB!$A$2:$I$1024,9,0)</f>
        <v>0</v>
      </c>
      <c r="K186" s="73"/>
      <c r="L186" s="73"/>
      <c r="M186" s="73"/>
      <c r="N186" s="73"/>
      <c r="O186" s="73"/>
      <c r="P186" s="73"/>
      <c r="Q186" s="73"/>
      <c r="R186" s="73"/>
      <c r="S186" s="73"/>
    </row>
    <row r="187" spans="1:19" x14ac:dyDescent="0.25">
      <c r="B187" s="71" t="s">
        <v>95</v>
      </c>
      <c r="C187" s="72">
        <v>1</v>
      </c>
      <c r="D187" s="73">
        <f>$C187*VLOOKUP($B187,FoodDB!$A$2:$I$1024,3,0)</f>
        <v>0</v>
      </c>
      <c r="E187" s="73">
        <f>$C187*VLOOKUP($B187,FoodDB!$A$2:$I$1024,4,0)</f>
        <v>0</v>
      </c>
      <c r="F187" s="73">
        <f>$C187*VLOOKUP($B187,FoodDB!$A$2:$I$1024,5,0)</f>
        <v>0</v>
      </c>
      <c r="G187" s="73">
        <f>$C187*VLOOKUP($B187,FoodDB!$A$2:$I$1024,6,0)</f>
        <v>0</v>
      </c>
      <c r="H187" s="73">
        <f>$C187*VLOOKUP($B187,FoodDB!$A$2:$I$1024,7,0)</f>
        <v>0</v>
      </c>
      <c r="I187" s="73">
        <f>$C187*VLOOKUP($B187,FoodDB!$A$2:$I$1024,8,0)</f>
        <v>0</v>
      </c>
      <c r="J187" s="73">
        <f>$C187*VLOOKUP($B187,FoodDB!$A$2:$I$1024,9,0)</f>
        <v>0</v>
      </c>
      <c r="K187" s="73"/>
      <c r="L187" s="73"/>
      <c r="M187" s="73"/>
      <c r="N187" s="73"/>
      <c r="O187" s="73"/>
      <c r="P187" s="73"/>
      <c r="Q187" s="73"/>
      <c r="R187" s="73"/>
      <c r="S187" s="73"/>
    </row>
    <row r="188" spans="1:19" x14ac:dyDescent="0.25">
      <c r="B188" s="71" t="s">
        <v>95</v>
      </c>
      <c r="C188" s="72">
        <v>1</v>
      </c>
      <c r="D188" s="73">
        <f>$C188*VLOOKUP($B188,FoodDB!$A$2:$I$1024,3,0)</f>
        <v>0</v>
      </c>
      <c r="E188" s="73">
        <f>$C188*VLOOKUP($B188,FoodDB!$A$2:$I$1024,4,0)</f>
        <v>0</v>
      </c>
      <c r="F188" s="73">
        <f>$C188*VLOOKUP($B188,FoodDB!$A$2:$I$1024,5,0)</f>
        <v>0</v>
      </c>
      <c r="G188" s="73">
        <f>$C188*VLOOKUP($B188,FoodDB!$A$2:$I$1024,6,0)</f>
        <v>0</v>
      </c>
      <c r="H188" s="73">
        <f>$C188*VLOOKUP($B188,FoodDB!$A$2:$I$1024,7,0)</f>
        <v>0</v>
      </c>
      <c r="I188" s="73">
        <f>$C188*VLOOKUP($B188,FoodDB!$A$2:$I$1024,8,0)</f>
        <v>0</v>
      </c>
      <c r="J188" s="73">
        <f>$C188*VLOOKUP($B188,FoodDB!$A$2:$I$1024,9,0)</f>
        <v>0</v>
      </c>
      <c r="K188" s="73"/>
      <c r="L188" s="73"/>
      <c r="M188" s="73"/>
      <c r="N188" s="73"/>
      <c r="O188" s="73"/>
      <c r="P188" s="73"/>
      <c r="Q188" s="73"/>
      <c r="R188" s="73"/>
      <c r="S188" s="73"/>
    </row>
    <row r="189" spans="1:19" x14ac:dyDescent="0.25">
      <c r="B189" s="71" t="s">
        <v>95</v>
      </c>
      <c r="C189" s="72">
        <v>1</v>
      </c>
      <c r="D189" s="73">
        <f>$C189*VLOOKUP($B189,FoodDB!$A$2:$I$1024,3,0)</f>
        <v>0</v>
      </c>
      <c r="E189" s="73">
        <f>$C189*VLOOKUP($B189,FoodDB!$A$2:$I$1024,4,0)</f>
        <v>0</v>
      </c>
      <c r="F189" s="73">
        <f>$C189*VLOOKUP($B189,FoodDB!$A$2:$I$1024,5,0)</f>
        <v>0</v>
      </c>
      <c r="G189" s="73">
        <f>$C189*VLOOKUP($B189,FoodDB!$A$2:$I$1024,6,0)</f>
        <v>0</v>
      </c>
      <c r="H189" s="73">
        <f>$C189*VLOOKUP($B189,FoodDB!$A$2:$I$1024,7,0)</f>
        <v>0</v>
      </c>
      <c r="I189" s="73">
        <f>$C189*VLOOKUP($B189,FoodDB!$A$2:$I$1024,8,0)</f>
        <v>0</v>
      </c>
      <c r="J189" s="73">
        <f>$C189*VLOOKUP($B189,FoodDB!$A$2:$I$1024,9,0)</f>
        <v>0</v>
      </c>
      <c r="K189" s="73"/>
      <c r="L189" s="73"/>
      <c r="M189" s="73"/>
      <c r="N189" s="73"/>
      <c r="O189" s="73"/>
      <c r="P189" s="73"/>
      <c r="Q189" s="73"/>
      <c r="R189" s="73"/>
      <c r="S189" s="73"/>
    </row>
    <row r="190" spans="1:19" x14ac:dyDescent="0.25">
      <c r="B190" s="71" t="s">
        <v>95</v>
      </c>
      <c r="C190" s="72">
        <v>1</v>
      </c>
      <c r="D190" s="73">
        <f>$C190*VLOOKUP($B190,FoodDB!$A$2:$I$1024,3,0)</f>
        <v>0</v>
      </c>
      <c r="E190" s="73">
        <f>$C190*VLOOKUP($B190,FoodDB!$A$2:$I$1024,4,0)</f>
        <v>0</v>
      </c>
      <c r="F190" s="73">
        <f>$C190*VLOOKUP($B190,FoodDB!$A$2:$I$1024,5,0)</f>
        <v>0</v>
      </c>
      <c r="G190" s="73">
        <f>$C190*VLOOKUP($B190,FoodDB!$A$2:$I$1024,6,0)</f>
        <v>0</v>
      </c>
      <c r="H190" s="73">
        <f>$C190*VLOOKUP($B190,FoodDB!$A$2:$I$1024,7,0)</f>
        <v>0</v>
      </c>
      <c r="I190" s="73">
        <f>$C190*VLOOKUP($B190,FoodDB!$A$2:$I$1024,8,0)</f>
        <v>0</v>
      </c>
      <c r="J190" s="73">
        <f>$C190*VLOOKUP($B190,FoodDB!$A$2:$I$1024,9,0)</f>
        <v>0</v>
      </c>
      <c r="K190" s="73"/>
      <c r="L190" s="73"/>
      <c r="M190" s="73"/>
      <c r="N190" s="73"/>
      <c r="O190" s="73"/>
      <c r="P190" s="73"/>
      <c r="Q190" s="73"/>
      <c r="R190" s="73"/>
      <c r="S190" s="73"/>
    </row>
    <row r="191" spans="1:19" x14ac:dyDescent="0.25">
      <c r="B191" s="71" t="s">
        <v>95</v>
      </c>
      <c r="C191" s="72">
        <v>1</v>
      </c>
      <c r="D191" s="73">
        <f>$C191*VLOOKUP($B191,FoodDB!$A$2:$I$1024,3,0)</f>
        <v>0</v>
      </c>
      <c r="E191" s="73">
        <f>$C191*VLOOKUP($B191,FoodDB!$A$2:$I$1024,4,0)</f>
        <v>0</v>
      </c>
      <c r="F191" s="73">
        <f>$C191*VLOOKUP($B191,FoodDB!$A$2:$I$1024,5,0)</f>
        <v>0</v>
      </c>
      <c r="G191" s="73">
        <f>$C191*VLOOKUP($B191,FoodDB!$A$2:$I$1024,6,0)</f>
        <v>0</v>
      </c>
      <c r="H191" s="73">
        <f>$C191*VLOOKUP($B191,FoodDB!$A$2:$I$1024,7,0)</f>
        <v>0</v>
      </c>
      <c r="I191" s="73">
        <f>$C191*VLOOKUP($B191,FoodDB!$A$2:$I$1024,8,0)</f>
        <v>0</v>
      </c>
      <c r="J191" s="73">
        <f>$C191*VLOOKUP($B191,FoodDB!$A$2:$I$1024,9,0)</f>
        <v>0</v>
      </c>
      <c r="K191" s="73"/>
      <c r="L191" s="73"/>
      <c r="M191" s="73"/>
      <c r="N191" s="73"/>
      <c r="O191" s="73"/>
      <c r="P191" s="73"/>
      <c r="Q191" s="73"/>
      <c r="R191" s="73"/>
      <c r="S191" s="73"/>
    </row>
    <row r="192" spans="1:19" x14ac:dyDescent="0.25">
      <c r="A192" t="s">
        <v>99</v>
      </c>
      <c r="D192" s="73"/>
      <c r="E192" s="73"/>
      <c r="F192" s="73"/>
      <c r="G192" s="73">
        <f>SUM(G185:G191)</f>
        <v>0</v>
      </c>
      <c r="H192" s="73">
        <f>SUM(H185:H191)</f>
        <v>0</v>
      </c>
      <c r="I192" s="73">
        <f>SUM(I185:I191)</f>
        <v>0</v>
      </c>
      <c r="J192" s="73">
        <f>SUM(G192:I192)</f>
        <v>0</v>
      </c>
      <c r="K192" s="73"/>
      <c r="L192" s="73"/>
      <c r="M192" s="73"/>
      <c r="N192" s="73"/>
      <c r="O192" s="73"/>
      <c r="P192" s="73"/>
      <c r="Q192" s="73"/>
      <c r="R192" s="73"/>
      <c r="S192" s="73"/>
    </row>
    <row r="193" spans="1:19" x14ac:dyDescent="0.25">
      <c r="A193" t="s">
        <v>100</v>
      </c>
      <c r="B193" t="s">
        <v>101</v>
      </c>
      <c r="D193" s="73"/>
      <c r="E193" s="73"/>
      <c r="F193" s="73"/>
      <c r="G193" s="73">
        <f>VLOOKUP($A185,LossChart!$A$3:$AB$73,14,0)</f>
        <v>511.63129079053692</v>
      </c>
      <c r="H193" s="73">
        <f>VLOOKUP($A185,LossChart!$A$3:$AB$73,15,0)</f>
        <v>80</v>
      </c>
      <c r="I193" s="73">
        <f>VLOOKUP($A185,LossChart!$A$3:$AB$73,16,0)</f>
        <v>463.76562996293683</v>
      </c>
      <c r="J193" s="73">
        <f>VLOOKUP($A185,LossChart!$A$3:$AB$73,17,0)</f>
        <v>1055.3969207534738</v>
      </c>
      <c r="K193" s="73"/>
      <c r="L193" s="73"/>
      <c r="M193" s="73"/>
      <c r="N193" s="73"/>
      <c r="O193" s="73"/>
      <c r="P193" s="73"/>
      <c r="Q193" s="73"/>
      <c r="R193" s="73"/>
      <c r="S193" s="73"/>
    </row>
    <row r="194" spans="1:19" x14ac:dyDescent="0.25">
      <c r="A194" t="s">
        <v>102</v>
      </c>
      <c r="D194" s="73"/>
      <c r="E194" s="73"/>
      <c r="F194" s="73"/>
      <c r="G194" s="73">
        <f>G193-G192</f>
        <v>511.63129079053692</v>
      </c>
      <c r="H194" s="73">
        <f>H193-H192</f>
        <v>80</v>
      </c>
      <c r="I194" s="73">
        <f>I193-I192</f>
        <v>463.76562996293683</v>
      </c>
      <c r="J194" s="73">
        <f>J193-J192</f>
        <v>1055.3969207534738</v>
      </c>
      <c r="K194" s="73"/>
      <c r="L194" s="73"/>
      <c r="M194" s="73"/>
      <c r="N194" s="73"/>
      <c r="O194" s="73"/>
      <c r="P194" s="73"/>
      <c r="Q194" s="73"/>
      <c r="R194" s="73"/>
      <c r="S194" s="73"/>
    </row>
    <row r="196" spans="1:19" ht="60" x14ac:dyDescent="0.25">
      <c r="A196" s="25" t="s">
        <v>63</v>
      </c>
      <c r="B196" s="25" t="s">
        <v>80</v>
      </c>
      <c r="C196" s="25" t="s">
        <v>81</v>
      </c>
      <c r="D196" s="69" t="str">
        <f>FoodDB!$C$1</f>
        <v>Fat
(g)</v>
      </c>
      <c r="E196" s="69" t="str">
        <f>FoodDB!$D$1</f>
        <v xml:space="preserve"> Net
Carbs
(g)</v>
      </c>
      <c r="F196" s="69" t="str">
        <f>FoodDB!$E$1</f>
        <v>Protein
(g)</v>
      </c>
      <c r="G196" s="69" t="str">
        <f>FoodDB!$F$1</f>
        <v>Fat
(Cal)</v>
      </c>
      <c r="H196" s="69" t="str">
        <f>FoodDB!$G$1</f>
        <v>Carb
(Cal)</v>
      </c>
      <c r="I196" s="69" t="str">
        <f>FoodDB!$H$1</f>
        <v>Protein
(Cal)</v>
      </c>
      <c r="J196" s="69" t="str">
        <f>FoodDB!$I$1</f>
        <v>Total
Calories</v>
      </c>
      <c r="K196" s="69"/>
      <c r="L196" s="69" t="s">
        <v>82</v>
      </c>
      <c r="M196" s="69" t="s">
        <v>83</v>
      </c>
      <c r="N196" s="69" t="s">
        <v>84</v>
      </c>
      <c r="O196" s="69" t="s">
        <v>85</v>
      </c>
      <c r="P196" s="69" t="s">
        <v>86</v>
      </c>
      <c r="Q196" s="69" t="s">
        <v>87</v>
      </c>
      <c r="R196" s="69" t="s">
        <v>88</v>
      </c>
      <c r="S196" s="69" t="s">
        <v>89</v>
      </c>
    </row>
    <row r="197" spans="1:19" x14ac:dyDescent="0.25">
      <c r="A197" s="70">
        <f>A185+1</f>
        <v>43047</v>
      </c>
      <c r="B197" s="71" t="s">
        <v>95</v>
      </c>
      <c r="C197" s="72">
        <v>1</v>
      </c>
      <c r="D197" s="73">
        <f>$C197*VLOOKUP($B197,FoodDB!$A$2:$I$1024,3,0)</f>
        <v>0</v>
      </c>
      <c r="E197" s="73">
        <f>$C197*VLOOKUP($B197,FoodDB!$A$2:$I$1024,4,0)</f>
        <v>0</v>
      </c>
      <c r="F197" s="73">
        <f>$C197*VLOOKUP($B197,FoodDB!$A$2:$I$1024,5,0)</f>
        <v>0</v>
      </c>
      <c r="G197" s="73">
        <f>$C197*VLOOKUP($B197,FoodDB!$A$2:$I$1024,6,0)</f>
        <v>0</v>
      </c>
      <c r="H197" s="73">
        <f>$C197*VLOOKUP($B197,FoodDB!$A$2:$I$1024,7,0)</f>
        <v>0</v>
      </c>
      <c r="I197" s="73">
        <f>$C197*VLOOKUP($B197,FoodDB!$A$2:$I$1024,8,0)</f>
        <v>0</v>
      </c>
      <c r="J197" s="73">
        <f>$C197*VLOOKUP($B197,FoodDB!$A$2:$I$1024,9,0)</f>
        <v>0</v>
      </c>
      <c r="K197" s="73"/>
      <c r="L197" s="73">
        <f>SUM(G197:G203)</f>
        <v>0</v>
      </c>
      <c r="M197" s="73">
        <f>SUM(H197:H203)</f>
        <v>0</v>
      </c>
      <c r="N197" s="73">
        <f>SUM(I197:I203)</f>
        <v>0</v>
      </c>
      <c r="O197" s="73">
        <f>SUM(L197:N197)</f>
        <v>0</v>
      </c>
      <c r="P197" s="73">
        <f>VLOOKUP($A197,LossChart!$A$3:$AB$73,14,0)-L197</f>
        <v>518.51347910704976</v>
      </c>
      <c r="Q197" s="73">
        <f>VLOOKUP($A197,LossChart!$A$3:$AB$73,15,0)-M197</f>
        <v>80</v>
      </c>
      <c r="R197" s="73">
        <f>VLOOKUP($A197,LossChart!$A$3:$AB$73,16,0)-N197</f>
        <v>463.76562996293683</v>
      </c>
      <c r="S197" s="73">
        <f>VLOOKUP($A197,LossChart!$A$3:$AB$73,17,0)-O197</f>
        <v>1062.2791090699866</v>
      </c>
    </row>
    <row r="198" spans="1:19" x14ac:dyDescent="0.25">
      <c r="B198" s="71" t="s">
        <v>95</v>
      </c>
      <c r="C198" s="72">
        <v>1</v>
      </c>
      <c r="D198" s="73">
        <f>$C198*VLOOKUP($B198,FoodDB!$A$2:$I$1024,3,0)</f>
        <v>0</v>
      </c>
      <c r="E198" s="73">
        <f>$C198*VLOOKUP($B198,FoodDB!$A$2:$I$1024,4,0)</f>
        <v>0</v>
      </c>
      <c r="F198" s="73">
        <f>$C198*VLOOKUP($B198,FoodDB!$A$2:$I$1024,5,0)</f>
        <v>0</v>
      </c>
      <c r="G198" s="73">
        <f>$C198*VLOOKUP($B198,FoodDB!$A$2:$I$1024,6,0)</f>
        <v>0</v>
      </c>
      <c r="H198" s="73">
        <f>$C198*VLOOKUP($B198,FoodDB!$A$2:$I$1024,7,0)</f>
        <v>0</v>
      </c>
      <c r="I198" s="73">
        <f>$C198*VLOOKUP($B198,FoodDB!$A$2:$I$1024,8,0)</f>
        <v>0</v>
      </c>
      <c r="J198" s="73">
        <f>$C198*VLOOKUP($B198,FoodDB!$A$2:$I$1024,9,0)</f>
        <v>0</v>
      </c>
      <c r="K198" s="73"/>
      <c r="L198" s="73"/>
      <c r="M198" s="73"/>
      <c r="N198" s="73"/>
      <c r="O198" s="73"/>
      <c r="P198" s="73"/>
      <c r="Q198" s="73"/>
      <c r="R198" s="73"/>
      <c r="S198" s="73"/>
    </row>
    <row r="199" spans="1:19" x14ac:dyDescent="0.25">
      <c r="B199" s="71" t="s">
        <v>95</v>
      </c>
      <c r="C199" s="72">
        <v>1</v>
      </c>
      <c r="D199" s="73">
        <f>$C199*VLOOKUP($B199,FoodDB!$A$2:$I$1024,3,0)</f>
        <v>0</v>
      </c>
      <c r="E199" s="73">
        <f>$C199*VLOOKUP($B199,FoodDB!$A$2:$I$1024,4,0)</f>
        <v>0</v>
      </c>
      <c r="F199" s="73">
        <f>$C199*VLOOKUP($B199,FoodDB!$A$2:$I$1024,5,0)</f>
        <v>0</v>
      </c>
      <c r="G199" s="73">
        <f>$C199*VLOOKUP($B199,FoodDB!$A$2:$I$1024,6,0)</f>
        <v>0</v>
      </c>
      <c r="H199" s="73">
        <f>$C199*VLOOKUP($B199,FoodDB!$A$2:$I$1024,7,0)</f>
        <v>0</v>
      </c>
      <c r="I199" s="73">
        <f>$C199*VLOOKUP($B199,FoodDB!$A$2:$I$1024,8,0)</f>
        <v>0</v>
      </c>
      <c r="J199" s="73">
        <f>$C199*VLOOKUP($B199,FoodDB!$A$2:$I$1024,9,0)</f>
        <v>0</v>
      </c>
      <c r="K199" s="73"/>
      <c r="L199" s="73"/>
      <c r="M199" s="73"/>
      <c r="N199" s="73"/>
      <c r="O199" s="73"/>
      <c r="P199" s="73"/>
      <c r="Q199" s="73"/>
      <c r="R199" s="73"/>
      <c r="S199" s="73"/>
    </row>
    <row r="200" spans="1:19" x14ac:dyDescent="0.25">
      <c r="B200" s="71" t="s">
        <v>95</v>
      </c>
      <c r="C200" s="72">
        <v>1</v>
      </c>
      <c r="D200" s="73">
        <f>$C200*VLOOKUP($B200,FoodDB!$A$2:$I$1024,3,0)</f>
        <v>0</v>
      </c>
      <c r="E200" s="73">
        <f>$C200*VLOOKUP($B200,FoodDB!$A$2:$I$1024,4,0)</f>
        <v>0</v>
      </c>
      <c r="F200" s="73">
        <f>$C200*VLOOKUP($B200,FoodDB!$A$2:$I$1024,5,0)</f>
        <v>0</v>
      </c>
      <c r="G200" s="73">
        <f>$C200*VLOOKUP($B200,FoodDB!$A$2:$I$1024,6,0)</f>
        <v>0</v>
      </c>
      <c r="H200" s="73">
        <f>$C200*VLOOKUP($B200,FoodDB!$A$2:$I$1024,7,0)</f>
        <v>0</v>
      </c>
      <c r="I200" s="73">
        <f>$C200*VLOOKUP($B200,FoodDB!$A$2:$I$1024,8,0)</f>
        <v>0</v>
      </c>
      <c r="J200" s="73">
        <f>$C200*VLOOKUP($B200,FoodDB!$A$2:$I$1024,9,0)</f>
        <v>0</v>
      </c>
      <c r="K200" s="73"/>
      <c r="L200" s="73"/>
      <c r="M200" s="73"/>
      <c r="N200" s="73"/>
      <c r="O200" s="73"/>
      <c r="P200" s="73"/>
      <c r="Q200" s="73"/>
      <c r="R200" s="73"/>
      <c r="S200" s="73"/>
    </row>
    <row r="201" spans="1:19" x14ac:dyDescent="0.25">
      <c r="B201" s="71" t="s">
        <v>95</v>
      </c>
      <c r="C201" s="72">
        <v>1</v>
      </c>
      <c r="D201" s="73">
        <f>$C201*VLOOKUP($B201,FoodDB!$A$2:$I$1024,3,0)</f>
        <v>0</v>
      </c>
      <c r="E201" s="73">
        <f>$C201*VLOOKUP($B201,FoodDB!$A$2:$I$1024,4,0)</f>
        <v>0</v>
      </c>
      <c r="F201" s="73">
        <f>$C201*VLOOKUP($B201,FoodDB!$A$2:$I$1024,5,0)</f>
        <v>0</v>
      </c>
      <c r="G201" s="73">
        <f>$C201*VLOOKUP($B201,FoodDB!$A$2:$I$1024,6,0)</f>
        <v>0</v>
      </c>
      <c r="H201" s="73">
        <f>$C201*VLOOKUP($B201,FoodDB!$A$2:$I$1024,7,0)</f>
        <v>0</v>
      </c>
      <c r="I201" s="73">
        <f>$C201*VLOOKUP($B201,FoodDB!$A$2:$I$1024,8,0)</f>
        <v>0</v>
      </c>
      <c r="J201" s="73">
        <f>$C201*VLOOKUP($B201,FoodDB!$A$2:$I$1024,9,0)</f>
        <v>0</v>
      </c>
      <c r="K201" s="73"/>
      <c r="L201" s="73"/>
      <c r="M201" s="73"/>
      <c r="N201" s="73"/>
      <c r="O201" s="73"/>
      <c r="P201" s="73"/>
      <c r="Q201" s="73"/>
      <c r="R201" s="73"/>
      <c r="S201" s="73"/>
    </row>
    <row r="202" spans="1:19" x14ac:dyDescent="0.25">
      <c r="B202" s="71" t="s">
        <v>95</v>
      </c>
      <c r="C202" s="72">
        <v>1</v>
      </c>
      <c r="D202" s="73">
        <f>$C202*VLOOKUP($B202,FoodDB!$A$2:$I$1024,3,0)</f>
        <v>0</v>
      </c>
      <c r="E202" s="73">
        <f>$C202*VLOOKUP($B202,FoodDB!$A$2:$I$1024,4,0)</f>
        <v>0</v>
      </c>
      <c r="F202" s="73">
        <f>$C202*VLOOKUP($B202,FoodDB!$A$2:$I$1024,5,0)</f>
        <v>0</v>
      </c>
      <c r="G202" s="73">
        <f>$C202*VLOOKUP($B202,FoodDB!$A$2:$I$1024,6,0)</f>
        <v>0</v>
      </c>
      <c r="H202" s="73">
        <f>$C202*VLOOKUP($B202,FoodDB!$A$2:$I$1024,7,0)</f>
        <v>0</v>
      </c>
      <c r="I202" s="73">
        <f>$C202*VLOOKUP($B202,FoodDB!$A$2:$I$1024,8,0)</f>
        <v>0</v>
      </c>
      <c r="J202" s="73">
        <f>$C202*VLOOKUP($B202,FoodDB!$A$2:$I$1024,9,0)</f>
        <v>0</v>
      </c>
      <c r="K202" s="73"/>
      <c r="L202" s="73"/>
      <c r="M202" s="73"/>
      <c r="N202" s="73"/>
      <c r="O202" s="73"/>
      <c r="P202" s="73"/>
      <c r="Q202" s="73"/>
      <c r="R202" s="73"/>
      <c r="S202" s="73"/>
    </row>
    <row r="203" spans="1:19" x14ac:dyDescent="0.25">
      <c r="B203" s="71" t="s">
        <v>95</v>
      </c>
      <c r="C203" s="72">
        <v>1</v>
      </c>
      <c r="D203" s="73">
        <f>$C203*VLOOKUP($B203,FoodDB!$A$2:$I$1024,3,0)</f>
        <v>0</v>
      </c>
      <c r="E203" s="73">
        <f>$C203*VLOOKUP($B203,FoodDB!$A$2:$I$1024,4,0)</f>
        <v>0</v>
      </c>
      <c r="F203" s="73">
        <f>$C203*VLOOKUP($B203,FoodDB!$A$2:$I$1024,5,0)</f>
        <v>0</v>
      </c>
      <c r="G203" s="73">
        <f>$C203*VLOOKUP($B203,FoodDB!$A$2:$I$1024,6,0)</f>
        <v>0</v>
      </c>
      <c r="H203" s="73">
        <f>$C203*VLOOKUP($B203,FoodDB!$A$2:$I$1024,7,0)</f>
        <v>0</v>
      </c>
      <c r="I203" s="73">
        <f>$C203*VLOOKUP($B203,FoodDB!$A$2:$I$1024,8,0)</f>
        <v>0</v>
      </c>
      <c r="J203" s="73">
        <f>$C203*VLOOKUP($B203,FoodDB!$A$2:$I$1024,9,0)</f>
        <v>0</v>
      </c>
      <c r="K203" s="73"/>
      <c r="L203" s="73"/>
      <c r="M203" s="73"/>
      <c r="N203" s="73"/>
      <c r="O203" s="73"/>
      <c r="P203" s="73"/>
      <c r="Q203" s="73"/>
      <c r="R203" s="73"/>
      <c r="S203" s="73"/>
    </row>
    <row r="204" spans="1:19" x14ac:dyDescent="0.25">
      <c r="A204" t="s">
        <v>99</v>
      </c>
      <c r="D204" s="73"/>
      <c r="E204" s="73"/>
      <c r="F204" s="73"/>
      <c r="G204" s="73">
        <f>SUM(G197:G203)</f>
        <v>0</v>
      </c>
      <c r="H204" s="73">
        <f>SUM(H197:H203)</f>
        <v>0</v>
      </c>
      <c r="I204" s="73">
        <f>SUM(I197:I203)</f>
        <v>0</v>
      </c>
      <c r="J204" s="73">
        <f>SUM(G204:I204)</f>
        <v>0</v>
      </c>
      <c r="K204" s="73"/>
      <c r="L204" s="73"/>
      <c r="M204" s="73"/>
      <c r="N204" s="73"/>
      <c r="O204" s="73"/>
      <c r="P204" s="73"/>
      <c r="Q204" s="73"/>
      <c r="R204" s="73"/>
      <c r="S204" s="73"/>
    </row>
    <row r="205" spans="1:19" x14ac:dyDescent="0.25">
      <c r="A205" t="s">
        <v>100</v>
      </c>
      <c r="B205" t="s">
        <v>101</v>
      </c>
      <c r="D205" s="73"/>
      <c r="E205" s="73"/>
      <c r="F205" s="73"/>
      <c r="G205" s="73">
        <f>VLOOKUP($A197,LossChart!$A$3:$AB$73,14,0)</f>
        <v>518.51347910704976</v>
      </c>
      <c r="H205" s="73">
        <f>VLOOKUP($A197,LossChart!$A$3:$AB$73,15,0)</f>
        <v>80</v>
      </c>
      <c r="I205" s="73">
        <f>VLOOKUP($A197,LossChart!$A$3:$AB$73,16,0)</f>
        <v>463.76562996293683</v>
      </c>
      <c r="J205" s="73">
        <f>VLOOKUP($A197,LossChart!$A$3:$AB$73,17,0)</f>
        <v>1062.2791090699866</v>
      </c>
      <c r="K205" s="73"/>
      <c r="L205" s="73"/>
      <c r="M205" s="73"/>
      <c r="N205" s="73"/>
      <c r="O205" s="73"/>
      <c r="P205" s="73"/>
      <c r="Q205" s="73"/>
      <c r="R205" s="73"/>
      <c r="S205" s="73"/>
    </row>
    <row r="206" spans="1:19" x14ac:dyDescent="0.25">
      <c r="A206" t="s">
        <v>102</v>
      </c>
      <c r="D206" s="73"/>
      <c r="E206" s="73"/>
      <c r="F206" s="73"/>
      <c r="G206" s="73">
        <f>G205-G204</f>
        <v>518.51347910704976</v>
      </c>
      <c r="H206" s="73">
        <f>H205-H204</f>
        <v>80</v>
      </c>
      <c r="I206" s="73">
        <f>I205-I204</f>
        <v>463.76562996293683</v>
      </c>
      <c r="J206" s="73">
        <f>J205-J204</f>
        <v>1062.2791090699866</v>
      </c>
      <c r="K206" s="73"/>
      <c r="L206" s="73"/>
      <c r="M206" s="73"/>
      <c r="N206" s="73"/>
      <c r="O206" s="73"/>
      <c r="P206" s="73"/>
      <c r="Q206" s="73"/>
      <c r="R206" s="73"/>
      <c r="S206" s="73"/>
    </row>
    <row r="208" spans="1:19" ht="60" x14ac:dyDescent="0.25">
      <c r="A208" s="25" t="s">
        <v>63</v>
      </c>
      <c r="B208" s="25" t="s">
        <v>80</v>
      </c>
      <c r="C208" s="25" t="s">
        <v>81</v>
      </c>
      <c r="D208" s="69" t="str">
        <f>FoodDB!$C$1</f>
        <v>Fat
(g)</v>
      </c>
      <c r="E208" s="69" t="str">
        <f>FoodDB!$D$1</f>
        <v xml:space="preserve"> Net
Carbs
(g)</v>
      </c>
      <c r="F208" s="69" t="str">
        <f>FoodDB!$E$1</f>
        <v>Protein
(g)</v>
      </c>
      <c r="G208" s="69" t="str">
        <f>FoodDB!$F$1</f>
        <v>Fat
(Cal)</v>
      </c>
      <c r="H208" s="69" t="str">
        <f>FoodDB!$G$1</f>
        <v>Carb
(Cal)</v>
      </c>
      <c r="I208" s="69" t="str">
        <f>FoodDB!$H$1</f>
        <v>Protein
(Cal)</v>
      </c>
      <c r="J208" s="69" t="str">
        <f>FoodDB!$I$1</f>
        <v>Total
Calories</v>
      </c>
      <c r="K208" s="69"/>
      <c r="L208" s="69" t="s">
        <v>82</v>
      </c>
      <c r="M208" s="69" t="s">
        <v>83</v>
      </c>
      <c r="N208" s="69" t="s">
        <v>84</v>
      </c>
      <c r="O208" s="69" t="s">
        <v>85</v>
      </c>
      <c r="P208" s="69" t="s">
        <v>86</v>
      </c>
      <c r="Q208" s="69" t="s">
        <v>87</v>
      </c>
      <c r="R208" s="69" t="s">
        <v>88</v>
      </c>
      <c r="S208" s="69" t="s">
        <v>89</v>
      </c>
    </row>
    <row r="209" spans="1:19" x14ac:dyDescent="0.25">
      <c r="A209" s="70">
        <f>A197+1</f>
        <v>43048</v>
      </c>
      <c r="B209" s="71" t="s">
        <v>95</v>
      </c>
      <c r="C209" s="72">
        <v>1</v>
      </c>
      <c r="D209" s="73">
        <f>$C209*VLOOKUP($B209,FoodDB!$A$2:$I$1024,3,0)</f>
        <v>0</v>
      </c>
      <c r="E209" s="73">
        <f>$C209*VLOOKUP($B209,FoodDB!$A$2:$I$1024,4,0)</f>
        <v>0</v>
      </c>
      <c r="F209" s="73">
        <f>$C209*VLOOKUP($B209,FoodDB!$A$2:$I$1024,5,0)</f>
        <v>0</v>
      </c>
      <c r="G209" s="73">
        <f>$C209*VLOOKUP($B209,FoodDB!$A$2:$I$1024,6,0)</f>
        <v>0</v>
      </c>
      <c r="H209" s="73">
        <f>$C209*VLOOKUP($B209,FoodDB!$A$2:$I$1024,7,0)</f>
        <v>0</v>
      </c>
      <c r="I209" s="73">
        <f>$C209*VLOOKUP($B209,FoodDB!$A$2:$I$1024,8,0)</f>
        <v>0</v>
      </c>
      <c r="J209" s="73">
        <f>$C209*VLOOKUP($B209,FoodDB!$A$2:$I$1024,9,0)</f>
        <v>0</v>
      </c>
      <c r="K209" s="73"/>
      <c r="L209" s="73">
        <f>SUM(G209:G215)</f>
        <v>0</v>
      </c>
      <c r="M209" s="73">
        <f>SUM(H209:H215)</f>
        <v>0</v>
      </c>
      <c r="N209" s="73">
        <f>SUM(I209:I215)</f>
        <v>0</v>
      </c>
      <c r="O209" s="73">
        <f>SUM(L209:N209)</f>
        <v>0</v>
      </c>
      <c r="P209" s="73">
        <f>VLOOKUP($A209,LossChart!$A$3:$AB$73,14,0)-L209</f>
        <v>525.33471089847353</v>
      </c>
      <c r="Q209" s="73">
        <f>VLOOKUP($A209,LossChart!$A$3:$AB$73,15,0)-M209</f>
        <v>80</v>
      </c>
      <c r="R209" s="73">
        <f>VLOOKUP($A209,LossChart!$A$3:$AB$73,16,0)-N209</f>
        <v>463.76562996293683</v>
      </c>
      <c r="S209" s="73">
        <f>VLOOKUP($A209,LossChart!$A$3:$AB$73,17,0)-O209</f>
        <v>1069.1003408614104</v>
      </c>
    </row>
    <row r="210" spans="1:19" x14ac:dyDescent="0.25">
      <c r="B210" s="71" t="s">
        <v>95</v>
      </c>
      <c r="C210" s="72">
        <v>1</v>
      </c>
      <c r="D210" s="73">
        <f>$C210*VLOOKUP($B210,FoodDB!$A$2:$I$1024,3,0)</f>
        <v>0</v>
      </c>
      <c r="E210" s="73">
        <f>$C210*VLOOKUP($B210,FoodDB!$A$2:$I$1024,4,0)</f>
        <v>0</v>
      </c>
      <c r="F210" s="73">
        <f>$C210*VLOOKUP($B210,FoodDB!$A$2:$I$1024,5,0)</f>
        <v>0</v>
      </c>
      <c r="G210" s="73">
        <f>$C210*VLOOKUP($B210,FoodDB!$A$2:$I$1024,6,0)</f>
        <v>0</v>
      </c>
      <c r="H210" s="73">
        <f>$C210*VLOOKUP($B210,FoodDB!$A$2:$I$1024,7,0)</f>
        <v>0</v>
      </c>
      <c r="I210" s="73">
        <f>$C210*VLOOKUP($B210,FoodDB!$A$2:$I$1024,8,0)</f>
        <v>0</v>
      </c>
      <c r="J210" s="73">
        <f>$C210*VLOOKUP($B210,FoodDB!$A$2:$I$1024,9,0)</f>
        <v>0</v>
      </c>
      <c r="K210" s="73"/>
      <c r="L210" s="73"/>
      <c r="M210" s="73"/>
      <c r="N210" s="73"/>
      <c r="O210" s="73"/>
      <c r="P210" s="73"/>
      <c r="Q210" s="73"/>
      <c r="R210" s="73"/>
      <c r="S210" s="73"/>
    </row>
    <row r="211" spans="1:19" x14ac:dyDescent="0.25">
      <c r="B211" s="71" t="s">
        <v>95</v>
      </c>
      <c r="C211" s="72">
        <v>1</v>
      </c>
      <c r="D211" s="73">
        <f>$C211*VLOOKUP($B211,FoodDB!$A$2:$I$1024,3,0)</f>
        <v>0</v>
      </c>
      <c r="E211" s="73">
        <f>$C211*VLOOKUP($B211,FoodDB!$A$2:$I$1024,4,0)</f>
        <v>0</v>
      </c>
      <c r="F211" s="73">
        <f>$C211*VLOOKUP($B211,FoodDB!$A$2:$I$1024,5,0)</f>
        <v>0</v>
      </c>
      <c r="G211" s="73">
        <f>$C211*VLOOKUP($B211,FoodDB!$A$2:$I$1024,6,0)</f>
        <v>0</v>
      </c>
      <c r="H211" s="73">
        <f>$C211*VLOOKUP($B211,FoodDB!$A$2:$I$1024,7,0)</f>
        <v>0</v>
      </c>
      <c r="I211" s="73">
        <f>$C211*VLOOKUP($B211,FoodDB!$A$2:$I$1024,8,0)</f>
        <v>0</v>
      </c>
      <c r="J211" s="73">
        <f>$C211*VLOOKUP($B211,FoodDB!$A$2:$I$1024,9,0)</f>
        <v>0</v>
      </c>
      <c r="K211" s="73"/>
      <c r="L211" s="73"/>
      <c r="M211" s="73"/>
      <c r="N211" s="73"/>
      <c r="O211" s="73"/>
      <c r="P211" s="73"/>
      <c r="Q211" s="73"/>
      <c r="R211" s="73"/>
      <c r="S211" s="73"/>
    </row>
    <row r="212" spans="1:19" x14ac:dyDescent="0.25">
      <c r="B212" s="71" t="s">
        <v>95</v>
      </c>
      <c r="C212" s="72">
        <v>1</v>
      </c>
      <c r="D212" s="73">
        <f>$C212*VLOOKUP($B212,FoodDB!$A$2:$I$1024,3,0)</f>
        <v>0</v>
      </c>
      <c r="E212" s="73">
        <f>$C212*VLOOKUP($B212,FoodDB!$A$2:$I$1024,4,0)</f>
        <v>0</v>
      </c>
      <c r="F212" s="73">
        <f>$C212*VLOOKUP($B212,FoodDB!$A$2:$I$1024,5,0)</f>
        <v>0</v>
      </c>
      <c r="G212" s="73">
        <f>$C212*VLOOKUP($B212,FoodDB!$A$2:$I$1024,6,0)</f>
        <v>0</v>
      </c>
      <c r="H212" s="73">
        <f>$C212*VLOOKUP($B212,FoodDB!$A$2:$I$1024,7,0)</f>
        <v>0</v>
      </c>
      <c r="I212" s="73">
        <f>$C212*VLOOKUP($B212,FoodDB!$A$2:$I$1024,8,0)</f>
        <v>0</v>
      </c>
      <c r="J212" s="73">
        <f>$C212*VLOOKUP($B212,FoodDB!$A$2:$I$1024,9,0)</f>
        <v>0</v>
      </c>
      <c r="K212" s="73"/>
      <c r="L212" s="73"/>
      <c r="M212" s="73"/>
      <c r="N212" s="73"/>
      <c r="O212" s="73"/>
      <c r="P212" s="73"/>
      <c r="Q212" s="73"/>
      <c r="R212" s="73"/>
      <c r="S212" s="73"/>
    </row>
    <row r="213" spans="1:19" x14ac:dyDescent="0.25">
      <c r="B213" s="71" t="s">
        <v>95</v>
      </c>
      <c r="C213" s="72">
        <v>1</v>
      </c>
      <c r="D213" s="73">
        <f>$C213*VLOOKUP($B213,FoodDB!$A$2:$I$1024,3,0)</f>
        <v>0</v>
      </c>
      <c r="E213" s="73">
        <f>$C213*VLOOKUP($B213,FoodDB!$A$2:$I$1024,4,0)</f>
        <v>0</v>
      </c>
      <c r="F213" s="73">
        <f>$C213*VLOOKUP($B213,FoodDB!$A$2:$I$1024,5,0)</f>
        <v>0</v>
      </c>
      <c r="G213" s="73">
        <f>$C213*VLOOKUP($B213,FoodDB!$A$2:$I$1024,6,0)</f>
        <v>0</v>
      </c>
      <c r="H213" s="73">
        <f>$C213*VLOOKUP($B213,FoodDB!$A$2:$I$1024,7,0)</f>
        <v>0</v>
      </c>
      <c r="I213" s="73">
        <f>$C213*VLOOKUP($B213,FoodDB!$A$2:$I$1024,8,0)</f>
        <v>0</v>
      </c>
      <c r="J213" s="73">
        <f>$C213*VLOOKUP($B213,FoodDB!$A$2:$I$1024,9,0)</f>
        <v>0</v>
      </c>
      <c r="K213" s="73"/>
      <c r="L213" s="73"/>
      <c r="M213" s="73"/>
      <c r="N213" s="73"/>
      <c r="O213" s="73"/>
      <c r="P213" s="73"/>
      <c r="Q213" s="73"/>
      <c r="R213" s="73"/>
      <c r="S213" s="73"/>
    </row>
    <row r="214" spans="1:19" x14ac:dyDescent="0.25">
      <c r="B214" s="71" t="s">
        <v>95</v>
      </c>
      <c r="C214" s="72">
        <v>1</v>
      </c>
      <c r="D214" s="73">
        <f>$C214*VLOOKUP($B214,FoodDB!$A$2:$I$1024,3,0)</f>
        <v>0</v>
      </c>
      <c r="E214" s="73">
        <f>$C214*VLOOKUP($B214,FoodDB!$A$2:$I$1024,4,0)</f>
        <v>0</v>
      </c>
      <c r="F214" s="73">
        <f>$C214*VLOOKUP($B214,FoodDB!$A$2:$I$1024,5,0)</f>
        <v>0</v>
      </c>
      <c r="G214" s="73">
        <f>$C214*VLOOKUP($B214,FoodDB!$A$2:$I$1024,6,0)</f>
        <v>0</v>
      </c>
      <c r="H214" s="73">
        <f>$C214*VLOOKUP($B214,FoodDB!$A$2:$I$1024,7,0)</f>
        <v>0</v>
      </c>
      <c r="I214" s="73">
        <f>$C214*VLOOKUP($B214,FoodDB!$A$2:$I$1024,8,0)</f>
        <v>0</v>
      </c>
      <c r="J214" s="73">
        <f>$C214*VLOOKUP($B214,FoodDB!$A$2:$I$1024,9,0)</f>
        <v>0</v>
      </c>
      <c r="K214" s="73"/>
      <c r="L214" s="73"/>
      <c r="M214" s="73"/>
      <c r="N214" s="73"/>
      <c r="O214" s="73"/>
      <c r="P214" s="73"/>
      <c r="Q214" s="73"/>
      <c r="R214" s="73"/>
      <c r="S214" s="73"/>
    </row>
    <row r="215" spans="1:19" x14ac:dyDescent="0.25">
      <c r="B215" s="71" t="s">
        <v>95</v>
      </c>
      <c r="C215" s="72">
        <v>1</v>
      </c>
      <c r="D215" s="73">
        <f>$C215*VLOOKUP($B215,FoodDB!$A$2:$I$1024,3,0)</f>
        <v>0</v>
      </c>
      <c r="E215" s="73">
        <f>$C215*VLOOKUP($B215,FoodDB!$A$2:$I$1024,4,0)</f>
        <v>0</v>
      </c>
      <c r="F215" s="73">
        <f>$C215*VLOOKUP($B215,FoodDB!$A$2:$I$1024,5,0)</f>
        <v>0</v>
      </c>
      <c r="G215" s="73">
        <f>$C215*VLOOKUP($B215,FoodDB!$A$2:$I$1024,6,0)</f>
        <v>0</v>
      </c>
      <c r="H215" s="73">
        <f>$C215*VLOOKUP($B215,FoodDB!$A$2:$I$1024,7,0)</f>
        <v>0</v>
      </c>
      <c r="I215" s="73">
        <f>$C215*VLOOKUP($B215,FoodDB!$A$2:$I$1024,8,0)</f>
        <v>0</v>
      </c>
      <c r="J215" s="73">
        <f>$C215*VLOOKUP($B215,FoodDB!$A$2:$I$1024,9,0)</f>
        <v>0</v>
      </c>
      <c r="K215" s="73"/>
      <c r="L215" s="73"/>
      <c r="M215" s="73"/>
      <c r="N215" s="73"/>
      <c r="O215" s="73"/>
      <c r="P215" s="73"/>
      <c r="Q215" s="73"/>
      <c r="R215" s="73"/>
      <c r="S215" s="73"/>
    </row>
    <row r="216" spans="1:19" x14ac:dyDescent="0.25">
      <c r="A216" t="s">
        <v>99</v>
      </c>
      <c r="D216" s="73"/>
      <c r="E216" s="73"/>
      <c r="F216" s="73"/>
      <c r="G216" s="73">
        <f>SUM(G209:G215)</f>
        <v>0</v>
      </c>
      <c r="H216" s="73">
        <f>SUM(H209:H215)</f>
        <v>0</v>
      </c>
      <c r="I216" s="73">
        <f>SUM(I209:I215)</f>
        <v>0</v>
      </c>
      <c r="J216" s="73">
        <f>SUM(G216:I216)</f>
        <v>0</v>
      </c>
      <c r="K216" s="73"/>
      <c r="L216" s="73"/>
      <c r="M216" s="73"/>
      <c r="N216" s="73"/>
      <c r="O216" s="73"/>
      <c r="P216" s="73"/>
      <c r="Q216" s="73"/>
      <c r="R216" s="73"/>
      <c r="S216" s="73"/>
    </row>
    <row r="217" spans="1:19" x14ac:dyDescent="0.25">
      <c r="A217" t="s">
        <v>100</v>
      </c>
      <c r="B217" t="s">
        <v>101</v>
      </c>
      <c r="D217" s="73"/>
      <c r="E217" s="73"/>
      <c r="F217" s="73"/>
      <c r="G217" s="73">
        <f>VLOOKUP($A209,LossChart!$A$3:$AB$73,14,0)</f>
        <v>525.33471089847353</v>
      </c>
      <c r="H217" s="73">
        <f>VLOOKUP($A209,LossChart!$A$3:$AB$73,15,0)</f>
        <v>80</v>
      </c>
      <c r="I217" s="73">
        <f>VLOOKUP($A209,LossChart!$A$3:$AB$73,16,0)</f>
        <v>463.76562996293683</v>
      </c>
      <c r="J217" s="73">
        <f>VLOOKUP($A209,LossChart!$A$3:$AB$73,17,0)</f>
        <v>1069.1003408614104</v>
      </c>
      <c r="K217" s="73"/>
      <c r="L217" s="73"/>
      <c r="M217" s="73"/>
      <c r="N217" s="73"/>
      <c r="O217" s="73"/>
      <c r="P217" s="73"/>
      <c r="Q217" s="73"/>
      <c r="R217" s="73"/>
      <c r="S217" s="73"/>
    </row>
    <row r="218" spans="1:19" x14ac:dyDescent="0.25">
      <c r="A218" t="s">
        <v>102</v>
      </c>
      <c r="D218" s="73"/>
      <c r="E218" s="73"/>
      <c r="F218" s="73"/>
      <c r="G218" s="73">
        <f>G217-G216</f>
        <v>525.33471089847353</v>
      </c>
      <c r="H218" s="73">
        <f>H217-H216</f>
        <v>80</v>
      </c>
      <c r="I218" s="73">
        <f>I217-I216</f>
        <v>463.76562996293683</v>
      </c>
      <c r="J218" s="73">
        <f>J217-J216</f>
        <v>1069.1003408614104</v>
      </c>
      <c r="K218" s="73"/>
      <c r="L218" s="73"/>
      <c r="M218" s="73"/>
      <c r="N218" s="73"/>
      <c r="O218" s="73"/>
      <c r="P218" s="73"/>
      <c r="Q218" s="73"/>
      <c r="R218" s="73"/>
      <c r="S218" s="73"/>
    </row>
    <row r="220" spans="1:19" ht="60" x14ac:dyDescent="0.25">
      <c r="A220" s="25" t="s">
        <v>63</v>
      </c>
      <c r="B220" s="25" t="s">
        <v>80</v>
      </c>
      <c r="C220" s="25" t="s">
        <v>81</v>
      </c>
      <c r="D220" s="69" t="str">
        <f>FoodDB!$C$1</f>
        <v>Fat
(g)</v>
      </c>
      <c r="E220" s="69" t="str">
        <f>FoodDB!$D$1</f>
        <v xml:space="preserve"> Net
Carbs
(g)</v>
      </c>
      <c r="F220" s="69" t="str">
        <f>FoodDB!$E$1</f>
        <v>Protein
(g)</v>
      </c>
      <c r="G220" s="69" t="str">
        <f>FoodDB!$F$1</f>
        <v>Fat
(Cal)</v>
      </c>
      <c r="H220" s="69" t="str">
        <f>FoodDB!$G$1</f>
        <v>Carb
(Cal)</v>
      </c>
      <c r="I220" s="69" t="str">
        <f>FoodDB!$H$1</f>
        <v>Protein
(Cal)</v>
      </c>
      <c r="J220" s="69" t="str">
        <f>FoodDB!$I$1</f>
        <v>Total
Calories</v>
      </c>
      <c r="K220" s="69"/>
      <c r="L220" s="69" t="s">
        <v>82</v>
      </c>
      <c r="M220" s="69" t="s">
        <v>83</v>
      </c>
      <c r="N220" s="69" t="s">
        <v>84</v>
      </c>
      <c r="O220" s="69" t="s">
        <v>85</v>
      </c>
      <c r="P220" s="69" t="s">
        <v>86</v>
      </c>
      <c r="Q220" s="69" t="s">
        <v>87</v>
      </c>
      <c r="R220" s="69" t="s">
        <v>88</v>
      </c>
      <c r="S220" s="69" t="s">
        <v>89</v>
      </c>
    </row>
    <row r="221" spans="1:19" x14ac:dyDescent="0.25">
      <c r="A221" s="70">
        <f>A209+1</f>
        <v>43049</v>
      </c>
      <c r="B221" s="71" t="s">
        <v>95</v>
      </c>
      <c r="C221" s="72">
        <v>1</v>
      </c>
      <c r="D221" s="73">
        <f>$C221*VLOOKUP($B221,FoodDB!$A$2:$I$1024,3,0)</f>
        <v>0</v>
      </c>
      <c r="E221" s="73">
        <f>$C221*VLOOKUP($B221,FoodDB!$A$2:$I$1024,4,0)</f>
        <v>0</v>
      </c>
      <c r="F221" s="73">
        <f>$C221*VLOOKUP($B221,FoodDB!$A$2:$I$1024,5,0)</f>
        <v>0</v>
      </c>
      <c r="G221" s="73">
        <f>$C221*VLOOKUP($B221,FoodDB!$A$2:$I$1024,6,0)</f>
        <v>0</v>
      </c>
      <c r="H221" s="73">
        <f>$C221*VLOOKUP($B221,FoodDB!$A$2:$I$1024,7,0)</f>
        <v>0</v>
      </c>
      <c r="I221" s="73">
        <f>$C221*VLOOKUP($B221,FoodDB!$A$2:$I$1024,8,0)</f>
        <v>0</v>
      </c>
      <c r="J221" s="73">
        <f>$C221*VLOOKUP($B221,FoodDB!$A$2:$I$1024,9,0)</f>
        <v>0</v>
      </c>
      <c r="K221" s="73"/>
      <c r="L221" s="73">
        <f>SUM(G221:G227)</f>
        <v>0</v>
      </c>
      <c r="M221" s="73">
        <f>SUM(H221:H227)</f>
        <v>0</v>
      </c>
      <c r="N221" s="73">
        <f>SUM(I221:I227)</f>
        <v>0</v>
      </c>
      <c r="O221" s="73">
        <f>SUM(L221:N221)</f>
        <v>0</v>
      </c>
      <c r="P221" s="73">
        <f>VLOOKUP($A221,LossChart!$A$3:$AB$73,14,0)-L221</f>
        <v>532.0955260654589</v>
      </c>
      <c r="Q221" s="73">
        <f>VLOOKUP($A221,LossChart!$A$3:$AB$73,15,0)-M221</f>
        <v>80</v>
      </c>
      <c r="R221" s="73">
        <f>VLOOKUP($A221,LossChart!$A$3:$AB$73,16,0)-N221</f>
        <v>463.76562996293683</v>
      </c>
      <c r="S221" s="73">
        <f>VLOOKUP($A221,LossChart!$A$3:$AB$73,17,0)-O221</f>
        <v>1075.8611560283957</v>
      </c>
    </row>
    <row r="222" spans="1:19" x14ac:dyDescent="0.25">
      <c r="B222" s="71" t="s">
        <v>95</v>
      </c>
      <c r="C222" s="72">
        <v>1</v>
      </c>
      <c r="D222" s="73">
        <f>$C222*VLOOKUP($B222,FoodDB!$A$2:$I$1024,3,0)</f>
        <v>0</v>
      </c>
      <c r="E222" s="73">
        <f>$C222*VLOOKUP($B222,FoodDB!$A$2:$I$1024,4,0)</f>
        <v>0</v>
      </c>
      <c r="F222" s="73">
        <f>$C222*VLOOKUP($B222,FoodDB!$A$2:$I$1024,5,0)</f>
        <v>0</v>
      </c>
      <c r="G222" s="73">
        <f>$C222*VLOOKUP($B222,FoodDB!$A$2:$I$1024,6,0)</f>
        <v>0</v>
      </c>
      <c r="H222" s="73">
        <f>$C222*VLOOKUP($B222,FoodDB!$A$2:$I$1024,7,0)</f>
        <v>0</v>
      </c>
      <c r="I222" s="73">
        <f>$C222*VLOOKUP($B222,FoodDB!$A$2:$I$1024,8,0)</f>
        <v>0</v>
      </c>
      <c r="J222" s="73">
        <f>$C222*VLOOKUP($B222,FoodDB!$A$2:$I$1024,9,0)</f>
        <v>0</v>
      </c>
      <c r="K222" s="73"/>
      <c r="L222" s="73"/>
      <c r="M222" s="73"/>
      <c r="N222" s="73"/>
      <c r="O222" s="73"/>
      <c r="P222" s="73"/>
      <c r="Q222" s="73"/>
      <c r="R222" s="73"/>
      <c r="S222" s="73"/>
    </row>
    <row r="223" spans="1:19" x14ac:dyDescent="0.25">
      <c r="B223" s="71" t="s">
        <v>95</v>
      </c>
      <c r="C223" s="72">
        <v>1</v>
      </c>
      <c r="D223" s="73">
        <f>$C223*VLOOKUP($B223,FoodDB!$A$2:$I$1024,3,0)</f>
        <v>0</v>
      </c>
      <c r="E223" s="73">
        <f>$C223*VLOOKUP($B223,FoodDB!$A$2:$I$1024,4,0)</f>
        <v>0</v>
      </c>
      <c r="F223" s="73">
        <f>$C223*VLOOKUP($B223,FoodDB!$A$2:$I$1024,5,0)</f>
        <v>0</v>
      </c>
      <c r="G223" s="73">
        <f>$C223*VLOOKUP($B223,FoodDB!$A$2:$I$1024,6,0)</f>
        <v>0</v>
      </c>
      <c r="H223" s="73">
        <f>$C223*VLOOKUP($B223,FoodDB!$A$2:$I$1024,7,0)</f>
        <v>0</v>
      </c>
      <c r="I223" s="73">
        <f>$C223*VLOOKUP($B223,FoodDB!$A$2:$I$1024,8,0)</f>
        <v>0</v>
      </c>
      <c r="J223" s="73">
        <f>$C223*VLOOKUP($B223,FoodDB!$A$2:$I$1024,9,0)</f>
        <v>0</v>
      </c>
      <c r="K223" s="73"/>
      <c r="L223" s="73"/>
      <c r="M223" s="73"/>
      <c r="N223" s="73"/>
      <c r="O223" s="73"/>
      <c r="P223" s="73"/>
      <c r="Q223" s="73"/>
      <c r="R223" s="73"/>
      <c r="S223" s="73"/>
    </row>
    <row r="224" spans="1:19" x14ac:dyDescent="0.25">
      <c r="B224" s="71" t="s">
        <v>95</v>
      </c>
      <c r="C224" s="72">
        <v>1</v>
      </c>
      <c r="D224" s="73">
        <f>$C224*VLOOKUP($B224,FoodDB!$A$2:$I$1024,3,0)</f>
        <v>0</v>
      </c>
      <c r="E224" s="73">
        <f>$C224*VLOOKUP($B224,FoodDB!$A$2:$I$1024,4,0)</f>
        <v>0</v>
      </c>
      <c r="F224" s="73">
        <f>$C224*VLOOKUP($B224,FoodDB!$A$2:$I$1024,5,0)</f>
        <v>0</v>
      </c>
      <c r="G224" s="73">
        <f>$C224*VLOOKUP($B224,FoodDB!$A$2:$I$1024,6,0)</f>
        <v>0</v>
      </c>
      <c r="H224" s="73">
        <f>$C224*VLOOKUP($B224,FoodDB!$A$2:$I$1024,7,0)</f>
        <v>0</v>
      </c>
      <c r="I224" s="73">
        <f>$C224*VLOOKUP($B224,FoodDB!$A$2:$I$1024,8,0)</f>
        <v>0</v>
      </c>
      <c r="J224" s="73">
        <f>$C224*VLOOKUP($B224,FoodDB!$A$2:$I$1024,9,0)</f>
        <v>0</v>
      </c>
      <c r="K224" s="73"/>
      <c r="L224" s="73"/>
      <c r="M224" s="73"/>
      <c r="N224" s="73"/>
      <c r="O224" s="73"/>
      <c r="P224" s="73"/>
      <c r="Q224" s="73"/>
      <c r="R224" s="73"/>
      <c r="S224" s="73"/>
    </row>
    <row r="225" spans="1:19" x14ac:dyDescent="0.25">
      <c r="B225" s="71" t="s">
        <v>95</v>
      </c>
      <c r="C225" s="72">
        <v>1</v>
      </c>
      <c r="D225" s="73">
        <f>$C225*VLOOKUP($B225,FoodDB!$A$2:$I$1024,3,0)</f>
        <v>0</v>
      </c>
      <c r="E225" s="73">
        <f>$C225*VLOOKUP($B225,FoodDB!$A$2:$I$1024,4,0)</f>
        <v>0</v>
      </c>
      <c r="F225" s="73">
        <f>$C225*VLOOKUP($B225,FoodDB!$A$2:$I$1024,5,0)</f>
        <v>0</v>
      </c>
      <c r="G225" s="73">
        <f>$C225*VLOOKUP($B225,FoodDB!$A$2:$I$1024,6,0)</f>
        <v>0</v>
      </c>
      <c r="H225" s="73">
        <f>$C225*VLOOKUP($B225,FoodDB!$A$2:$I$1024,7,0)</f>
        <v>0</v>
      </c>
      <c r="I225" s="73">
        <f>$C225*VLOOKUP($B225,FoodDB!$A$2:$I$1024,8,0)</f>
        <v>0</v>
      </c>
      <c r="J225" s="73">
        <f>$C225*VLOOKUP($B225,FoodDB!$A$2:$I$1024,9,0)</f>
        <v>0</v>
      </c>
      <c r="K225" s="73"/>
      <c r="L225" s="73"/>
      <c r="M225" s="73"/>
      <c r="N225" s="73"/>
      <c r="O225" s="73"/>
      <c r="P225" s="73"/>
      <c r="Q225" s="73"/>
      <c r="R225" s="73"/>
      <c r="S225" s="73"/>
    </row>
    <row r="226" spans="1:19" x14ac:dyDescent="0.25">
      <c r="B226" s="71" t="s">
        <v>95</v>
      </c>
      <c r="C226" s="72">
        <v>1</v>
      </c>
      <c r="D226" s="73">
        <f>$C226*VLOOKUP($B226,FoodDB!$A$2:$I$1024,3,0)</f>
        <v>0</v>
      </c>
      <c r="E226" s="73">
        <f>$C226*VLOOKUP($B226,FoodDB!$A$2:$I$1024,4,0)</f>
        <v>0</v>
      </c>
      <c r="F226" s="73">
        <f>$C226*VLOOKUP($B226,FoodDB!$A$2:$I$1024,5,0)</f>
        <v>0</v>
      </c>
      <c r="G226" s="73">
        <f>$C226*VLOOKUP($B226,FoodDB!$A$2:$I$1024,6,0)</f>
        <v>0</v>
      </c>
      <c r="H226" s="73">
        <f>$C226*VLOOKUP($B226,FoodDB!$A$2:$I$1024,7,0)</f>
        <v>0</v>
      </c>
      <c r="I226" s="73">
        <f>$C226*VLOOKUP($B226,FoodDB!$A$2:$I$1024,8,0)</f>
        <v>0</v>
      </c>
      <c r="J226" s="73">
        <f>$C226*VLOOKUP($B226,FoodDB!$A$2:$I$1024,9,0)</f>
        <v>0</v>
      </c>
      <c r="K226" s="73"/>
      <c r="L226" s="73"/>
      <c r="M226" s="73"/>
      <c r="N226" s="73"/>
      <c r="O226" s="73"/>
      <c r="P226" s="73"/>
      <c r="Q226" s="73"/>
      <c r="R226" s="73"/>
      <c r="S226" s="73"/>
    </row>
    <row r="227" spans="1:19" x14ac:dyDescent="0.25">
      <c r="B227" s="71" t="s">
        <v>95</v>
      </c>
      <c r="C227" s="72">
        <v>1</v>
      </c>
      <c r="D227" s="73">
        <f>$C227*VLOOKUP($B227,FoodDB!$A$2:$I$1024,3,0)</f>
        <v>0</v>
      </c>
      <c r="E227" s="73">
        <f>$C227*VLOOKUP($B227,FoodDB!$A$2:$I$1024,4,0)</f>
        <v>0</v>
      </c>
      <c r="F227" s="73">
        <f>$C227*VLOOKUP($B227,FoodDB!$A$2:$I$1024,5,0)</f>
        <v>0</v>
      </c>
      <c r="G227" s="73">
        <f>$C227*VLOOKUP($B227,FoodDB!$A$2:$I$1024,6,0)</f>
        <v>0</v>
      </c>
      <c r="H227" s="73">
        <f>$C227*VLOOKUP($B227,FoodDB!$A$2:$I$1024,7,0)</f>
        <v>0</v>
      </c>
      <c r="I227" s="73">
        <f>$C227*VLOOKUP($B227,FoodDB!$A$2:$I$1024,8,0)</f>
        <v>0</v>
      </c>
      <c r="J227" s="73">
        <f>$C227*VLOOKUP($B227,FoodDB!$A$2:$I$1024,9,0)</f>
        <v>0</v>
      </c>
      <c r="K227" s="73"/>
      <c r="L227" s="73"/>
      <c r="M227" s="73"/>
      <c r="N227" s="73"/>
      <c r="O227" s="73"/>
      <c r="P227" s="73"/>
      <c r="Q227" s="73"/>
      <c r="R227" s="73"/>
      <c r="S227" s="73"/>
    </row>
    <row r="228" spans="1:19" x14ac:dyDescent="0.25">
      <c r="A228" t="s">
        <v>99</v>
      </c>
      <c r="D228" s="73"/>
      <c r="E228" s="73"/>
      <c r="F228" s="73"/>
      <c r="G228" s="73">
        <f>SUM(G221:G227)</f>
        <v>0</v>
      </c>
      <c r="H228" s="73">
        <f>SUM(H221:H227)</f>
        <v>0</v>
      </c>
      <c r="I228" s="73">
        <f>SUM(I221:I227)</f>
        <v>0</v>
      </c>
      <c r="J228" s="73">
        <f>SUM(G228:I228)</f>
        <v>0</v>
      </c>
      <c r="K228" s="73"/>
      <c r="L228" s="73"/>
      <c r="M228" s="73"/>
      <c r="N228" s="73"/>
      <c r="O228" s="73"/>
      <c r="P228" s="73"/>
      <c r="Q228" s="73"/>
      <c r="R228" s="73"/>
      <c r="S228" s="73"/>
    </row>
    <row r="229" spans="1:19" x14ac:dyDescent="0.25">
      <c r="A229" t="s">
        <v>100</v>
      </c>
      <c r="B229" t="s">
        <v>101</v>
      </c>
      <c r="D229" s="73"/>
      <c r="E229" s="73"/>
      <c r="F229" s="73"/>
      <c r="G229" s="73">
        <f>VLOOKUP($A221,LossChart!$A$3:$AB$73,14,0)</f>
        <v>532.0955260654589</v>
      </c>
      <c r="H229" s="73">
        <f>VLOOKUP($A221,LossChart!$A$3:$AB$73,15,0)</f>
        <v>80</v>
      </c>
      <c r="I229" s="73">
        <f>VLOOKUP($A221,LossChart!$A$3:$AB$73,16,0)</f>
        <v>463.76562996293683</v>
      </c>
      <c r="J229" s="73">
        <f>VLOOKUP($A221,LossChart!$A$3:$AB$73,17,0)</f>
        <v>1075.8611560283957</v>
      </c>
      <c r="K229" s="73"/>
      <c r="L229" s="73"/>
      <c r="M229" s="73"/>
      <c r="N229" s="73"/>
      <c r="O229" s="73"/>
      <c r="P229" s="73"/>
      <c r="Q229" s="73"/>
      <c r="R229" s="73"/>
      <c r="S229" s="73"/>
    </row>
    <row r="230" spans="1:19" x14ac:dyDescent="0.25">
      <c r="A230" t="s">
        <v>102</v>
      </c>
      <c r="D230" s="73"/>
      <c r="E230" s="73"/>
      <c r="F230" s="73"/>
      <c r="G230" s="73">
        <f>G229-G228</f>
        <v>532.0955260654589</v>
      </c>
      <c r="H230" s="73">
        <f>H229-H228</f>
        <v>80</v>
      </c>
      <c r="I230" s="73">
        <f>I229-I228</f>
        <v>463.76562996293683</v>
      </c>
      <c r="J230" s="73">
        <f>J229-J228</f>
        <v>1075.8611560283957</v>
      </c>
      <c r="K230" s="73"/>
      <c r="L230" s="73"/>
      <c r="M230" s="73"/>
      <c r="N230" s="73"/>
      <c r="O230" s="73"/>
      <c r="P230" s="73"/>
      <c r="Q230" s="73"/>
      <c r="R230" s="73"/>
      <c r="S230" s="73"/>
    </row>
    <row r="232" spans="1:19" ht="60" x14ac:dyDescent="0.25">
      <c r="A232" s="25" t="s">
        <v>63</v>
      </c>
      <c r="B232" s="25" t="s">
        <v>80</v>
      </c>
      <c r="C232" s="25" t="s">
        <v>81</v>
      </c>
      <c r="D232" s="69" t="str">
        <f>FoodDB!$C$1</f>
        <v>Fat
(g)</v>
      </c>
      <c r="E232" s="69" t="str">
        <f>FoodDB!$D$1</f>
        <v xml:space="preserve"> Net
Carbs
(g)</v>
      </c>
      <c r="F232" s="69" t="str">
        <f>FoodDB!$E$1</f>
        <v>Protein
(g)</v>
      </c>
      <c r="G232" s="69" t="str">
        <f>FoodDB!$F$1</f>
        <v>Fat
(Cal)</v>
      </c>
      <c r="H232" s="69" t="str">
        <f>FoodDB!$G$1</f>
        <v>Carb
(Cal)</v>
      </c>
      <c r="I232" s="69" t="str">
        <f>FoodDB!$H$1</f>
        <v>Protein
(Cal)</v>
      </c>
      <c r="J232" s="69" t="str">
        <f>FoodDB!$I$1</f>
        <v>Total
Calories</v>
      </c>
      <c r="K232" s="69"/>
      <c r="L232" s="69" t="s">
        <v>82</v>
      </c>
      <c r="M232" s="69" t="s">
        <v>83</v>
      </c>
      <c r="N232" s="69" t="s">
        <v>84</v>
      </c>
      <c r="O232" s="69" t="s">
        <v>85</v>
      </c>
      <c r="P232" s="69" t="s">
        <v>86</v>
      </c>
      <c r="Q232" s="69" t="s">
        <v>87</v>
      </c>
      <c r="R232" s="69" t="s">
        <v>88</v>
      </c>
      <c r="S232" s="69" t="s">
        <v>89</v>
      </c>
    </row>
    <row r="233" spans="1:19" x14ac:dyDescent="0.25">
      <c r="A233" s="70">
        <f>A221+1</f>
        <v>43050</v>
      </c>
      <c r="B233" s="71" t="s">
        <v>95</v>
      </c>
      <c r="C233" s="72">
        <v>1</v>
      </c>
      <c r="D233" s="73">
        <f>$C233*VLOOKUP($B233,FoodDB!$A$2:$I$1024,3,0)</f>
        <v>0</v>
      </c>
      <c r="E233" s="73">
        <f>$C233*VLOOKUP($B233,FoodDB!$A$2:$I$1024,4,0)</f>
        <v>0</v>
      </c>
      <c r="F233" s="73">
        <f>$C233*VLOOKUP($B233,FoodDB!$A$2:$I$1024,5,0)</f>
        <v>0</v>
      </c>
      <c r="G233" s="73">
        <f>$C233*VLOOKUP($B233,FoodDB!$A$2:$I$1024,6,0)</f>
        <v>0</v>
      </c>
      <c r="H233" s="73">
        <f>$C233*VLOOKUP($B233,FoodDB!$A$2:$I$1024,7,0)</f>
        <v>0</v>
      </c>
      <c r="I233" s="73">
        <f>$C233*VLOOKUP($B233,FoodDB!$A$2:$I$1024,8,0)</f>
        <v>0</v>
      </c>
      <c r="J233" s="73">
        <f>$C233*VLOOKUP($B233,FoodDB!$A$2:$I$1024,9,0)</f>
        <v>0</v>
      </c>
      <c r="K233" s="73"/>
      <c r="L233" s="73">
        <f>SUM(G233:G239)</f>
        <v>0</v>
      </c>
      <c r="M233" s="73">
        <f>SUM(H233:H239)</f>
        <v>0</v>
      </c>
      <c r="N233" s="73">
        <f>SUM(I233:I239)</f>
        <v>0</v>
      </c>
      <c r="O233" s="73">
        <f>SUM(L233:N233)</f>
        <v>0</v>
      </c>
      <c r="P233" s="73">
        <f>VLOOKUP($A233,LossChart!$A$3:$AB$73,14,0)-L233</f>
        <v>538.79645972667936</v>
      </c>
      <c r="Q233" s="73">
        <f>VLOOKUP($A233,LossChart!$A$3:$AB$73,15,0)-M233</f>
        <v>80</v>
      </c>
      <c r="R233" s="73">
        <f>VLOOKUP($A233,LossChart!$A$3:$AB$73,16,0)-N233</f>
        <v>463.76562996293683</v>
      </c>
      <c r="S233" s="73">
        <f>VLOOKUP($A233,LossChart!$A$3:$AB$73,17,0)-O233</f>
        <v>1082.5620896896162</v>
      </c>
    </row>
    <row r="234" spans="1:19" x14ac:dyDescent="0.25">
      <c r="B234" s="71" t="s">
        <v>95</v>
      </c>
      <c r="C234" s="72">
        <v>1</v>
      </c>
      <c r="D234" s="73">
        <f>$C234*VLOOKUP($B234,FoodDB!$A$2:$I$1024,3,0)</f>
        <v>0</v>
      </c>
      <c r="E234" s="73">
        <f>$C234*VLOOKUP($B234,FoodDB!$A$2:$I$1024,4,0)</f>
        <v>0</v>
      </c>
      <c r="F234" s="73">
        <f>$C234*VLOOKUP($B234,FoodDB!$A$2:$I$1024,5,0)</f>
        <v>0</v>
      </c>
      <c r="G234" s="73">
        <f>$C234*VLOOKUP($B234,FoodDB!$A$2:$I$1024,6,0)</f>
        <v>0</v>
      </c>
      <c r="H234" s="73">
        <f>$C234*VLOOKUP($B234,FoodDB!$A$2:$I$1024,7,0)</f>
        <v>0</v>
      </c>
      <c r="I234" s="73">
        <f>$C234*VLOOKUP($B234,FoodDB!$A$2:$I$1024,8,0)</f>
        <v>0</v>
      </c>
      <c r="J234" s="73">
        <f>$C234*VLOOKUP($B234,FoodDB!$A$2:$I$1024,9,0)</f>
        <v>0</v>
      </c>
      <c r="K234" s="73"/>
      <c r="L234" s="73"/>
      <c r="M234" s="73"/>
      <c r="N234" s="73"/>
      <c r="O234" s="73"/>
      <c r="P234" s="73"/>
      <c r="Q234" s="73"/>
      <c r="R234" s="73"/>
      <c r="S234" s="73"/>
    </row>
    <row r="235" spans="1:19" x14ac:dyDescent="0.25">
      <c r="B235" s="71" t="s">
        <v>95</v>
      </c>
      <c r="C235" s="72">
        <v>1</v>
      </c>
      <c r="D235" s="73">
        <f>$C235*VLOOKUP($B235,FoodDB!$A$2:$I$1024,3,0)</f>
        <v>0</v>
      </c>
      <c r="E235" s="73">
        <f>$C235*VLOOKUP($B235,FoodDB!$A$2:$I$1024,4,0)</f>
        <v>0</v>
      </c>
      <c r="F235" s="73">
        <f>$C235*VLOOKUP($B235,FoodDB!$A$2:$I$1024,5,0)</f>
        <v>0</v>
      </c>
      <c r="G235" s="73">
        <f>$C235*VLOOKUP($B235,FoodDB!$A$2:$I$1024,6,0)</f>
        <v>0</v>
      </c>
      <c r="H235" s="73">
        <f>$C235*VLOOKUP($B235,FoodDB!$A$2:$I$1024,7,0)</f>
        <v>0</v>
      </c>
      <c r="I235" s="73">
        <f>$C235*VLOOKUP($B235,FoodDB!$A$2:$I$1024,8,0)</f>
        <v>0</v>
      </c>
      <c r="J235" s="73">
        <f>$C235*VLOOKUP($B235,FoodDB!$A$2:$I$1024,9,0)</f>
        <v>0</v>
      </c>
      <c r="K235" s="73"/>
      <c r="L235" s="73"/>
      <c r="M235" s="73"/>
      <c r="N235" s="73"/>
      <c r="O235" s="73"/>
      <c r="P235" s="73"/>
      <c r="Q235" s="73"/>
      <c r="R235" s="73"/>
      <c r="S235" s="73"/>
    </row>
    <row r="236" spans="1:19" x14ac:dyDescent="0.25">
      <c r="B236" s="71" t="s">
        <v>95</v>
      </c>
      <c r="C236" s="72">
        <v>1</v>
      </c>
      <c r="D236" s="73">
        <f>$C236*VLOOKUP($B236,FoodDB!$A$2:$I$1024,3,0)</f>
        <v>0</v>
      </c>
      <c r="E236" s="73">
        <f>$C236*VLOOKUP($B236,FoodDB!$A$2:$I$1024,4,0)</f>
        <v>0</v>
      </c>
      <c r="F236" s="73">
        <f>$C236*VLOOKUP($B236,FoodDB!$A$2:$I$1024,5,0)</f>
        <v>0</v>
      </c>
      <c r="G236" s="73">
        <f>$C236*VLOOKUP($B236,FoodDB!$A$2:$I$1024,6,0)</f>
        <v>0</v>
      </c>
      <c r="H236" s="73">
        <f>$C236*VLOOKUP($B236,FoodDB!$A$2:$I$1024,7,0)</f>
        <v>0</v>
      </c>
      <c r="I236" s="73">
        <f>$C236*VLOOKUP($B236,FoodDB!$A$2:$I$1024,8,0)</f>
        <v>0</v>
      </c>
      <c r="J236" s="73">
        <f>$C236*VLOOKUP($B236,FoodDB!$A$2:$I$1024,9,0)</f>
        <v>0</v>
      </c>
      <c r="K236" s="73"/>
      <c r="L236" s="73"/>
      <c r="M236" s="73"/>
      <c r="N236" s="73"/>
      <c r="O236" s="73"/>
      <c r="P236" s="73"/>
      <c r="Q236" s="73"/>
      <c r="R236" s="73"/>
      <c r="S236" s="73"/>
    </row>
    <row r="237" spans="1:19" x14ac:dyDescent="0.25">
      <c r="B237" s="71" t="s">
        <v>95</v>
      </c>
      <c r="C237" s="72">
        <v>1</v>
      </c>
      <c r="D237" s="73">
        <f>$C237*VLOOKUP($B237,FoodDB!$A$2:$I$1024,3,0)</f>
        <v>0</v>
      </c>
      <c r="E237" s="73">
        <f>$C237*VLOOKUP($B237,FoodDB!$A$2:$I$1024,4,0)</f>
        <v>0</v>
      </c>
      <c r="F237" s="73">
        <f>$C237*VLOOKUP($B237,FoodDB!$A$2:$I$1024,5,0)</f>
        <v>0</v>
      </c>
      <c r="G237" s="73">
        <f>$C237*VLOOKUP($B237,FoodDB!$A$2:$I$1024,6,0)</f>
        <v>0</v>
      </c>
      <c r="H237" s="73">
        <f>$C237*VLOOKUP($B237,FoodDB!$A$2:$I$1024,7,0)</f>
        <v>0</v>
      </c>
      <c r="I237" s="73">
        <f>$C237*VLOOKUP($B237,FoodDB!$A$2:$I$1024,8,0)</f>
        <v>0</v>
      </c>
      <c r="J237" s="73">
        <f>$C237*VLOOKUP($B237,FoodDB!$A$2:$I$1024,9,0)</f>
        <v>0</v>
      </c>
      <c r="K237" s="73"/>
      <c r="L237" s="73"/>
      <c r="M237" s="73"/>
      <c r="N237" s="73"/>
      <c r="O237" s="73"/>
      <c r="P237" s="73"/>
      <c r="Q237" s="73"/>
      <c r="R237" s="73"/>
      <c r="S237" s="73"/>
    </row>
    <row r="238" spans="1:19" x14ac:dyDescent="0.25">
      <c r="B238" s="71" t="s">
        <v>95</v>
      </c>
      <c r="C238" s="72">
        <v>1</v>
      </c>
      <c r="D238" s="73">
        <f>$C238*VLOOKUP($B238,FoodDB!$A$2:$I$1024,3,0)</f>
        <v>0</v>
      </c>
      <c r="E238" s="73">
        <f>$C238*VLOOKUP($B238,FoodDB!$A$2:$I$1024,4,0)</f>
        <v>0</v>
      </c>
      <c r="F238" s="73">
        <f>$C238*VLOOKUP($B238,FoodDB!$A$2:$I$1024,5,0)</f>
        <v>0</v>
      </c>
      <c r="G238" s="73">
        <f>$C238*VLOOKUP($B238,FoodDB!$A$2:$I$1024,6,0)</f>
        <v>0</v>
      </c>
      <c r="H238" s="73">
        <f>$C238*VLOOKUP($B238,FoodDB!$A$2:$I$1024,7,0)</f>
        <v>0</v>
      </c>
      <c r="I238" s="73">
        <f>$C238*VLOOKUP($B238,FoodDB!$A$2:$I$1024,8,0)</f>
        <v>0</v>
      </c>
      <c r="J238" s="73">
        <f>$C238*VLOOKUP($B238,FoodDB!$A$2:$I$1024,9,0)</f>
        <v>0</v>
      </c>
      <c r="K238" s="73"/>
      <c r="L238" s="73"/>
      <c r="M238" s="73"/>
      <c r="N238" s="73"/>
      <c r="O238" s="73"/>
      <c r="P238" s="73"/>
      <c r="Q238" s="73"/>
      <c r="R238" s="73"/>
      <c r="S238" s="73"/>
    </row>
    <row r="239" spans="1:19" x14ac:dyDescent="0.25">
      <c r="B239" s="71" t="s">
        <v>95</v>
      </c>
      <c r="C239" s="72">
        <v>1</v>
      </c>
      <c r="D239" s="73">
        <f>$C239*VLOOKUP($B239,FoodDB!$A$2:$I$1024,3,0)</f>
        <v>0</v>
      </c>
      <c r="E239" s="73">
        <f>$C239*VLOOKUP($B239,FoodDB!$A$2:$I$1024,4,0)</f>
        <v>0</v>
      </c>
      <c r="F239" s="73">
        <f>$C239*VLOOKUP($B239,FoodDB!$A$2:$I$1024,5,0)</f>
        <v>0</v>
      </c>
      <c r="G239" s="73">
        <f>$C239*VLOOKUP($B239,FoodDB!$A$2:$I$1024,6,0)</f>
        <v>0</v>
      </c>
      <c r="H239" s="73">
        <f>$C239*VLOOKUP($B239,FoodDB!$A$2:$I$1024,7,0)</f>
        <v>0</v>
      </c>
      <c r="I239" s="73">
        <f>$C239*VLOOKUP($B239,FoodDB!$A$2:$I$1024,8,0)</f>
        <v>0</v>
      </c>
      <c r="J239" s="73">
        <f>$C239*VLOOKUP($B239,FoodDB!$A$2:$I$1024,9,0)</f>
        <v>0</v>
      </c>
      <c r="K239" s="73"/>
      <c r="L239" s="73"/>
      <c r="M239" s="73"/>
      <c r="N239" s="73"/>
      <c r="O239" s="73"/>
      <c r="P239" s="73"/>
      <c r="Q239" s="73"/>
      <c r="R239" s="73"/>
      <c r="S239" s="73"/>
    </row>
    <row r="240" spans="1:19" x14ac:dyDescent="0.25">
      <c r="A240" t="s">
        <v>99</v>
      </c>
      <c r="D240" s="73"/>
      <c r="E240" s="73"/>
      <c r="F240" s="73"/>
      <c r="G240" s="73">
        <f>SUM(G233:G239)</f>
        <v>0</v>
      </c>
      <c r="H240" s="73">
        <f>SUM(H233:H239)</f>
        <v>0</v>
      </c>
      <c r="I240" s="73">
        <f>SUM(I233:I239)</f>
        <v>0</v>
      </c>
      <c r="J240" s="73">
        <f>SUM(G240:I240)</f>
        <v>0</v>
      </c>
      <c r="K240" s="73"/>
      <c r="L240" s="73"/>
      <c r="M240" s="73"/>
      <c r="N240" s="73"/>
      <c r="O240" s="73"/>
      <c r="P240" s="73"/>
      <c r="Q240" s="73"/>
      <c r="R240" s="73"/>
      <c r="S240" s="73"/>
    </row>
    <row r="241" spans="1:19" x14ac:dyDescent="0.25">
      <c r="A241" t="s">
        <v>100</v>
      </c>
      <c r="B241" t="s">
        <v>101</v>
      </c>
      <c r="D241" s="73"/>
      <c r="E241" s="73"/>
      <c r="F241" s="73"/>
      <c r="G241" s="73">
        <f>VLOOKUP($A233,LossChart!$A$3:$AB$73,14,0)</f>
        <v>538.79645972667936</v>
      </c>
      <c r="H241" s="73">
        <f>VLOOKUP($A233,LossChart!$A$3:$AB$73,15,0)</f>
        <v>80</v>
      </c>
      <c r="I241" s="73">
        <f>VLOOKUP($A233,LossChart!$A$3:$AB$73,16,0)</f>
        <v>463.76562996293683</v>
      </c>
      <c r="J241" s="73">
        <f>VLOOKUP($A233,LossChart!$A$3:$AB$73,17,0)</f>
        <v>1082.5620896896162</v>
      </c>
      <c r="K241" s="73"/>
      <c r="L241" s="73"/>
      <c r="M241" s="73"/>
      <c r="N241" s="73"/>
      <c r="O241" s="73"/>
      <c r="P241" s="73"/>
      <c r="Q241" s="73"/>
      <c r="R241" s="73"/>
      <c r="S241" s="73"/>
    </row>
    <row r="242" spans="1:19" x14ac:dyDescent="0.25">
      <c r="A242" t="s">
        <v>102</v>
      </c>
      <c r="D242" s="73"/>
      <c r="E242" s="73"/>
      <c r="F242" s="73"/>
      <c r="G242" s="73">
        <f>G241-G240</f>
        <v>538.79645972667936</v>
      </c>
      <c r="H242" s="73">
        <f>H241-H240</f>
        <v>80</v>
      </c>
      <c r="I242" s="73">
        <f>I241-I240</f>
        <v>463.76562996293683</v>
      </c>
      <c r="J242" s="73">
        <f>J241-J240</f>
        <v>1082.5620896896162</v>
      </c>
      <c r="K242" s="73"/>
      <c r="L242" s="73"/>
      <c r="M242" s="73"/>
      <c r="N242" s="73"/>
      <c r="O242" s="73"/>
      <c r="P242" s="73"/>
      <c r="Q242" s="73"/>
      <c r="R242" s="73"/>
      <c r="S242" s="73"/>
    </row>
    <row r="244" spans="1:19" ht="60" x14ac:dyDescent="0.25">
      <c r="A244" s="25" t="s">
        <v>63</v>
      </c>
      <c r="B244" s="25" t="s">
        <v>80</v>
      </c>
      <c r="C244" s="25" t="s">
        <v>81</v>
      </c>
      <c r="D244" s="69" t="str">
        <f>FoodDB!$C$1</f>
        <v>Fat
(g)</v>
      </c>
      <c r="E244" s="69" t="str">
        <f>FoodDB!$D$1</f>
        <v xml:space="preserve"> Net
Carbs
(g)</v>
      </c>
      <c r="F244" s="69" t="str">
        <f>FoodDB!$E$1</f>
        <v>Protein
(g)</v>
      </c>
      <c r="G244" s="69" t="str">
        <f>FoodDB!$F$1</f>
        <v>Fat
(Cal)</v>
      </c>
      <c r="H244" s="69" t="str">
        <f>FoodDB!$G$1</f>
        <v>Carb
(Cal)</v>
      </c>
      <c r="I244" s="69" t="str">
        <f>FoodDB!$H$1</f>
        <v>Protein
(Cal)</v>
      </c>
      <c r="J244" s="69" t="str">
        <f>FoodDB!$I$1</f>
        <v>Total
Calories</v>
      </c>
      <c r="K244" s="69"/>
      <c r="L244" s="69" t="s">
        <v>82</v>
      </c>
      <c r="M244" s="69" t="s">
        <v>83</v>
      </c>
      <c r="N244" s="69" t="s">
        <v>84</v>
      </c>
      <c r="O244" s="69" t="s">
        <v>85</v>
      </c>
      <c r="P244" s="69" t="s">
        <v>86</v>
      </c>
      <c r="Q244" s="69" t="s">
        <v>87</v>
      </c>
      <c r="R244" s="69" t="s">
        <v>88</v>
      </c>
      <c r="S244" s="69" t="s">
        <v>89</v>
      </c>
    </row>
    <row r="245" spans="1:19" x14ac:dyDescent="0.25">
      <c r="A245" s="70">
        <f>A233+1</f>
        <v>43051</v>
      </c>
      <c r="B245" s="71" t="s">
        <v>95</v>
      </c>
      <c r="C245" s="72">
        <v>1</v>
      </c>
      <c r="D245" s="73">
        <f>$C245*VLOOKUP($B245,FoodDB!$A$2:$I$1024,3,0)</f>
        <v>0</v>
      </c>
      <c r="E245" s="73">
        <f>$C245*VLOOKUP($B245,FoodDB!$A$2:$I$1024,4,0)</f>
        <v>0</v>
      </c>
      <c r="F245" s="73">
        <f>$C245*VLOOKUP($B245,FoodDB!$A$2:$I$1024,5,0)</f>
        <v>0</v>
      </c>
      <c r="G245" s="73">
        <f>$C245*VLOOKUP($B245,FoodDB!$A$2:$I$1024,6,0)</f>
        <v>0</v>
      </c>
      <c r="H245" s="73">
        <f>$C245*VLOOKUP($B245,FoodDB!$A$2:$I$1024,7,0)</f>
        <v>0</v>
      </c>
      <c r="I245" s="73">
        <f>$C245*VLOOKUP($B245,FoodDB!$A$2:$I$1024,8,0)</f>
        <v>0</v>
      </c>
      <c r="J245" s="73">
        <f>$C245*VLOOKUP($B245,FoodDB!$A$2:$I$1024,9,0)</f>
        <v>0</v>
      </c>
      <c r="K245" s="73"/>
      <c r="L245" s="73">
        <f>SUM(G245:G251)</f>
        <v>0</v>
      </c>
      <c r="M245" s="73">
        <f>SUM(H245:H251)</f>
        <v>0</v>
      </c>
      <c r="N245" s="73">
        <f>SUM(I245:I251)</f>
        <v>0</v>
      </c>
      <c r="O245" s="73">
        <f>SUM(L245:N245)</f>
        <v>0</v>
      </c>
      <c r="P245" s="73">
        <f>VLOOKUP($A245,LossChart!$A$3:$AB$73,14,0)-L245</f>
        <v>545.43804226118618</v>
      </c>
      <c r="Q245" s="73">
        <f>VLOOKUP($A245,LossChart!$A$3:$AB$73,15,0)-M245</f>
        <v>80</v>
      </c>
      <c r="R245" s="73">
        <f>VLOOKUP($A245,LossChart!$A$3:$AB$73,16,0)-N245</f>
        <v>463.76562996293683</v>
      </c>
      <c r="S245" s="73">
        <f>VLOOKUP($A245,LossChart!$A$3:$AB$73,17,0)-O245</f>
        <v>1089.203672224123</v>
      </c>
    </row>
    <row r="246" spans="1:19" x14ac:dyDescent="0.25">
      <c r="B246" s="71" t="s">
        <v>95</v>
      </c>
      <c r="C246" s="72">
        <v>1</v>
      </c>
      <c r="D246" s="73">
        <f>$C246*VLOOKUP($B246,FoodDB!$A$2:$I$1024,3,0)</f>
        <v>0</v>
      </c>
      <c r="E246" s="73">
        <f>$C246*VLOOKUP($B246,FoodDB!$A$2:$I$1024,4,0)</f>
        <v>0</v>
      </c>
      <c r="F246" s="73">
        <f>$C246*VLOOKUP($B246,FoodDB!$A$2:$I$1024,5,0)</f>
        <v>0</v>
      </c>
      <c r="G246" s="73">
        <f>$C246*VLOOKUP($B246,FoodDB!$A$2:$I$1024,6,0)</f>
        <v>0</v>
      </c>
      <c r="H246" s="73">
        <f>$C246*VLOOKUP($B246,FoodDB!$A$2:$I$1024,7,0)</f>
        <v>0</v>
      </c>
      <c r="I246" s="73">
        <f>$C246*VLOOKUP($B246,FoodDB!$A$2:$I$1024,8,0)</f>
        <v>0</v>
      </c>
      <c r="J246" s="73">
        <f>$C246*VLOOKUP($B246,FoodDB!$A$2:$I$1024,9,0)</f>
        <v>0</v>
      </c>
      <c r="K246" s="73"/>
      <c r="L246" s="73"/>
      <c r="M246" s="73"/>
      <c r="N246" s="73"/>
      <c r="O246" s="73"/>
      <c r="P246" s="73"/>
      <c r="Q246" s="73"/>
      <c r="R246" s="73"/>
      <c r="S246" s="73"/>
    </row>
    <row r="247" spans="1:19" x14ac:dyDescent="0.25">
      <c r="B247" s="71" t="s">
        <v>95</v>
      </c>
      <c r="C247" s="72">
        <v>1</v>
      </c>
      <c r="D247" s="73">
        <f>$C247*VLOOKUP($B247,FoodDB!$A$2:$I$1024,3,0)</f>
        <v>0</v>
      </c>
      <c r="E247" s="73">
        <f>$C247*VLOOKUP($B247,FoodDB!$A$2:$I$1024,4,0)</f>
        <v>0</v>
      </c>
      <c r="F247" s="73">
        <f>$C247*VLOOKUP($B247,FoodDB!$A$2:$I$1024,5,0)</f>
        <v>0</v>
      </c>
      <c r="G247" s="73">
        <f>$C247*VLOOKUP($B247,FoodDB!$A$2:$I$1024,6,0)</f>
        <v>0</v>
      </c>
      <c r="H247" s="73">
        <f>$C247*VLOOKUP($B247,FoodDB!$A$2:$I$1024,7,0)</f>
        <v>0</v>
      </c>
      <c r="I247" s="73">
        <f>$C247*VLOOKUP($B247,FoodDB!$A$2:$I$1024,8,0)</f>
        <v>0</v>
      </c>
      <c r="J247" s="73">
        <f>$C247*VLOOKUP($B247,FoodDB!$A$2:$I$1024,9,0)</f>
        <v>0</v>
      </c>
      <c r="K247" s="73"/>
      <c r="L247" s="73"/>
      <c r="M247" s="73"/>
      <c r="N247" s="73"/>
      <c r="O247" s="73"/>
      <c r="P247" s="73"/>
      <c r="Q247" s="73"/>
      <c r="R247" s="73"/>
      <c r="S247" s="73"/>
    </row>
    <row r="248" spans="1:19" x14ac:dyDescent="0.25">
      <c r="B248" s="71" t="s">
        <v>95</v>
      </c>
      <c r="C248" s="72">
        <v>1</v>
      </c>
      <c r="D248" s="73">
        <f>$C248*VLOOKUP($B248,FoodDB!$A$2:$I$1024,3,0)</f>
        <v>0</v>
      </c>
      <c r="E248" s="73">
        <f>$C248*VLOOKUP($B248,FoodDB!$A$2:$I$1024,4,0)</f>
        <v>0</v>
      </c>
      <c r="F248" s="73">
        <f>$C248*VLOOKUP($B248,FoodDB!$A$2:$I$1024,5,0)</f>
        <v>0</v>
      </c>
      <c r="G248" s="73">
        <f>$C248*VLOOKUP($B248,FoodDB!$A$2:$I$1024,6,0)</f>
        <v>0</v>
      </c>
      <c r="H248" s="73">
        <f>$C248*VLOOKUP($B248,FoodDB!$A$2:$I$1024,7,0)</f>
        <v>0</v>
      </c>
      <c r="I248" s="73">
        <f>$C248*VLOOKUP($B248,FoodDB!$A$2:$I$1024,8,0)</f>
        <v>0</v>
      </c>
      <c r="J248" s="73">
        <f>$C248*VLOOKUP($B248,FoodDB!$A$2:$I$1024,9,0)</f>
        <v>0</v>
      </c>
      <c r="K248" s="73"/>
      <c r="L248" s="73"/>
      <c r="M248" s="73"/>
      <c r="N248" s="73"/>
      <c r="O248" s="73"/>
      <c r="P248" s="73"/>
      <c r="Q248" s="73"/>
      <c r="R248" s="73"/>
      <c r="S248" s="73"/>
    </row>
    <row r="249" spans="1:19" x14ac:dyDescent="0.25">
      <c r="B249" s="71" t="s">
        <v>95</v>
      </c>
      <c r="C249" s="72">
        <v>1</v>
      </c>
      <c r="D249" s="73">
        <f>$C249*VLOOKUP($B249,FoodDB!$A$2:$I$1024,3,0)</f>
        <v>0</v>
      </c>
      <c r="E249" s="73">
        <f>$C249*VLOOKUP($B249,FoodDB!$A$2:$I$1024,4,0)</f>
        <v>0</v>
      </c>
      <c r="F249" s="73">
        <f>$C249*VLOOKUP($B249,FoodDB!$A$2:$I$1024,5,0)</f>
        <v>0</v>
      </c>
      <c r="G249" s="73">
        <f>$C249*VLOOKUP($B249,FoodDB!$A$2:$I$1024,6,0)</f>
        <v>0</v>
      </c>
      <c r="H249" s="73">
        <f>$C249*VLOOKUP($B249,FoodDB!$A$2:$I$1024,7,0)</f>
        <v>0</v>
      </c>
      <c r="I249" s="73">
        <f>$C249*VLOOKUP($B249,FoodDB!$A$2:$I$1024,8,0)</f>
        <v>0</v>
      </c>
      <c r="J249" s="73">
        <f>$C249*VLOOKUP($B249,FoodDB!$A$2:$I$1024,9,0)</f>
        <v>0</v>
      </c>
      <c r="K249" s="73"/>
      <c r="L249" s="73"/>
      <c r="M249" s="73"/>
      <c r="N249" s="73"/>
      <c r="O249" s="73"/>
      <c r="P249" s="73"/>
      <c r="Q249" s="73"/>
      <c r="R249" s="73"/>
      <c r="S249" s="73"/>
    </row>
    <row r="250" spans="1:19" x14ac:dyDescent="0.25">
      <c r="B250" s="71" t="s">
        <v>95</v>
      </c>
      <c r="C250" s="72">
        <v>1</v>
      </c>
      <c r="D250" s="73">
        <f>$C250*VLOOKUP($B250,FoodDB!$A$2:$I$1024,3,0)</f>
        <v>0</v>
      </c>
      <c r="E250" s="73">
        <f>$C250*VLOOKUP($B250,FoodDB!$A$2:$I$1024,4,0)</f>
        <v>0</v>
      </c>
      <c r="F250" s="73">
        <f>$C250*VLOOKUP($B250,FoodDB!$A$2:$I$1024,5,0)</f>
        <v>0</v>
      </c>
      <c r="G250" s="73">
        <f>$C250*VLOOKUP($B250,FoodDB!$A$2:$I$1024,6,0)</f>
        <v>0</v>
      </c>
      <c r="H250" s="73">
        <f>$C250*VLOOKUP($B250,FoodDB!$A$2:$I$1024,7,0)</f>
        <v>0</v>
      </c>
      <c r="I250" s="73">
        <f>$C250*VLOOKUP($B250,FoodDB!$A$2:$I$1024,8,0)</f>
        <v>0</v>
      </c>
      <c r="J250" s="73">
        <f>$C250*VLOOKUP($B250,FoodDB!$A$2:$I$1024,9,0)</f>
        <v>0</v>
      </c>
      <c r="K250" s="73"/>
      <c r="L250" s="73"/>
      <c r="M250" s="73"/>
      <c r="N250" s="73"/>
      <c r="O250" s="73"/>
      <c r="P250" s="73"/>
      <c r="Q250" s="73"/>
      <c r="R250" s="73"/>
      <c r="S250" s="73"/>
    </row>
    <row r="251" spans="1:19" x14ac:dyDescent="0.25">
      <c r="B251" s="71" t="s">
        <v>95</v>
      </c>
      <c r="C251" s="72">
        <v>1</v>
      </c>
      <c r="D251" s="73">
        <f>$C251*VLOOKUP($B251,FoodDB!$A$2:$I$1024,3,0)</f>
        <v>0</v>
      </c>
      <c r="E251" s="73">
        <f>$C251*VLOOKUP($B251,FoodDB!$A$2:$I$1024,4,0)</f>
        <v>0</v>
      </c>
      <c r="F251" s="73">
        <f>$C251*VLOOKUP($B251,FoodDB!$A$2:$I$1024,5,0)</f>
        <v>0</v>
      </c>
      <c r="G251" s="73">
        <f>$C251*VLOOKUP($B251,FoodDB!$A$2:$I$1024,6,0)</f>
        <v>0</v>
      </c>
      <c r="H251" s="73">
        <f>$C251*VLOOKUP($B251,FoodDB!$A$2:$I$1024,7,0)</f>
        <v>0</v>
      </c>
      <c r="I251" s="73">
        <f>$C251*VLOOKUP($B251,FoodDB!$A$2:$I$1024,8,0)</f>
        <v>0</v>
      </c>
      <c r="J251" s="73">
        <f>$C251*VLOOKUP($B251,FoodDB!$A$2:$I$1024,9,0)</f>
        <v>0</v>
      </c>
      <c r="K251" s="73"/>
      <c r="L251" s="73"/>
      <c r="M251" s="73"/>
      <c r="N251" s="73"/>
      <c r="O251" s="73"/>
      <c r="P251" s="73"/>
      <c r="Q251" s="73"/>
      <c r="R251" s="73"/>
      <c r="S251" s="73"/>
    </row>
    <row r="252" spans="1:19" x14ac:dyDescent="0.25">
      <c r="A252" t="s">
        <v>99</v>
      </c>
      <c r="D252" s="73"/>
      <c r="E252" s="73"/>
      <c r="F252" s="73"/>
      <c r="G252" s="73">
        <f>SUM(G245:G251)</f>
        <v>0</v>
      </c>
      <c r="H252" s="73">
        <f>SUM(H245:H251)</f>
        <v>0</v>
      </c>
      <c r="I252" s="73">
        <f>SUM(I245:I251)</f>
        <v>0</v>
      </c>
      <c r="J252" s="73">
        <f>SUM(G252:I252)</f>
        <v>0</v>
      </c>
      <c r="K252" s="73"/>
      <c r="L252" s="73"/>
      <c r="M252" s="73"/>
      <c r="N252" s="73"/>
      <c r="O252" s="73"/>
      <c r="P252" s="73"/>
      <c r="Q252" s="73"/>
      <c r="R252" s="73"/>
      <c r="S252" s="73"/>
    </row>
    <row r="253" spans="1:19" x14ac:dyDescent="0.25">
      <c r="A253" t="s">
        <v>100</v>
      </c>
      <c r="B253" t="s">
        <v>101</v>
      </c>
      <c r="D253" s="73"/>
      <c r="E253" s="73"/>
      <c r="F253" s="73"/>
      <c r="G253" s="73">
        <f>VLOOKUP($A245,LossChart!$A$3:$AB$73,14,0)</f>
        <v>545.43804226118618</v>
      </c>
      <c r="H253" s="73">
        <f>VLOOKUP($A245,LossChart!$A$3:$AB$73,15,0)</f>
        <v>80</v>
      </c>
      <c r="I253" s="73">
        <f>VLOOKUP($A245,LossChart!$A$3:$AB$73,16,0)</f>
        <v>463.76562996293683</v>
      </c>
      <c r="J253" s="73">
        <f>VLOOKUP($A245,LossChart!$A$3:$AB$73,17,0)</f>
        <v>1089.203672224123</v>
      </c>
      <c r="K253" s="73"/>
      <c r="L253" s="73"/>
      <c r="M253" s="73"/>
      <c r="N253" s="73"/>
      <c r="O253" s="73"/>
      <c r="P253" s="73"/>
      <c r="Q253" s="73"/>
      <c r="R253" s="73"/>
      <c r="S253" s="73"/>
    </row>
    <row r="254" spans="1:19" x14ac:dyDescent="0.25">
      <c r="A254" t="s">
        <v>102</v>
      </c>
      <c r="D254" s="73"/>
      <c r="E254" s="73"/>
      <c r="F254" s="73"/>
      <c r="G254" s="73">
        <f>G253-G252</f>
        <v>545.43804226118618</v>
      </c>
      <c r="H254" s="73">
        <f>H253-H252</f>
        <v>80</v>
      </c>
      <c r="I254" s="73">
        <f>I253-I252</f>
        <v>463.76562996293683</v>
      </c>
      <c r="J254" s="73">
        <f>J253-J252</f>
        <v>1089.203672224123</v>
      </c>
      <c r="K254" s="73"/>
      <c r="L254" s="73"/>
      <c r="M254" s="73"/>
      <c r="N254" s="73"/>
      <c r="O254" s="73"/>
      <c r="P254" s="73"/>
      <c r="Q254" s="73"/>
      <c r="R254" s="73"/>
      <c r="S254" s="73"/>
    </row>
    <row r="256" spans="1:19" ht="60" x14ac:dyDescent="0.25">
      <c r="A256" s="25" t="s">
        <v>63</v>
      </c>
      <c r="B256" s="25" t="s">
        <v>80</v>
      </c>
      <c r="C256" s="25" t="s">
        <v>81</v>
      </c>
      <c r="D256" s="69" t="str">
        <f>FoodDB!$C$1</f>
        <v>Fat
(g)</v>
      </c>
      <c r="E256" s="69" t="str">
        <f>FoodDB!$D$1</f>
        <v xml:space="preserve"> Net
Carbs
(g)</v>
      </c>
      <c r="F256" s="69" t="str">
        <f>FoodDB!$E$1</f>
        <v>Protein
(g)</v>
      </c>
      <c r="G256" s="69" t="str">
        <f>FoodDB!$F$1</f>
        <v>Fat
(Cal)</v>
      </c>
      <c r="H256" s="69" t="str">
        <f>FoodDB!$G$1</f>
        <v>Carb
(Cal)</v>
      </c>
      <c r="I256" s="69" t="str">
        <f>FoodDB!$H$1</f>
        <v>Protein
(Cal)</v>
      </c>
      <c r="J256" s="69" t="str">
        <f>FoodDB!$I$1</f>
        <v>Total
Calories</v>
      </c>
      <c r="K256" s="69"/>
      <c r="L256" s="69" t="s">
        <v>82</v>
      </c>
      <c r="M256" s="69" t="s">
        <v>83</v>
      </c>
      <c r="N256" s="69" t="s">
        <v>84</v>
      </c>
      <c r="O256" s="69" t="s">
        <v>85</v>
      </c>
      <c r="P256" s="69" t="s">
        <v>86</v>
      </c>
      <c r="Q256" s="69" t="s">
        <v>87</v>
      </c>
      <c r="R256" s="69" t="s">
        <v>88</v>
      </c>
      <c r="S256" s="69" t="s">
        <v>89</v>
      </c>
    </row>
    <row r="257" spans="1:19" x14ac:dyDescent="0.25">
      <c r="A257" s="70">
        <f>A245+1</f>
        <v>43052</v>
      </c>
      <c r="B257" s="71" t="s">
        <v>95</v>
      </c>
      <c r="C257" s="72">
        <v>1</v>
      </c>
      <c r="D257" s="73">
        <f>$C257*VLOOKUP($B257,FoodDB!$A$2:$I$1024,3,0)</f>
        <v>0</v>
      </c>
      <c r="E257" s="73">
        <f>$C257*VLOOKUP($B257,FoodDB!$A$2:$I$1024,4,0)</f>
        <v>0</v>
      </c>
      <c r="F257" s="73">
        <f>$C257*VLOOKUP($B257,FoodDB!$A$2:$I$1024,5,0)</f>
        <v>0</v>
      </c>
      <c r="G257" s="73">
        <f>$C257*VLOOKUP($B257,FoodDB!$A$2:$I$1024,6,0)</f>
        <v>0</v>
      </c>
      <c r="H257" s="73">
        <f>$C257*VLOOKUP($B257,FoodDB!$A$2:$I$1024,7,0)</f>
        <v>0</v>
      </c>
      <c r="I257" s="73">
        <f>$C257*VLOOKUP($B257,FoodDB!$A$2:$I$1024,8,0)</f>
        <v>0</v>
      </c>
      <c r="J257" s="73">
        <f>$C257*VLOOKUP($B257,FoodDB!$A$2:$I$1024,9,0)</f>
        <v>0</v>
      </c>
      <c r="K257" s="73"/>
      <c r="L257" s="73">
        <f>SUM(G257:G263)</f>
        <v>0</v>
      </c>
      <c r="M257" s="73">
        <f>SUM(H257:H263)</f>
        <v>0</v>
      </c>
      <c r="N257" s="73">
        <f>SUM(I257:I263)</f>
        <v>0</v>
      </c>
      <c r="O257" s="73">
        <f>SUM(L257:N257)</f>
        <v>0</v>
      </c>
      <c r="P257" s="73">
        <f>VLOOKUP($A257,LossChart!$A$3:$AB$73,14,0)-L257</f>
        <v>552.02079935038773</v>
      </c>
      <c r="Q257" s="73">
        <f>VLOOKUP($A257,LossChart!$A$3:$AB$73,15,0)-M257</f>
        <v>80</v>
      </c>
      <c r="R257" s="73">
        <f>VLOOKUP($A257,LossChart!$A$3:$AB$73,16,0)-N257</f>
        <v>463.76562996293683</v>
      </c>
      <c r="S257" s="73">
        <f>VLOOKUP($A257,LossChart!$A$3:$AB$73,17,0)-O257</f>
        <v>1095.7864293133246</v>
      </c>
    </row>
    <row r="258" spans="1:19" x14ac:dyDescent="0.25">
      <c r="B258" s="71" t="s">
        <v>95</v>
      </c>
      <c r="C258" s="72">
        <v>1</v>
      </c>
      <c r="D258" s="73">
        <f>$C258*VLOOKUP($B258,FoodDB!$A$2:$I$1024,3,0)</f>
        <v>0</v>
      </c>
      <c r="E258" s="73">
        <f>$C258*VLOOKUP($B258,FoodDB!$A$2:$I$1024,4,0)</f>
        <v>0</v>
      </c>
      <c r="F258" s="73">
        <f>$C258*VLOOKUP($B258,FoodDB!$A$2:$I$1024,5,0)</f>
        <v>0</v>
      </c>
      <c r="G258" s="73">
        <f>$C258*VLOOKUP($B258,FoodDB!$A$2:$I$1024,6,0)</f>
        <v>0</v>
      </c>
      <c r="H258" s="73">
        <f>$C258*VLOOKUP($B258,FoodDB!$A$2:$I$1024,7,0)</f>
        <v>0</v>
      </c>
      <c r="I258" s="73">
        <f>$C258*VLOOKUP($B258,FoodDB!$A$2:$I$1024,8,0)</f>
        <v>0</v>
      </c>
      <c r="J258" s="73">
        <f>$C258*VLOOKUP($B258,FoodDB!$A$2:$I$1024,9,0)</f>
        <v>0</v>
      </c>
      <c r="K258" s="73"/>
      <c r="L258" s="73"/>
      <c r="M258" s="73"/>
      <c r="N258" s="73"/>
      <c r="O258" s="73"/>
      <c r="P258" s="73"/>
      <c r="Q258" s="73"/>
      <c r="R258" s="73"/>
      <c r="S258" s="73"/>
    </row>
    <row r="259" spans="1:19" x14ac:dyDescent="0.25">
      <c r="B259" s="71" t="s">
        <v>95</v>
      </c>
      <c r="C259" s="72">
        <v>1</v>
      </c>
      <c r="D259" s="73">
        <f>$C259*VLOOKUP($B259,FoodDB!$A$2:$I$1024,3,0)</f>
        <v>0</v>
      </c>
      <c r="E259" s="73">
        <f>$C259*VLOOKUP($B259,FoodDB!$A$2:$I$1024,4,0)</f>
        <v>0</v>
      </c>
      <c r="F259" s="73">
        <f>$C259*VLOOKUP($B259,FoodDB!$A$2:$I$1024,5,0)</f>
        <v>0</v>
      </c>
      <c r="G259" s="73">
        <f>$C259*VLOOKUP($B259,FoodDB!$A$2:$I$1024,6,0)</f>
        <v>0</v>
      </c>
      <c r="H259" s="73">
        <f>$C259*VLOOKUP($B259,FoodDB!$A$2:$I$1024,7,0)</f>
        <v>0</v>
      </c>
      <c r="I259" s="73">
        <f>$C259*VLOOKUP($B259,FoodDB!$A$2:$I$1024,8,0)</f>
        <v>0</v>
      </c>
      <c r="J259" s="73">
        <f>$C259*VLOOKUP($B259,FoodDB!$A$2:$I$1024,9,0)</f>
        <v>0</v>
      </c>
      <c r="K259" s="73"/>
      <c r="L259" s="73"/>
      <c r="M259" s="73"/>
      <c r="N259" s="73"/>
      <c r="O259" s="73"/>
      <c r="P259" s="73"/>
      <c r="Q259" s="73"/>
      <c r="R259" s="73"/>
      <c r="S259" s="73"/>
    </row>
    <row r="260" spans="1:19" x14ac:dyDescent="0.25">
      <c r="B260" s="71" t="s">
        <v>95</v>
      </c>
      <c r="C260" s="72">
        <v>1</v>
      </c>
      <c r="D260" s="73">
        <f>$C260*VLOOKUP($B260,FoodDB!$A$2:$I$1024,3,0)</f>
        <v>0</v>
      </c>
      <c r="E260" s="73">
        <f>$C260*VLOOKUP($B260,FoodDB!$A$2:$I$1024,4,0)</f>
        <v>0</v>
      </c>
      <c r="F260" s="73">
        <f>$C260*VLOOKUP($B260,FoodDB!$A$2:$I$1024,5,0)</f>
        <v>0</v>
      </c>
      <c r="G260" s="73">
        <f>$C260*VLOOKUP($B260,FoodDB!$A$2:$I$1024,6,0)</f>
        <v>0</v>
      </c>
      <c r="H260" s="73">
        <f>$C260*VLOOKUP($B260,FoodDB!$A$2:$I$1024,7,0)</f>
        <v>0</v>
      </c>
      <c r="I260" s="73">
        <f>$C260*VLOOKUP($B260,FoodDB!$A$2:$I$1024,8,0)</f>
        <v>0</v>
      </c>
      <c r="J260" s="73">
        <f>$C260*VLOOKUP($B260,FoodDB!$A$2:$I$1024,9,0)</f>
        <v>0</v>
      </c>
      <c r="K260" s="73"/>
      <c r="L260" s="73"/>
      <c r="M260" s="73"/>
      <c r="N260" s="73"/>
      <c r="O260" s="73"/>
      <c r="P260" s="73"/>
      <c r="Q260" s="73"/>
      <c r="R260" s="73"/>
      <c r="S260" s="73"/>
    </row>
    <row r="261" spans="1:19" x14ac:dyDescent="0.25">
      <c r="B261" s="71" t="s">
        <v>95</v>
      </c>
      <c r="C261" s="72">
        <v>1</v>
      </c>
      <c r="D261" s="73">
        <f>$C261*VLOOKUP($B261,FoodDB!$A$2:$I$1024,3,0)</f>
        <v>0</v>
      </c>
      <c r="E261" s="73">
        <f>$C261*VLOOKUP($B261,FoodDB!$A$2:$I$1024,4,0)</f>
        <v>0</v>
      </c>
      <c r="F261" s="73">
        <f>$C261*VLOOKUP($B261,FoodDB!$A$2:$I$1024,5,0)</f>
        <v>0</v>
      </c>
      <c r="G261" s="73">
        <f>$C261*VLOOKUP($B261,FoodDB!$A$2:$I$1024,6,0)</f>
        <v>0</v>
      </c>
      <c r="H261" s="73">
        <f>$C261*VLOOKUP($B261,FoodDB!$A$2:$I$1024,7,0)</f>
        <v>0</v>
      </c>
      <c r="I261" s="73">
        <f>$C261*VLOOKUP($B261,FoodDB!$A$2:$I$1024,8,0)</f>
        <v>0</v>
      </c>
      <c r="J261" s="73">
        <f>$C261*VLOOKUP($B261,FoodDB!$A$2:$I$1024,9,0)</f>
        <v>0</v>
      </c>
      <c r="K261" s="73"/>
      <c r="L261" s="73"/>
      <c r="M261" s="73"/>
      <c r="N261" s="73"/>
      <c r="O261" s="73"/>
      <c r="P261" s="73"/>
      <c r="Q261" s="73"/>
      <c r="R261" s="73"/>
      <c r="S261" s="73"/>
    </row>
    <row r="262" spans="1:19" x14ac:dyDescent="0.25">
      <c r="B262" s="71" t="s">
        <v>95</v>
      </c>
      <c r="C262" s="72">
        <v>1</v>
      </c>
      <c r="D262" s="73">
        <f>$C262*VLOOKUP($B262,FoodDB!$A$2:$I$1024,3,0)</f>
        <v>0</v>
      </c>
      <c r="E262" s="73">
        <f>$C262*VLOOKUP($B262,FoodDB!$A$2:$I$1024,4,0)</f>
        <v>0</v>
      </c>
      <c r="F262" s="73">
        <f>$C262*VLOOKUP($B262,FoodDB!$A$2:$I$1024,5,0)</f>
        <v>0</v>
      </c>
      <c r="G262" s="73">
        <f>$C262*VLOOKUP($B262,FoodDB!$A$2:$I$1024,6,0)</f>
        <v>0</v>
      </c>
      <c r="H262" s="73">
        <f>$C262*VLOOKUP($B262,FoodDB!$A$2:$I$1024,7,0)</f>
        <v>0</v>
      </c>
      <c r="I262" s="73">
        <f>$C262*VLOOKUP($B262,FoodDB!$A$2:$I$1024,8,0)</f>
        <v>0</v>
      </c>
      <c r="J262" s="73">
        <f>$C262*VLOOKUP($B262,FoodDB!$A$2:$I$1024,9,0)</f>
        <v>0</v>
      </c>
      <c r="K262" s="73"/>
      <c r="L262" s="73"/>
      <c r="M262" s="73"/>
      <c r="N262" s="73"/>
      <c r="O262" s="73"/>
      <c r="P262" s="73"/>
      <c r="Q262" s="73"/>
      <c r="R262" s="73"/>
      <c r="S262" s="73"/>
    </row>
    <row r="263" spans="1:19" x14ac:dyDescent="0.25">
      <c r="B263" s="71" t="s">
        <v>95</v>
      </c>
      <c r="C263" s="72">
        <v>1</v>
      </c>
      <c r="D263" s="73">
        <f>$C263*VLOOKUP($B263,FoodDB!$A$2:$I$1024,3,0)</f>
        <v>0</v>
      </c>
      <c r="E263" s="73">
        <f>$C263*VLOOKUP($B263,FoodDB!$A$2:$I$1024,4,0)</f>
        <v>0</v>
      </c>
      <c r="F263" s="73">
        <f>$C263*VLOOKUP($B263,FoodDB!$A$2:$I$1024,5,0)</f>
        <v>0</v>
      </c>
      <c r="G263" s="73">
        <f>$C263*VLOOKUP($B263,FoodDB!$A$2:$I$1024,6,0)</f>
        <v>0</v>
      </c>
      <c r="H263" s="73">
        <f>$C263*VLOOKUP($B263,FoodDB!$A$2:$I$1024,7,0)</f>
        <v>0</v>
      </c>
      <c r="I263" s="73">
        <f>$C263*VLOOKUP($B263,FoodDB!$A$2:$I$1024,8,0)</f>
        <v>0</v>
      </c>
      <c r="J263" s="73">
        <f>$C263*VLOOKUP($B263,FoodDB!$A$2:$I$1024,9,0)</f>
        <v>0</v>
      </c>
      <c r="K263" s="73"/>
      <c r="L263" s="73"/>
      <c r="M263" s="73"/>
      <c r="N263" s="73"/>
      <c r="O263" s="73"/>
      <c r="P263" s="73"/>
      <c r="Q263" s="73"/>
      <c r="R263" s="73"/>
      <c r="S263" s="73"/>
    </row>
    <row r="264" spans="1:19" x14ac:dyDescent="0.25">
      <c r="A264" t="s">
        <v>99</v>
      </c>
      <c r="D264" s="73"/>
      <c r="E264" s="73"/>
      <c r="F264" s="73"/>
      <c r="G264" s="73">
        <f>SUM(G257:G263)</f>
        <v>0</v>
      </c>
      <c r="H264" s="73">
        <f>SUM(H257:H263)</f>
        <v>0</v>
      </c>
      <c r="I264" s="73">
        <f>SUM(I257:I263)</f>
        <v>0</v>
      </c>
      <c r="J264" s="73">
        <f>SUM(G264:I264)</f>
        <v>0</v>
      </c>
      <c r="K264" s="73"/>
      <c r="L264" s="73"/>
      <c r="M264" s="73"/>
      <c r="N264" s="73"/>
      <c r="O264" s="73"/>
      <c r="P264" s="73"/>
      <c r="Q264" s="73"/>
      <c r="R264" s="73"/>
      <c r="S264" s="73"/>
    </row>
    <row r="265" spans="1:19" x14ac:dyDescent="0.25">
      <c r="A265" t="s">
        <v>100</v>
      </c>
      <c r="B265" t="s">
        <v>101</v>
      </c>
      <c r="D265" s="73"/>
      <c r="E265" s="73"/>
      <c r="F265" s="73"/>
      <c r="G265" s="73">
        <f>VLOOKUP($A257,LossChart!$A$3:$AB$73,14,0)</f>
        <v>552.02079935038773</v>
      </c>
      <c r="H265" s="73">
        <f>VLOOKUP($A257,LossChart!$A$3:$AB$73,15,0)</f>
        <v>80</v>
      </c>
      <c r="I265" s="73">
        <f>VLOOKUP($A257,LossChart!$A$3:$AB$73,16,0)</f>
        <v>463.76562996293683</v>
      </c>
      <c r="J265" s="73">
        <f>VLOOKUP($A257,LossChart!$A$3:$AB$73,17,0)</f>
        <v>1095.7864293133246</v>
      </c>
      <c r="K265" s="73"/>
      <c r="L265" s="73"/>
      <c r="M265" s="73"/>
      <c r="N265" s="73"/>
      <c r="O265" s="73"/>
      <c r="P265" s="73"/>
      <c r="Q265" s="73"/>
      <c r="R265" s="73"/>
      <c r="S265" s="73"/>
    </row>
    <row r="266" spans="1:19" x14ac:dyDescent="0.25">
      <c r="A266" t="s">
        <v>102</v>
      </c>
      <c r="D266" s="73"/>
      <c r="E266" s="73"/>
      <c r="F266" s="73"/>
      <c r="G266" s="73">
        <f>G265-G264</f>
        <v>552.02079935038773</v>
      </c>
      <c r="H266" s="73">
        <f>H265-H264</f>
        <v>80</v>
      </c>
      <c r="I266" s="73">
        <f>I265-I264</f>
        <v>463.76562996293683</v>
      </c>
      <c r="J266" s="73">
        <f>J265-J264</f>
        <v>1095.7864293133246</v>
      </c>
      <c r="K266" s="73"/>
      <c r="L266" s="73"/>
      <c r="M266" s="73"/>
      <c r="N266" s="73"/>
      <c r="O266" s="73"/>
      <c r="P266" s="73"/>
      <c r="Q266" s="73"/>
      <c r="R266" s="73"/>
      <c r="S266" s="73"/>
    </row>
    <row r="268" spans="1:19" ht="60" x14ac:dyDescent="0.25">
      <c r="A268" s="25" t="s">
        <v>63</v>
      </c>
      <c r="B268" s="25" t="s">
        <v>80</v>
      </c>
      <c r="C268" s="25" t="s">
        <v>81</v>
      </c>
      <c r="D268" s="69" t="str">
        <f>FoodDB!$C$1</f>
        <v>Fat
(g)</v>
      </c>
      <c r="E268" s="69" t="str">
        <f>FoodDB!$D$1</f>
        <v xml:space="preserve"> Net
Carbs
(g)</v>
      </c>
      <c r="F268" s="69" t="str">
        <f>FoodDB!$E$1</f>
        <v>Protein
(g)</v>
      </c>
      <c r="G268" s="69" t="str">
        <f>FoodDB!$F$1</f>
        <v>Fat
(Cal)</v>
      </c>
      <c r="H268" s="69" t="str">
        <f>FoodDB!$G$1</f>
        <v>Carb
(Cal)</v>
      </c>
      <c r="I268" s="69" t="str">
        <f>FoodDB!$H$1</f>
        <v>Protein
(Cal)</v>
      </c>
      <c r="J268" s="69" t="str">
        <f>FoodDB!$I$1</f>
        <v>Total
Calories</v>
      </c>
      <c r="K268" s="69"/>
      <c r="L268" s="69" t="s">
        <v>82</v>
      </c>
      <c r="M268" s="69" t="s">
        <v>83</v>
      </c>
      <c r="N268" s="69" t="s">
        <v>84</v>
      </c>
      <c r="O268" s="69" t="s">
        <v>85</v>
      </c>
      <c r="P268" s="69" t="s">
        <v>86</v>
      </c>
      <c r="Q268" s="69" t="s">
        <v>87</v>
      </c>
      <c r="R268" s="69" t="s">
        <v>88</v>
      </c>
      <c r="S268" s="69" t="s">
        <v>89</v>
      </c>
    </row>
    <row r="269" spans="1:19" x14ac:dyDescent="0.25">
      <c r="A269" s="70">
        <f>A257+1</f>
        <v>43053</v>
      </c>
      <c r="B269" s="71" t="s">
        <v>95</v>
      </c>
      <c r="C269" s="72">
        <v>1</v>
      </c>
      <c r="D269" s="73">
        <f>$C269*VLOOKUP($B269,FoodDB!$A$2:$I$1024,3,0)</f>
        <v>0</v>
      </c>
      <c r="E269" s="73">
        <f>$C269*VLOOKUP($B269,FoodDB!$A$2:$I$1024,4,0)</f>
        <v>0</v>
      </c>
      <c r="F269" s="73">
        <f>$C269*VLOOKUP($B269,FoodDB!$A$2:$I$1024,5,0)</f>
        <v>0</v>
      </c>
      <c r="G269" s="73">
        <f>$C269*VLOOKUP($B269,FoodDB!$A$2:$I$1024,6,0)</f>
        <v>0</v>
      </c>
      <c r="H269" s="73">
        <f>$C269*VLOOKUP($B269,FoodDB!$A$2:$I$1024,7,0)</f>
        <v>0</v>
      </c>
      <c r="I269" s="73">
        <f>$C269*VLOOKUP($B269,FoodDB!$A$2:$I$1024,8,0)</f>
        <v>0</v>
      </c>
      <c r="J269" s="73">
        <f>$C269*VLOOKUP($B269,FoodDB!$A$2:$I$1024,9,0)</f>
        <v>0</v>
      </c>
      <c r="K269" s="73"/>
      <c r="L269" s="73">
        <f>SUM(G269:G275)</f>
        <v>0</v>
      </c>
      <c r="M269" s="73">
        <f>SUM(H269:H275)</f>
        <v>0</v>
      </c>
      <c r="N269" s="73">
        <f>SUM(I269:I275)</f>
        <v>0</v>
      </c>
      <c r="O269" s="73">
        <f>SUM(L269:N269)</f>
        <v>0</v>
      </c>
      <c r="P269" s="73">
        <f>VLOOKUP($A269,LossChart!$A$3:$AB$73,14,0)-L269</f>
        <v>558.54525201965635</v>
      </c>
      <c r="Q269" s="73">
        <f>VLOOKUP($A269,LossChart!$A$3:$AB$73,15,0)-M269</f>
        <v>80</v>
      </c>
      <c r="R269" s="73">
        <f>VLOOKUP($A269,LossChart!$A$3:$AB$73,16,0)-N269</f>
        <v>463.76562996293683</v>
      </c>
      <c r="S269" s="73">
        <f>VLOOKUP($A269,LossChart!$A$3:$AB$73,17,0)-O269</f>
        <v>1102.3108819825932</v>
      </c>
    </row>
    <row r="270" spans="1:19" x14ac:dyDescent="0.25">
      <c r="B270" s="71" t="s">
        <v>95</v>
      </c>
      <c r="C270" s="72">
        <v>1</v>
      </c>
      <c r="D270" s="73">
        <f>$C270*VLOOKUP($B270,FoodDB!$A$2:$I$1024,3,0)</f>
        <v>0</v>
      </c>
      <c r="E270" s="73">
        <f>$C270*VLOOKUP($B270,FoodDB!$A$2:$I$1024,4,0)</f>
        <v>0</v>
      </c>
      <c r="F270" s="73">
        <f>$C270*VLOOKUP($B270,FoodDB!$A$2:$I$1024,5,0)</f>
        <v>0</v>
      </c>
      <c r="G270" s="73">
        <f>$C270*VLOOKUP($B270,FoodDB!$A$2:$I$1024,6,0)</f>
        <v>0</v>
      </c>
      <c r="H270" s="73">
        <f>$C270*VLOOKUP($B270,FoodDB!$A$2:$I$1024,7,0)</f>
        <v>0</v>
      </c>
      <c r="I270" s="73">
        <f>$C270*VLOOKUP($B270,FoodDB!$A$2:$I$1024,8,0)</f>
        <v>0</v>
      </c>
      <c r="J270" s="73">
        <f>$C270*VLOOKUP($B270,FoodDB!$A$2:$I$1024,9,0)</f>
        <v>0</v>
      </c>
      <c r="K270" s="73"/>
      <c r="L270" s="73"/>
      <c r="M270" s="73"/>
      <c r="N270" s="73"/>
      <c r="O270" s="73"/>
      <c r="P270" s="73"/>
      <c r="Q270" s="73"/>
      <c r="R270" s="73"/>
      <c r="S270" s="73"/>
    </row>
    <row r="271" spans="1:19" x14ac:dyDescent="0.25">
      <c r="B271" s="71" t="s">
        <v>95</v>
      </c>
      <c r="C271" s="72">
        <v>1</v>
      </c>
      <c r="D271" s="73">
        <f>$C271*VLOOKUP($B271,FoodDB!$A$2:$I$1024,3,0)</f>
        <v>0</v>
      </c>
      <c r="E271" s="73">
        <f>$C271*VLOOKUP($B271,FoodDB!$A$2:$I$1024,4,0)</f>
        <v>0</v>
      </c>
      <c r="F271" s="73">
        <f>$C271*VLOOKUP($B271,FoodDB!$A$2:$I$1024,5,0)</f>
        <v>0</v>
      </c>
      <c r="G271" s="73">
        <f>$C271*VLOOKUP($B271,FoodDB!$A$2:$I$1024,6,0)</f>
        <v>0</v>
      </c>
      <c r="H271" s="73">
        <f>$C271*VLOOKUP($B271,FoodDB!$A$2:$I$1024,7,0)</f>
        <v>0</v>
      </c>
      <c r="I271" s="73">
        <f>$C271*VLOOKUP($B271,FoodDB!$A$2:$I$1024,8,0)</f>
        <v>0</v>
      </c>
      <c r="J271" s="73">
        <f>$C271*VLOOKUP($B271,FoodDB!$A$2:$I$1024,9,0)</f>
        <v>0</v>
      </c>
      <c r="K271" s="73"/>
      <c r="L271" s="73"/>
      <c r="M271" s="73"/>
      <c r="N271" s="73"/>
      <c r="O271" s="73"/>
      <c r="P271" s="73"/>
      <c r="Q271" s="73"/>
      <c r="R271" s="73"/>
      <c r="S271" s="73"/>
    </row>
    <row r="272" spans="1:19" x14ac:dyDescent="0.25">
      <c r="B272" s="71" t="s">
        <v>95</v>
      </c>
      <c r="C272" s="72">
        <v>1</v>
      </c>
      <c r="D272" s="73">
        <f>$C272*VLOOKUP($B272,FoodDB!$A$2:$I$1024,3,0)</f>
        <v>0</v>
      </c>
      <c r="E272" s="73">
        <f>$C272*VLOOKUP($B272,FoodDB!$A$2:$I$1024,4,0)</f>
        <v>0</v>
      </c>
      <c r="F272" s="73">
        <f>$C272*VLOOKUP($B272,FoodDB!$A$2:$I$1024,5,0)</f>
        <v>0</v>
      </c>
      <c r="G272" s="73">
        <f>$C272*VLOOKUP($B272,FoodDB!$A$2:$I$1024,6,0)</f>
        <v>0</v>
      </c>
      <c r="H272" s="73">
        <f>$C272*VLOOKUP($B272,FoodDB!$A$2:$I$1024,7,0)</f>
        <v>0</v>
      </c>
      <c r="I272" s="73">
        <f>$C272*VLOOKUP($B272,FoodDB!$A$2:$I$1024,8,0)</f>
        <v>0</v>
      </c>
      <c r="J272" s="73">
        <f>$C272*VLOOKUP($B272,FoodDB!$A$2:$I$1024,9,0)</f>
        <v>0</v>
      </c>
      <c r="K272" s="73"/>
      <c r="L272" s="73"/>
      <c r="M272" s="73"/>
      <c r="N272" s="73"/>
      <c r="O272" s="73"/>
      <c r="P272" s="73"/>
      <c r="Q272" s="73"/>
      <c r="R272" s="73"/>
      <c r="S272" s="73"/>
    </row>
    <row r="273" spans="1:19" x14ac:dyDescent="0.25">
      <c r="B273" s="71" t="s">
        <v>95</v>
      </c>
      <c r="C273" s="72">
        <v>1</v>
      </c>
      <c r="D273" s="73">
        <f>$C273*VLOOKUP($B273,FoodDB!$A$2:$I$1024,3,0)</f>
        <v>0</v>
      </c>
      <c r="E273" s="73">
        <f>$C273*VLOOKUP($B273,FoodDB!$A$2:$I$1024,4,0)</f>
        <v>0</v>
      </c>
      <c r="F273" s="73">
        <f>$C273*VLOOKUP($B273,FoodDB!$A$2:$I$1024,5,0)</f>
        <v>0</v>
      </c>
      <c r="G273" s="73">
        <f>$C273*VLOOKUP($B273,FoodDB!$A$2:$I$1024,6,0)</f>
        <v>0</v>
      </c>
      <c r="H273" s="73">
        <f>$C273*VLOOKUP($B273,FoodDB!$A$2:$I$1024,7,0)</f>
        <v>0</v>
      </c>
      <c r="I273" s="73">
        <f>$C273*VLOOKUP($B273,FoodDB!$A$2:$I$1024,8,0)</f>
        <v>0</v>
      </c>
      <c r="J273" s="73">
        <f>$C273*VLOOKUP($B273,FoodDB!$A$2:$I$1024,9,0)</f>
        <v>0</v>
      </c>
      <c r="K273" s="73"/>
      <c r="L273" s="73"/>
      <c r="M273" s="73"/>
      <c r="N273" s="73"/>
      <c r="O273" s="73"/>
      <c r="P273" s="73"/>
      <c r="Q273" s="73"/>
      <c r="R273" s="73"/>
      <c r="S273" s="73"/>
    </row>
    <row r="274" spans="1:19" x14ac:dyDescent="0.25">
      <c r="B274" s="71" t="s">
        <v>95</v>
      </c>
      <c r="C274" s="72">
        <v>1</v>
      </c>
      <c r="D274" s="73">
        <f>$C274*VLOOKUP($B274,FoodDB!$A$2:$I$1024,3,0)</f>
        <v>0</v>
      </c>
      <c r="E274" s="73">
        <f>$C274*VLOOKUP($B274,FoodDB!$A$2:$I$1024,4,0)</f>
        <v>0</v>
      </c>
      <c r="F274" s="73">
        <f>$C274*VLOOKUP($B274,FoodDB!$A$2:$I$1024,5,0)</f>
        <v>0</v>
      </c>
      <c r="G274" s="73">
        <f>$C274*VLOOKUP($B274,FoodDB!$A$2:$I$1024,6,0)</f>
        <v>0</v>
      </c>
      <c r="H274" s="73">
        <f>$C274*VLOOKUP($B274,FoodDB!$A$2:$I$1024,7,0)</f>
        <v>0</v>
      </c>
      <c r="I274" s="73">
        <f>$C274*VLOOKUP($B274,FoodDB!$A$2:$I$1024,8,0)</f>
        <v>0</v>
      </c>
      <c r="J274" s="73">
        <f>$C274*VLOOKUP($B274,FoodDB!$A$2:$I$1024,9,0)</f>
        <v>0</v>
      </c>
      <c r="K274" s="73"/>
      <c r="L274" s="73"/>
      <c r="M274" s="73"/>
      <c r="N274" s="73"/>
      <c r="O274" s="73"/>
      <c r="P274" s="73"/>
      <c r="Q274" s="73"/>
      <c r="R274" s="73"/>
      <c r="S274" s="73"/>
    </row>
    <row r="275" spans="1:19" x14ac:dyDescent="0.25">
      <c r="B275" s="71" t="s">
        <v>95</v>
      </c>
      <c r="C275" s="72">
        <v>1</v>
      </c>
      <c r="D275" s="73">
        <f>$C275*VLOOKUP($B275,FoodDB!$A$2:$I$1024,3,0)</f>
        <v>0</v>
      </c>
      <c r="E275" s="73">
        <f>$C275*VLOOKUP($B275,FoodDB!$A$2:$I$1024,4,0)</f>
        <v>0</v>
      </c>
      <c r="F275" s="73">
        <f>$C275*VLOOKUP($B275,FoodDB!$A$2:$I$1024,5,0)</f>
        <v>0</v>
      </c>
      <c r="G275" s="73">
        <f>$C275*VLOOKUP($B275,FoodDB!$A$2:$I$1024,6,0)</f>
        <v>0</v>
      </c>
      <c r="H275" s="73">
        <f>$C275*VLOOKUP($B275,FoodDB!$A$2:$I$1024,7,0)</f>
        <v>0</v>
      </c>
      <c r="I275" s="73">
        <f>$C275*VLOOKUP($B275,FoodDB!$A$2:$I$1024,8,0)</f>
        <v>0</v>
      </c>
      <c r="J275" s="73">
        <f>$C275*VLOOKUP($B275,FoodDB!$A$2:$I$1024,9,0)</f>
        <v>0</v>
      </c>
      <c r="K275" s="73"/>
      <c r="L275" s="73"/>
      <c r="M275" s="73"/>
      <c r="N275" s="73"/>
      <c r="O275" s="73"/>
      <c r="P275" s="73"/>
      <c r="Q275" s="73"/>
      <c r="R275" s="73"/>
      <c r="S275" s="73"/>
    </row>
    <row r="276" spans="1:19" x14ac:dyDescent="0.25">
      <c r="A276" t="s">
        <v>99</v>
      </c>
      <c r="D276" s="73"/>
      <c r="E276" s="73"/>
      <c r="F276" s="73"/>
      <c r="G276" s="73">
        <f>SUM(G269:G275)</f>
        <v>0</v>
      </c>
      <c r="H276" s="73">
        <f>SUM(H269:H275)</f>
        <v>0</v>
      </c>
      <c r="I276" s="73">
        <f>SUM(I269:I275)</f>
        <v>0</v>
      </c>
      <c r="J276" s="73">
        <f>SUM(G276:I276)</f>
        <v>0</v>
      </c>
      <c r="K276" s="73"/>
      <c r="L276" s="73"/>
      <c r="M276" s="73"/>
      <c r="N276" s="73"/>
      <c r="O276" s="73"/>
      <c r="P276" s="73"/>
      <c r="Q276" s="73"/>
      <c r="R276" s="73"/>
      <c r="S276" s="73"/>
    </row>
    <row r="277" spans="1:19" x14ac:dyDescent="0.25">
      <c r="A277" t="s">
        <v>100</v>
      </c>
      <c r="B277" t="s">
        <v>101</v>
      </c>
      <c r="D277" s="73"/>
      <c r="E277" s="73"/>
      <c r="F277" s="73"/>
      <c r="G277" s="73">
        <f>VLOOKUP($A269,LossChart!$A$3:$AB$73,14,0)</f>
        <v>558.54525201965635</v>
      </c>
      <c r="H277" s="73">
        <f>VLOOKUP($A269,LossChart!$A$3:$AB$73,15,0)</f>
        <v>80</v>
      </c>
      <c r="I277" s="73">
        <f>VLOOKUP($A269,LossChart!$A$3:$AB$73,16,0)</f>
        <v>463.76562996293683</v>
      </c>
      <c r="J277" s="73">
        <f>VLOOKUP($A269,LossChart!$A$3:$AB$73,17,0)</f>
        <v>1102.3108819825932</v>
      </c>
      <c r="K277" s="73"/>
      <c r="L277" s="73"/>
      <c r="M277" s="73"/>
      <c r="N277" s="73"/>
      <c r="O277" s="73"/>
      <c r="P277" s="73"/>
      <c r="Q277" s="73"/>
      <c r="R277" s="73"/>
      <c r="S277" s="73"/>
    </row>
    <row r="278" spans="1:19" x14ac:dyDescent="0.25">
      <c r="A278" t="s">
        <v>102</v>
      </c>
      <c r="D278" s="73"/>
      <c r="E278" s="73"/>
      <c r="F278" s="73"/>
      <c r="G278" s="73">
        <f>G277-G276</f>
        <v>558.54525201965635</v>
      </c>
      <c r="H278" s="73">
        <f>H277-H276</f>
        <v>80</v>
      </c>
      <c r="I278" s="73">
        <f>I277-I276</f>
        <v>463.76562996293683</v>
      </c>
      <c r="J278" s="73">
        <f>J277-J276</f>
        <v>1102.3108819825932</v>
      </c>
      <c r="K278" s="73"/>
      <c r="L278" s="73"/>
      <c r="M278" s="73"/>
      <c r="N278" s="73"/>
      <c r="O278" s="73"/>
      <c r="P278" s="73"/>
      <c r="Q278" s="73"/>
      <c r="R278" s="73"/>
      <c r="S278" s="73"/>
    </row>
    <row r="280" spans="1:19" ht="60" x14ac:dyDescent="0.25">
      <c r="A280" s="25" t="s">
        <v>63</v>
      </c>
      <c r="B280" s="25" t="s">
        <v>80</v>
      </c>
      <c r="C280" s="25" t="s">
        <v>81</v>
      </c>
      <c r="D280" s="69" t="str">
        <f>FoodDB!$C$1</f>
        <v>Fat
(g)</v>
      </c>
      <c r="E280" s="69" t="str">
        <f>FoodDB!$D$1</f>
        <v xml:space="preserve"> Net
Carbs
(g)</v>
      </c>
      <c r="F280" s="69" t="str">
        <f>FoodDB!$E$1</f>
        <v>Protein
(g)</v>
      </c>
      <c r="G280" s="69" t="str">
        <f>FoodDB!$F$1</f>
        <v>Fat
(Cal)</v>
      </c>
      <c r="H280" s="69" t="str">
        <f>FoodDB!$G$1</f>
        <v>Carb
(Cal)</v>
      </c>
      <c r="I280" s="69" t="str">
        <f>FoodDB!$H$1</f>
        <v>Protein
(Cal)</v>
      </c>
      <c r="J280" s="69" t="str">
        <f>FoodDB!$I$1</f>
        <v>Total
Calories</v>
      </c>
      <c r="K280" s="69"/>
      <c r="L280" s="69" t="s">
        <v>82</v>
      </c>
      <c r="M280" s="69" t="s">
        <v>83</v>
      </c>
      <c r="N280" s="69" t="s">
        <v>84</v>
      </c>
      <c r="O280" s="69" t="s">
        <v>85</v>
      </c>
      <c r="P280" s="69" t="s">
        <v>86</v>
      </c>
      <c r="Q280" s="69" t="s">
        <v>87</v>
      </c>
      <c r="R280" s="69" t="s">
        <v>88</v>
      </c>
      <c r="S280" s="69" t="s">
        <v>89</v>
      </c>
    </row>
    <row r="281" spans="1:19" x14ac:dyDescent="0.25">
      <c r="A281" s="70">
        <f>A269+1</f>
        <v>43054</v>
      </c>
      <c r="B281" s="71" t="s">
        <v>95</v>
      </c>
      <c r="C281" s="72">
        <v>1</v>
      </c>
      <c r="D281" s="73">
        <f>$C281*VLOOKUP($B281,FoodDB!$A$2:$I$1024,3,0)</f>
        <v>0</v>
      </c>
      <c r="E281" s="73">
        <f>$C281*VLOOKUP($B281,FoodDB!$A$2:$I$1024,4,0)</f>
        <v>0</v>
      </c>
      <c r="F281" s="73">
        <f>$C281*VLOOKUP($B281,FoodDB!$A$2:$I$1024,5,0)</f>
        <v>0</v>
      </c>
      <c r="G281" s="73">
        <f>$C281*VLOOKUP($B281,FoodDB!$A$2:$I$1024,6,0)</f>
        <v>0</v>
      </c>
      <c r="H281" s="73">
        <f>$C281*VLOOKUP($B281,FoodDB!$A$2:$I$1024,7,0)</f>
        <v>0</v>
      </c>
      <c r="I281" s="73">
        <f>$C281*VLOOKUP($B281,FoodDB!$A$2:$I$1024,8,0)</f>
        <v>0</v>
      </c>
      <c r="J281" s="73">
        <f>$C281*VLOOKUP($B281,FoodDB!$A$2:$I$1024,9,0)</f>
        <v>0</v>
      </c>
      <c r="K281" s="73"/>
      <c r="L281" s="73">
        <f>SUM(G281:G287)</f>
        <v>0</v>
      </c>
      <c r="M281" s="73">
        <f>SUM(H281:H287)</f>
        <v>0</v>
      </c>
      <c r="N281" s="73">
        <f>SUM(I281:I287)</f>
        <v>0</v>
      </c>
      <c r="O281" s="73">
        <f>SUM(L281:N281)</f>
        <v>0</v>
      </c>
      <c r="P281" s="73">
        <f>VLOOKUP($A281,LossChart!$A$3:$AB$73,14,0)-L281</f>
        <v>565.011916679568</v>
      </c>
      <c r="Q281" s="73">
        <f>VLOOKUP($A281,LossChart!$A$3:$AB$73,15,0)-M281</f>
        <v>80</v>
      </c>
      <c r="R281" s="73">
        <f>VLOOKUP($A281,LossChart!$A$3:$AB$73,16,0)-N281</f>
        <v>463.76562996293683</v>
      </c>
      <c r="S281" s="73">
        <f>VLOOKUP($A281,LossChart!$A$3:$AB$73,17,0)-O281</f>
        <v>1108.7775466425048</v>
      </c>
    </row>
    <row r="282" spans="1:19" x14ac:dyDescent="0.25">
      <c r="B282" s="71" t="s">
        <v>95</v>
      </c>
      <c r="C282" s="72">
        <v>1</v>
      </c>
      <c r="D282" s="73">
        <f>$C282*VLOOKUP($B282,FoodDB!$A$2:$I$1024,3,0)</f>
        <v>0</v>
      </c>
      <c r="E282" s="73">
        <f>$C282*VLOOKUP($B282,FoodDB!$A$2:$I$1024,4,0)</f>
        <v>0</v>
      </c>
      <c r="F282" s="73">
        <f>$C282*VLOOKUP($B282,FoodDB!$A$2:$I$1024,5,0)</f>
        <v>0</v>
      </c>
      <c r="G282" s="73">
        <f>$C282*VLOOKUP($B282,FoodDB!$A$2:$I$1024,6,0)</f>
        <v>0</v>
      </c>
      <c r="H282" s="73">
        <f>$C282*VLOOKUP($B282,FoodDB!$A$2:$I$1024,7,0)</f>
        <v>0</v>
      </c>
      <c r="I282" s="73">
        <f>$C282*VLOOKUP($B282,FoodDB!$A$2:$I$1024,8,0)</f>
        <v>0</v>
      </c>
      <c r="J282" s="73">
        <f>$C282*VLOOKUP($B282,FoodDB!$A$2:$I$1024,9,0)</f>
        <v>0</v>
      </c>
      <c r="K282" s="73"/>
      <c r="L282" s="73"/>
      <c r="M282" s="73"/>
      <c r="N282" s="73"/>
      <c r="O282" s="73"/>
      <c r="P282" s="73"/>
      <c r="Q282" s="73"/>
      <c r="R282" s="73"/>
      <c r="S282" s="73"/>
    </row>
    <row r="283" spans="1:19" x14ac:dyDescent="0.25">
      <c r="B283" s="71" t="s">
        <v>95</v>
      </c>
      <c r="C283" s="72">
        <v>1</v>
      </c>
      <c r="D283" s="73">
        <f>$C283*VLOOKUP($B283,FoodDB!$A$2:$I$1024,3,0)</f>
        <v>0</v>
      </c>
      <c r="E283" s="73">
        <f>$C283*VLOOKUP($B283,FoodDB!$A$2:$I$1024,4,0)</f>
        <v>0</v>
      </c>
      <c r="F283" s="73">
        <f>$C283*VLOOKUP($B283,FoodDB!$A$2:$I$1024,5,0)</f>
        <v>0</v>
      </c>
      <c r="G283" s="73">
        <f>$C283*VLOOKUP($B283,FoodDB!$A$2:$I$1024,6,0)</f>
        <v>0</v>
      </c>
      <c r="H283" s="73">
        <f>$C283*VLOOKUP($B283,FoodDB!$A$2:$I$1024,7,0)</f>
        <v>0</v>
      </c>
      <c r="I283" s="73">
        <f>$C283*VLOOKUP($B283,FoodDB!$A$2:$I$1024,8,0)</f>
        <v>0</v>
      </c>
      <c r="J283" s="73">
        <f>$C283*VLOOKUP($B283,FoodDB!$A$2:$I$1024,9,0)</f>
        <v>0</v>
      </c>
      <c r="K283" s="73"/>
      <c r="L283" s="73"/>
      <c r="M283" s="73"/>
      <c r="N283" s="73"/>
      <c r="O283" s="73"/>
      <c r="P283" s="73"/>
      <c r="Q283" s="73"/>
      <c r="R283" s="73"/>
      <c r="S283" s="73"/>
    </row>
    <row r="284" spans="1:19" x14ac:dyDescent="0.25">
      <c r="B284" s="71" t="s">
        <v>95</v>
      </c>
      <c r="C284" s="72">
        <v>1</v>
      </c>
      <c r="D284" s="73">
        <f>$C284*VLOOKUP($B284,FoodDB!$A$2:$I$1024,3,0)</f>
        <v>0</v>
      </c>
      <c r="E284" s="73">
        <f>$C284*VLOOKUP($B284,FoodDB!$A$2:$I$1024,4,0)</f>
        <v>0</v>
      </c>
      <c r="F284" s="73">
        <f>$C284*VLOOKUP($B284,FoodDB!$A$2:$I$1024,5,0)</f>
        <v>0</v>
      </c>
      <c r="G284" s="73">
        <f>$C284*VLOOKUP($B284,FoodDB!$A$2:$I$1024,6,0)</f>
        <v>0</v>
      </c>
      <c r="H284" s="73">
        <f>$C284*VLOOKUP($B284,FoodDB!$A$2:$I$1024,7,0)</f>
        <v>0</v>
      </c>
      <c r="I284" s="73">
        <f>$C284*VLOOKUP($B284,FoodDB!$A$2:$I$1024,8,0)</f>
        <v>0</v>
      </c>
      <c r="J284" s="73">
        <f>$C284*VLOOKUP($B284,FoodDB!$A$2:$I$1024,9,0)</f>
        <v>0</v>
      </c>
      <c r="K284" s="73"/>
      <c r="L284" s="73"/>
      <c r="M284" s="73"/>
      <c r="N284" s="73"/>
      <c r="O284" s="73"/>
      <c r="P284" s="73"/>
      <c r="Q284" s="73"/>
      <c r="R284" s="73"/>
      <c r="S284" s="73"/>
    </row>
    <row r="285" spans="1:19" x14ac:dyDescent="0.25">
      <c r="B285" s="71" t="s">
        <v>95</v>
      </c>
      <c r="C285" s="72">
        <v>1</v>
      </c>
      <c r="D285" s="73">
        <f>$C285*VLOOKUP($B285,FoodDB!$A$2:$I$1024,3,0)</f>
        <v>0</v>
      </c>
      <c r="E285" s="73">
        <f>$C285*VLOOKUP($B285,FoodDB!$A$2:$I$1024,4,0)</f>
        <v>0</v>
      </c>
      <c r="F285" s="73">
        <f>$C285*VLOOKUP($B285,FoodDB!$A$2:$I$1024,5,0)</f>
        <v>0</v>
      </c>
      <c r="G285" s="73">
        <f>$C285*VLOOKUP($B285,FoodDB!$A$2:$I$1024,6,0)</f>
        <v>0</v>
      </c>
      <c r="H285" s="73">
        <f>$C285*VLOOKUP($B285,FoodDB!$A$2:$I$1024,7,0)</f>
        <v>0</v>
      </c>
      <c r="I285" s="73">
        <f>$C285*VLOOKUP($B285,FoodDB!$A$2:$I$1024,8,0)</f>
        <v>0</v>
      </c>
      <c r="J285" s="73">
        <f>$C285*VLOOKUP($B285,FoodDB!$A$2:$I$1024,9,0)</f>
        <v>0</v>
      </c>
      <c r="K285" s="73"/>
      <c r="L285" s="73"/>
      <c r="M285" s="73"/>
      <c r="N285" s="73"/>
      <c r="O285" s="73"/>
      <c r="P285" s="73"/>
      <c r="Q285" s="73"/>
      <c r="R285" s="73"/>
      <c r="S285" s="73"/>
    </row>
    <row r="286" spans="1:19" x14ac:dyDescent="0.25">
      <c r="B286" s="71" t="s">
        <v>95</v>
      </c>
      <c r="C286" s="72">
        <v>1</v>
      </c>
      <c r="D286" s="73">
        <f>$C286*VLOOKUP($B286,FoodDB!$A$2:$I$1024,3,0)</f>
        <v>0</v>
      </c>
      <c r="E286" s="73">
        <f>$C286*VLOOKUP($B286,FoodDB!$A$2:$I$1024,4,0)</f>
        <v>0</v>
      </c>
      <c r="F286" s="73">
        <f>$C286*VLOOKUP($B286,FoodDB!$A$2:$I$1024,5,0)</f>
        <v>0</v>
      </c>
      <c r="G286" s="73">
        <f>$C286*VLOOKUP($B286,FoodDB!$A$2:$I$1024,6,0)</f>
        <v>0</v>
      </c>
      <c r="H286" s="73">
        <f>$C286*VLOOKUP($B286,FoodDB!$A$2:$I$1024,7,0)</f>
        <v>0</v>
      </c>
      <c r="I286" s="73">
        <f>$C286*VLOOKUP($B286,FoodDB!$A$2:$I$1024,8,0)</f>
        <v>0</v>
      </c>
      <c r="J286" s="73">
        <f>$C286*VLOOKUP($B286,FoodDB!$A$2:$I$1024,9,0)</f>
        <v>0</v>
      </c>
      <c r="K286" s="73"/>
      <c r="L286" s="73"/>
      <c r="M286" s="73"/>
      <c r="N286" s="73"/>
      <c r="O286" s="73"/>
      <c r="P286" s="73"/>
      <c r="Q286" s="73"/>
      <c r="R286" s="73"/>
      <c r="S286" s="73"/>
    </row>
    <row r="287" spans="1:19" x14ac:dyDescent="0.25">
      <c r="B287" s="71" t="s">
        <v>95</v>
      </c>
      <c r="C287" s="72">
        <v>1</v>
      </c>
      <c r="D287" s="73">
        <f>$C287*VLOOKUP($B287,FoodDB!$A$2:$I$1024,3,0)</f>
        <v>0</v>
      </c>
      <c r="E287" s="73">
        <f>$C287*VLOOKUP($B287,FoodDB!$A$2:$I$1024,4,0)</f>
        <v>0</v>
      </c>
      <c r="F287" s="73">
        <f>$C287*VLOOKUP($B287,FoodDB!$A$2:$I$1024,5,0)</f>
        <v>0</v>
      </c>
      <c r="G287" s="73">
        <f>$C287*VLOOKUP($B287,FoodDB!$A$2:$I$1024,6,0)</f>
        <v>0</v>
      </c>
      <c r="H287" s="73">
        <f>$C287*VLOOKUP($B287,FoodDB!$A$2:$I$1024,7,0)</f>
        <v>0</v>
      </c>
      <c r="I287" s="73">
        <f>$C287*VLOOKUP($B287,FoodDB!$A$2:$I$1024,8,0)</f>
        <v>0</v>
      </c>
      <c r="J287" s="73">
        <f>$C287*VLOOKUP($B287,FoodDB!$A$2:$I$1024,9,0)</f>
        <v>0</v>
      </c>
      <c r="K287" s="73"/>
      <c r="L287" s="73"/>
      <c r="M287" s="73"/>
      <c r="N287" s="73"/>
      <c r="O287" s="73"/>
      <c r="P287" s="73"/>
      <c r="Q287" s="73"/>
      <c r="R287" s="73"/>
      <c r="S287" s="73"/>
    </row>
    <row r="288" spans="1:19" x14ac:dyDescent="0.25">
      <c r="A288" t="s">
        <v>99</v>
      </c>
      <c r="D288" s="73"/>
      <c r="E288" s="73"/>
      <c r="F288" s="73"/>
      <c r="G288" s="73">
        <f>SUM(G281:G287)</f>
        <v>0</v>
      </c>
      <c r="H288" s="73">
        <f>SUM(H281:H287)</f>
        <v>0</v>
      </c>
      <c r="I288" s="73">
        <f>SUM(I281:I287)</f>
        <v>0</v>
      </c>
      <c r="J288" s="73">
        <f>SUM(G288:I288)</f>
        <v>0</v>
      </c>
      <c r="K288" s="73"/>
      <c r="L288" s="73"/>
      <c r="M288" s="73"/>
      <c r="N288" s="73"/>
      <c r="O288" s="73"/>
      <c r="P288" s="73"/>
      <c r="Q288" s="73"/>
      <c r="R288" s="73"/>
      <c r="S288" s="73"/>
    </row>
    <row r="289" spans="1:19" x14ac:dyDescent="0.25">
      <c r="A289" t="s">
        <v>100</v>
      </c>
      <c r="B289" t="s">
        <v>101</v>
      </c>
      <c r="D289" s="73"/>
      <c r="E289" s="73"/>
      <c r="F289" s="73"/>
      <c r="G289" s="73">
        <f>VLOOKUP($A281,LossChart!$A$3:$AB$73,14,0)</f>
        <v>565.011916679568</v>
      </c>
      <c r="H289" s="73">
        <f>VLOOKUP($A281,LossChart!$A$3:$AB$73,15,0)</f>
        <v>80</v>
      </c>
      <c r="I289" s="73">
        <f>VLOOKUP($A281,LossChart!$A$3:$AB$73,16,0)</f>
        <v>463.76562996293683</v>
      </c>
      <c r="J289" s="73">
        <f>VLOOKUP($A281,LossChart!$A$3:$AB$73,17,0)</f>
        <v>1108.7775466425048</v>
      </c>
      <c r="K289" s="73"/>
      <c r="L289" s="73"/>
      <c r="M289" s="73"/>
      <c r="N289" s="73"/>
      <c r="O289" s="73"/>
      <c r="P289" s="73"/>
      <c r="Q289" s="73"/>
      <c r="R289" s="73"/>
      <c r="S289" s="73"/>
    </row>
    <row r="290" spans="1:19" x14ac:dyDescent="0.25">
      <c r="A290" t="s">
        <v>102</v>
      </c>
      <c r="D290" s="73"/>
      <c r="E290" s="73"/>
      <c r="F290" s="73"/>
      <c r="G290" s="73">
        <f>G289-G288</f>
        <v>565.011916679568</v>
      </c>
      <c r="H290" s="73">
        <f>H289-H288</f>
        <v>80</v>
      </c>
      <c r="I290" s="73">
        <f>I289-I288</f>
        <v>463.76562996293683</v>
      </c>
      <c r="J290" s="73">
        <f>J289-J288</f>
        <v>1108.7775466425048</v>
      </c>
      <c r="K290" s="73"/>
      <c r="L290" s="73"/>
      <c r="M290" s="73"/>
      <c r="N290" s="73"/>
      <c r="O290" s="73"/>
      <c r="P290" s="73"/>
      <c r="Q290" s="73"/>
      <c r="R290" s="73"/>
      <c r="S290" s="73"/>
    </row>
    <row r="292" spans="1:19" ht="60" x14ac:dyDescent="0.25">
      <c r="A292" s="25" t="s">
        <v>63</v>
      </c>
      <c r="B292" s="25" t="s">
        <v>80</v>
      </c>
      <c r="C292" s="25" t="s">
        <v>81</v>
      </c>
      <c r="D292" s="69" t="str">
        <f>FoodDB!$C$1</f>
        <v>Fat
(g)</v>
      </c>
      <c r="E292" s="69" t="str">
        <f>FoodDB!$D$1</f>
        <v xml:space="preserve"> Net
Carbs
(g)</v>
      </c>
      <c r="F292" s="69" t="str">
        <f>FoodDB!$E$1</f>
        <v>Protein
(g)</v>
      </c>
      <c r="G292" s="69" t="str">
        <f>FoodDB!$F$1</f>
        <v>Fat
(Cal)</v>
      </c>
      <c r="H292" s="69" t="str">
        <f>FoodDB!$G$1</f>
        <v>Carb
(Cal)</v>
      </c>
      <c r="I292" s="69" t="str">
        <f>FoodDB!$H$1</f>
        <v>Protein
(Cal)</v>
      </c>
      <c r="J292" s="69" t="str">
        <f>FoodDB!$I$1</f>
        <v>Total
Calories</v>
      </c>
      <c r="K292" s="69"/>
      <c r="L292" s="69" t="s">
        <v>82</v>
      </c>
      <c r="M292" s="69" t="s">
        <v>83</v>
      </c>
      <c r="N292" s="69" t="s">
        <v>84</v>
      </c>
      <c r="O292" s="69" t="s">
        <v>85</v>
      </c>
      <c r="P292" s="69" t="s">
        <v>86</v>
      </c>
      <c r="Q292" s="69" t="s">
        <v>87</v>
      </c>
      <c r="R292" s="69" t="s">
        <v>88</v>
      </c>
      <c r="S292" s="69" t="s">
        <v>89</v>
      </c>
    </row>
    <row r="293" spans="1:19" x14ac:dyDescent="0.25">
      <c r="A293" s="70">
        <f>A281+1</f>
        <v>43055</v>
      </c>
      <c r="B293" s="71" t="s">
        <v>95</v>
      </c>
      <c r="C293" s="72">
        <v>1</v>
      </c>
      <c r="D293" s="73">
        <f>$C293*VLOOKUP($B293,FoodDB!$A$2:$I$1024,3,0)</f>
        <v>0</v>
      </c>
      <c r="E293" s="73">
        <f>$C293*VLOOKUP($B293,FoodDB!$A$2:$I$1024,4,0)</f>
        <v>0</v>
      </c>
      <c r="F293" s="73">
        <f>$C293*VLOOKUP($B293,FoodDB!$A$2:$I$1024,5,0)</f>
        <v>0</v>
      </c>
      <c r="G293" s="73">
        <f>$C293*VLOOKUP($B293,FoodDB!$A$2:$I$1024,6,0)</f>
        <v>0</v>
      </c>
      <c r="H293" s="73">
        <f>$C293*VLOOKUP($B293,FoodDB!$A$2:$I$1024,7,0)</f>
        <v>0</v>
      </c>
      <c r="I293" s="73">
        <f>$C293*VLOOKUP($B293,FoodDB!$A$2:$I$1024,8,0)</f>
        <v>0</v>
      </c>
      <c r="J293" s="73">
        <f>$C293*VLOOKUP($B293,FoodDB!$A$2:$I$1024,9,0)</f>
        <v>0</v>
      </c>
      <c r="K293" s="73"/>
      <c r="L293" s="73">
        <f>SUM(G293:G299)</f>
        <v>0</v>
      </c>
      <c r="M293" s="73">
        <f>SUM(H293:H299)</f>
        <v>0</v>
      </c>
      <c r="N293" s="73">
        <f>SUM(I293:I299)</f>
        <v>0</v>
      </c>
      <c r="O293" s="73">
        <f>SUM(L293:N293)</f>
        <v>0</v>
      </c>
      <c r="P293" s="73">
        <f>VLOOKUP($A293,LossChart!$A$3:$AB$73,14,0)-L293</f>
        <v>571.42130516677776</v>
      </c>
      <c r="Q293" s="73">
        <f>VLOOKUP($A293,LossChart!$A$3:$AB$73,15,0)-M293</f>
        <v>80</v>
      </c>
      <c r="R293" s="73">
        <f>VLOOKUP($A293,LossChart!$A$3:$AB$73,16,0)-N293</f>
        <v>463.76562996293683</v>
      </c>
      <c r="S293" s="73">
        <f>VLOOKUP($A293,LossChart!$A$3:$AB$73,17,0)-O293</f>
        <v>1115.1869351297146</v>
      </c>
    </row>
    <row r="294" spans="1:19" x14ac:dyDescent="0.25">
      <c r="B294" s="71" t="s">
        <v>95</v>
      </c>
      <c r="C294" s="72">
        <v>1</v>
      </c>
      <c r="D294" s="73">
        <f>$C294*VLOOKUP($B294,FoodDB!$A$2:$I$1024,3,0)</f>
        <v>0</v>
      </c>
      <c r="E294" s="73">
        <f>$C294*VLOOKUP($B294,FoodDB!$A$2:$I$1024,4,0)</f>
        <v>0</v>
      </c>
      <c r="F294" s="73">
        <f>$C294*VLOOKUP($B294,FoodDB!$A$2:$I$1024,5,0)</f>
        <v>0</v>
      </c>
      <c r="G294" s="73">
        <f>$C294*VLOOKUP($B294,FoodDB!$A$2:$I$1024,6,0)</f>
        <v>0</v>
      </c>
      <c r="H294" s="73">
        <f>$C294*VLOOKUP($B294,FoodDB!$A$2:$I$1024,7,0)</f>
        <v>0</v>
      </c>
      <c r="I294" s="73">
        <f>$C294*VLOOKUP($B294,FoodDB!$A$2:$I$1024,8,0)</f>
        <v>0</v>
      </c>
      <c r="J294" s="73">
        <f>$C294*VLOOKUP($B294,FoodDB!$A$2:$I$1024,9,0)</f>
        <v>0</v>
      </c>
      <c r="K294" s="73"/>
      <c r="L294" s="73"/>
      <c r="M294" s="73"/>
      <c r="N294" s="73"/>
      <c r="O294" s="73"/>
      <c r="P294" s="73"/>
      <c r="Q294" s="73"/>
      <c r="R294" s="73"/>
      <c r="S294" s="73"/>
    </row>
    <row r="295" spans="1:19" x14ac:dyDescent="0.25">
      <c r="B295" s="71" t="s">
        <v>95</v>
      </c>
      <c r="C295" s="72">
        <v>1</v>
      </c>
      <c r="D295" s="73">
        <f>$C295*VLOOKUP($B295,FoodDB!$A$2:$I$1024,3,0)</f>
        <v>0</v>
      </c>
      <c r="E295" s="73">
        <f>$C295*VLOOKUP($B295,FoodDB!$A$2:$I$1024,4,0)</f>
        <v>0</v>
      </c>
      <c r="F295" s="73">
        <f>$C295*VLOOKUP($B295,FoodDB!$A$2:$I$1024,5,0)</f>
        <v>0</v>
      </c>
      <c r="G295" s="73">
        <f>$C295*VLOOKUP($B295,FoodDB!$A$2:$I$1024,6,0)</f>
        <v>0</v>
      </c>
      <c r="H295" s="73">
        <f>$C295*VLOOKUP($B295,FoodDB!$A$2:$I$1024,7,0)</f>
        <v>0</v>
      </c>
      <c r="I295" s="73">
        <f>$C295*VLOOKUP($B295,FoodDB!$A$2:$I$1024,8,0)</f>
        <v>0</v>
      </c>
      <c r="J295" s="73">
        <f>$C295*VLOOKUP($B295,FoodDB!$A$2:$I$1024,9,0)</f>
        <v>0</v>
      </c>
      <c r="K295" s="73"/>
      <c r="L295" s="73"/>
      <c r="M295" s="73"/>
      <c r="N295" s="73"/>
      <c r="O295" s="73"/>
      <c r="P295" s="73"/>
      <c r="Q295" s="73"/>
      <c r="R295" s="73"/>
      <c r="S295" s="73"/>
    </row>
    <row r="296" spans="1:19" x14ac:dyDescent="0.25">
      <c r="B296" s="71" t="s">
        <v>95</v>
      </c>
      <c r="C296" s="72">
        <v>1</v>
      </c>
      <c r="D296" s="73">
        <f>$C296*VLOOKUP($B296,FoodDB!$A$2:$I$1024,3,0)</f>
        <v>0</v>
      </c>
      <c r="E296" s="73">
        <f>$C296*VLOOKUP($B296,FoodDB!$A$2:$I$1024,4,0)</f>
        <v>0</v>
      </c>
      <c r="F296" s="73">
        <f>$C296*VLOOKUP($B296,FoodDB!$A$2:$I$1024,5,0)</f>
        <v>0</v>
      </c>
      <c r="G296" s="73">
        <f>$C296*VLOOKUP($B296,FoodDB!$A$2:$I$1024,6,0)</f>
        <v>0</v>
      </c>
      <c r="H296" s="73">
        <f>$C296*VLOOKUP($B296,FoodDB!$A$2:$I$1024,7,0)</f>
        <v>0</v>
      </c>
      <c r="I296" s="73">
        <f>$C296*VLOOKUP($B296,FoodDB!$A$2:$I$1024,8,0)</f>
        <v>0</v>
      </c>
      <c r="J296" s="73">
        <f>$C296*VLOOKUP($B296,FoodDB!$A$2:$I$1024,9,0)</f>
        <v>0</v>
      </c>
      <c r="K296" s="73"/>
      <c r="L296" s="73"/>
      <c r="M296" s="73"/>
      <c r="N296" s="73"/>
      <c r="O296" s="73"/>
      <c r="P296" s="73"/>
      <c r="Q296" s="73"/>
      <c r="R296" s="73"/>
      <c r="S296" s="73"/>
    </row>
    <row r="297" spans="1:19" x14ac:dyDescent="0.25">
      <c r="B297" s="71" t="s">
        <v>95</v>
      </c>
      <c r="C297" s="72">
        <v>1</v>
      </c>
      <c r="D297" s="73">
        <f>$C297*VLOOKUP($B297,FoodDB!$A$2:$I$1024,3,0)</f>
        <v>0</v>
      </c>
      <c r="E297" s="73">
        <f>$C297*VLOOKUP($B297,FoodDB!$A$2:$I$1024,4,0)</f>
        <v>0</v>
      </c>
      <c r="F297" s="73">
        <f>$C297*VLOOKUP($B297,FoodDB!$A$2:$I$1024,5,0)</f>
        <v>0</v>
      </c>
      <c r="G297" s="73">
        <f>$C297*VLOOKUP($B297,FoodDB!$A$2:$I$1024,6,0)</f>
        <v>0</v>
      </c>
      <c r="H297" s="73">
        <f>$C297*VLOOKUP($B297,FoodDB!$A$2:$I$1024,7,0)</f>
        <v>0</v>
      </c>
      <c r="I297" s="73">
        <f>$C297*VLOOKUP($B297,FoodDB!$A$2:$I$1024,8,0)</f>
        <v>0</v>
      </c>
      <c r="J297" s="73">
        <f>$C297*VLOOKUP($B297,FoodDB!$A$2:$I$1024,9,0)</f>
        <v>0</v>
      </c>
      <c r="K297" s="73"/>
      <c r="L297" s="73"/>
      <c r="M297" s="73"/>
      <c r="N297" s="73"/>
      <c r="O297" s="73"/>
      <c r="P297" s="73"/>
      <c r="Q297" s="73"/>
      <c r="R297" s="73"/>
      <c r="S297" s="73"/>
    </row>
    <row r="298" spans="1:19" x14ac:dyDescent="0.25">
      <c r="B298" s="71" t="s">
        <v>95</v>
      </c>
      <c r="C298" s="72">
        <v>1</v>
      </c>
      <c r="D298" s="73">
        <f>$C298*VLOOKUP($B298,FoodDB!$A$2:$I$1024,3,0)</f>
        <v>0</v>
      </c>
      <c r="E298" s="73">
        <f>$C298*VLOOKUP($B298,FoodDB!$A$2:$I$1024,4,0)</f>
        <v>0</v>
      </c>
      <c r="F298" s="73">
        <f>$C298*VLOOKUP($B298,FoodDB!$A$2:$I$1024,5,0)</f>
        <v>0</v>
      </c>
      <c r="G298" s="73">
        <f>$C298*VLOOKUP($B298,FoodDB!$A$2:$I$1024,6,0)</f>
        <v>0</v>
      </c>
      <c r="H298" s="73">
        <f>$C298*VLOOKUP($B298,FoodDB!$A$2:$I$1024,7,0)</f>
        <v>0</v>
      </c>
      <c r="I298" s="73">
        <f>$C298*VLOOKUP($B298,FoodDB!$A$2:$I$1024,8,0)</f>
        <v>0</v>
      </c>
      <c r="J298" s="73">
        <f>$C298*VLOOKUP($B298,FoodDB!$A$2:$I$1024,9,0)</f>
        <v>0</v>
      </c>
      <c r="K298" s="73"/>
      <c r="L298" s="73"/>
      <c r="M298" s="73"/>
      <c r="N298" s="73"/>
      <c r="O298" s="73"/>
      <c r="P298" s="73"/>
      <c r="Q298" s="73"/>
      <c r="R298" s="73"/>
      <c r="S298" s="73"/>
    </row>
    <row r="299" spans="1:19" x14ac:dyDescent="0.25">
      <c r="B299" s="71" t="s">
        <v>95</v>
      </c>
      <c r="C299" s="72">
        <v>1</v>
      </c>
      <c r="D299" s="73">
        <f>$C299*VLOOKUP($B299,FoodDB!$A$2:$I$1024,3,0)</f>
        <v>0</v>
      </c>
      <c r="E299" s="73">
        <f>$C299*VLOOKUP($B299,FoodDB!$A$2:$I$1024,4,0)</f>
        <v>0</v>
      </c>
      <c r="F299" s="73">
        <f>$C299*VLOOKUP($B299,FoodDB!$A$2:$I$1024,5,0)</f>
        <v>0</v>
      </c>
      <c r="G299" s="73">
        <f>$C299*VLOOKUP($B299,FoodDB!$A$2:$I$1024,6,0)</f>
        <v>0</v>
      </c>
      <c r="H299" s="73">
        <f>$C299*VLOOKUP($B299,FoodDB!$A$2:$I$1024,7,0)</f>
        <v>0</v>
      </c>
      <c r="I299" s="73">
        <f>$C299*VLOOKUP($B299,FoodDB!$A$2:$I$1024,8,0)</f>
        <v>0</v>
      </c>
      <c r="J299" s="73">
        <f>$C299*VLOOKUP($B299,FoodDB!$A$2:$I$1024,9,0)</f>
        <v>0</v>
      </c>
      <c r="K299" s="73"/>
      <c r="L299" s="73"/>
      <c r="M299" s="73"/>
      <c r="N299" s="73"/>
      <c r="O299" s="73"/>
      <c r="P299" s="73"/>
      <c r="Q299" s="73"/>
      <c r="R299" s="73"/>
      <c r="S299" s="73"/>
    </row>
    <row r="300" spans="1:19" x14ac:dyDescent="0.25">
      <c r="A300" t="s">
        <v>99</v>
      </c>
      <c r="D300" s="73"/>
      <c r="E300" s="73"/>
      <c r="F300" s="73"/>
      <c r="G300" s="73">
        <f>SUM(G293:G299)</f>
        <v>0</v>
      </c>
      <c r="H300" s="73">
        <f>SUM(H293:H299)</f>
        <v>0</v>
      </c>
      <c r="I300" s="73">
        <f>SUM(I293:I299)</f>
        <v>0</v>
      </c>
      <c r="J300" s="73">
        <f>SUM(G300:I300)</f>
        <v>0</v>
      </c>
      <c r="K300" s="73"/>
      <c r="L300" s="73"/>
      <c r="M300" s="73"/>
      <c r="N300" s="73"/>
      <c r="O300" s="73"/>
      <c r="P300" s="73"/>
      <c r="Q300" s="73"/>
      <c r="R300" s="73"/>
      <c r="S300" s="73"/>
    </row>
    <row r="301" spans="1:19" x14ac:dyDescent="0.25">
      <c r="A301" t="s">
        <v>100</v>
      </c>
      <c r="B301" t="s">
        <v>101</v>
      </c>
      <c r="D301" s="73"/>
      <c r="E301" s="73"/>
      <c r="F301" s="73"/>
      <c r="G301" s="73">
        <f>VLOOKUP($A293,LossChart!$A$3:$AB$73,14,0)</f>
        <v>571.42130516677776</v>
      </c>
      <c r="H301" s="73">
        <f>VLOOKUP($A293,LossChart!$A$3:$AB$73,15,0)</f>
        <v>80</v>
      </c>
      <c r="I301" s="73">
        <f>VLOOKUP($A293,LossChart!$A$3:$AB$73,16,0)</f>
        <v>463.76562996293683</v>
      </c>
      <c r="J301" s="73">
        <f>VLOOKUP($A293,LossChart!$A$3:$AB$73,17,0)</f>
        <v>1115.1869351297146</v>
      </c>
      <c r="K301" s="73"/>
      <c r="L301" s="73"/>
      <c r="M301" s="73"/>
      <c r="N301" s="73"/>
      <c r="O301" s="73"/>
      <c r="P301" s="73"/>
      <c r="Q301" s="73"/>
      <c r="R301" s="73"/>
      <c r="S301" s="73"/>
    </row>
    <row r="302" spans="1:19" x14ac:dyDescent="0.25">
      <c r="A302" t="s">
        <v>102</v>
      </c>
      <c r="D302" s="73"/>
      <c r="E302" s="73"/>
      <c r="F302" s="73"/>
      <c r="G302" s="73">
        <f>G301-G300</f>
        <v>571.42130516677776</v>
      </c>
      <c r="H302" s="73">
        <f>H301-H300</f>
        <v>80</v>
      </c>
      <c r="I302" s="73">
        <f>I301-I300</f>
        <v>463.76562996293683</v>
      </c>
      <c r="J302" s="73">
        <f>J301-J300</f>
        <v>1115.1869351297146</v>
      </c>
      <c r="K302" s="73"/>
      <c r="L302" s="73"/>
      <c r="M302" s="73"/>
      <c r="N302" s="73"/>
      <c r="O302" s="73"/>
      <c r="P302" s="73"/>
      <c r="Q302" s="73"/>
      <c r="R302" s="73"/>
      <c r="S302" s="73"/>
    </row>
    <row r="304" spans="1:19" ht="60" x14ac:dyDescent="0.25">
      <c r="A304" s="25" t="s">
        <v>63</v>
      </c>
      <c r="B304" s="25" t="s">
        <v>80</v>
      </c>
      <c r="C304" s="25" t="s">
        <v>81</v>
      </c>
      <c r="D304" s="69" t="str">
        <f>FoodDB!$C$1</f>
        <v>Fat
(g)</v>
      </c>
      <c r="E304" s="69" t="str">
        <f>FoodDB!$D$1</f>
        <v xml:space="preserve"> Net
Carbs
(g)</v>
      </c>
      <c r="F304" s="69" t="str">
        <f>FoodDB!$E$1</f>
        <v>Protein
(g)</v>
      </c>
      <c r="G304" s="69" t="str">
        <f>FoodDB!$F$1</f>
        <v>Fat
(Cal)</v>
      </c>
      <c r="H304" s="69" t="str">
        <f>FoodDB!$G$1</f>
        <v>Carb
(Cal)</v>
      </c>
      <c r="I304" s="69" t="str">
        <f>FoodDB!$H$1</f>
        <v>Protein
(Cal)</v>
      </c>
      <c r="J304" s="69" t="str">
        <f>FoodDB!$I$1</f>
        <v>Total
Calories</v>
      </c>
      <c r="K304" s="69"/>
      <c r="L304" s="69" t="s">
        <v>82</v>
      </c>
      <c r="M304" s="69" t="s">
        <v>83</v>
      </c>
      <c r="N304" s="69" t="s">
        <v>84</v>
      </c>
      <c r="O304" s="69" t="s">
        <v>85</v>
      </c>
      <c r="P304" s="69" t="s">
        <v>86</v>
      </c>
      <c r="Q304" s="69" t="s">
        <v>87</v>
      </c>
      <c r="R304" s="69" t="s">
        <v>88</v>
      </c>
      <c r="S304" s="69" t="s">
        <v>89</v>
      </c>
    </row>
    <row r="305" spans="1:19" x14ac:dyDescent="0.25">
      <c r="A305" s="70">
        <f>A293+1</f>
        <v>43056</v>
      </c>
      <c r="B305" s="71" t="s">
        <v>95</v>
      </c>
      <c r="C305" s="72">
        <v>1</v>
      </c>
      <c r="D305" s="73">
        <f>$C305*VLOOKUP($B305,FoodDB!$A$2:$I$1024,3,0)</f>
        <v>0</v>
      </c>
      <c r="E305" s="73">
        <f>$C305*VLOOKUP($B305,FoodDB!$A$2:$I$1024,4,0)</f>
        <v>0</v>
      </c>
      <c r="F305" s="73">
        <f>$C305*VLOOKUP($B305,FoodDB!$A$2:$I$1024,5,0)</f>
        <v>0</v>
      </c>
      <c r="G305" s="73">
        <f>$C305*VLOOKUP($B305,FoodDB!$A$2:$I$1024,6,0)</f>
        <v>0</v>
      </c>
      <c r="H305" s="73">
        <f>$C305*VLOOKUP($B305,FoodDB!$A$2:$I$1024,7,0)</f>
        <v>0</v>
      </c>
      <c r="I305" s="73">
        <f>$C305*VLOOKUP($B305,FoodDB!$A$2:$I$1024,8,0)</f>
        <v>0</v>
      </c>
      <c r="J305" s="73">
        <f>$C305*VLOOKUP($B305,FoodDB!$A$2:$I$1024,9,0)</f>
        <v>0</v>
      </c>
      <c r="K305" s="73"/>
      <c r="L305" s="73">
        <f>SUM(G305:G311)</f>
        <v>0</v>
      </c>
      <c r="M305" s="73">
        <f>SUM(H305:H311)</f>
        <v>0</v>
      </c>
      <c r="N305" s="73">
        <f>SUM(I305:I311)</f>
        <v>0</v>
      </c>
      <c r="O305" s="73">
        <f>SUM(L305:N305)</f>
        <v>0</v>
      </c>
      <c r="P305" s="73">
        <f>VLOOKUP($A305,LossChart!$A$3:$AB$73,14,0)-L305</f>
        <v>577.77392478452975</v>
      </c>
      <c r="Q305" s="73">
        <f>VLOOKUP($A305,LossChart!$A$3:$AB$73,15,0)-M305</f>
        <v>80</v>
      </c>
      <c r="R305" s="73">
        <f>VLOOKUP($A305,LossChart!$A$3:$AB$73,16,0)-N305</f>
        <v>463.76562996293683</v>
      </c>
      <c r="S305" s="73">
        <f>VLOOKUP($A305,LossChart!$A$3:$AB$73,17,0)-O305</f>
        <v>1121.5395547474666</v>
      </c>
    </row>
    <row r="306" spans="1:19" x14ac:dyDescent="0.25">
      <c r="B306" s="71" t="s">
        <v>95</v>
      </c>
      <c r="C306" s="72">
        <v>1</v>
      </c>
      <c r="D306" s="73">
        <f>$C306*VLOOKUP($B306,FoodDB!$A$2:$I$1024,3,0)</f>
        <v>0</v>
      </c>
      <c r="E306" s="73">
        <f>$C306*VLOOKUP($B306,FoodDB!$A$2:$I$1024,4,0)</f>
        <v>0</v>
      </c>
      <c r="F306" s="73">
        <f>$C306*VLOOKUP($B306,FoodDB!$A$2:$I$1024,5,0)</f>
        <v>0</v>
      </c>
      <c r="G306" s="73">
        <f>$C306*VLOOKUP($B306,FoodDB!$A$2:$I$1024,6,0)</f>
        <v>0</v>
      </c>
      <c r="H306" s="73">
        <f>$C306*VLOOKUP($B306,FoodDB!$A$2:$I$1024,7,0)</f>
        <v>0</v>
      </c>
      <c r="I306" s="73">
        <f>$C306*VLOOKUP($B306,FoodDB!$A$2:$I$1024,8,0)</f>
        <v>0</v>
      </c>
      <c r="J306" s="73">
        <f>$C306*VLOOKUP($B306,FoodDB!$A$2:$I$1024,9,0)</f>
        <v>0</v>
      </c>
      <c r="K306" s="73"/>
      <c r="L306" s="73"/>
      <c r="M306" s="73"/>
      <c r="N306" s="73"/>
      <c r="O306" s="73"/>
      <c r="P306" s="73"/>
      <c r="Q306" s="73"/>
      <c r="R306" s="73"/>
      <c r="S306" s="73"/>
    </row>
    <row r="307" spans="1:19" x14ac:dyDescent="0.25">
      <c r="B307" s="71" t="s">
        <v>95</v>
      </c>
      <c r="C307" s="72">
        <v>1</v>
      </c>
      <c r="D307" s="73">
        <f>$C307*VLOOKUP($B307,FoodDB!$A$2:$I$1024,3,0)</f>
        <v>0</v>
      </c>
      <c r="E307" s="73">
        <f>$C307*VLOOKUP($B307,FoodDB!$A$2:$I$1024,4,0)</f>
        <v>0</v>
      </c>
      <c r="F307" s="73">
        <f>$C307*VLOOKUP($B307,FoodDB!$A$2:$I$1024,5,0)</f>
        <v>0</v>
      </c>
      <c r="G307" s="73">
        <f>$C307*VLOOKUP($B307,FoodDB!$A$2:$I$1024,6,0)</f>
        <v>0</v>
      </c>
      <c r="H307" s="73">
        <f>$C307*VLOOKUP($B307,FoodDB!$A$2:$I$1024,7,0)</f>
        <v>0</v>
      </c>
      <c r="I307" s="73">
        <f>$C307*VLOOKUP($B307,FoodDB!$A$2:$I$1024,8,0)</f>
        <v>0</v>
      </c>
      <c r="J307" s="73">
        <f>$C307*VLOOKUP($B307,FoodDB!$A$2:$I$1024,9,0)</f>
        <v>0</v>
      </c>
      <c r="K307" s="73"/>
      <c r="L307" s="73"/>
      <c r="M307" s="73"/>
      <c r="N307" s="73"/>
      <c r="O307" s="73"/>
      <c r="P307" s="73"/>
      <c r="Q307" s="73"/>
      <c r="R307" s="73"/>
      <c r="S307" s="73"/>
    </row>
    <row r="308" spans="1:19" x14ac:dyDescent="0.25">
      <c r="B308" s="71" t="s">
        <v>95</v>
      </c>
      <c r="C308" s="72">
        <v>1</v>
      </c>
      <c r="D308" s="73">
        <f>$C308*VLOOKUP($B308,FoodDB!$A$2:$I$1024,3,0)</f>
        <v>0</v>
      </c>
      <c r="E308" s="73">
        <f>$C308*VLOOKUP($B308,FoodDB!$A$2:$I$1024,4,0)</f>
        <v>0</v>
      </c>
      <c r="F308" s="73">
        <f>$C308*VLOOKUP($B308,FoodDB!$A$2:$I$1024,5,0)</f>
        <v>0</v>
      </c>
      <c r="G308" s="73">
        <f>$C308*VLOOKUP($B308,FoodDB!$A$2:$I$1024,6,0)</f>
        <v>0</v>
      </c>
      <c r="H308" s="73">
        <f>$C308*VLOOKUP($B308,FoodDB!$A$2:$I$1024,7,0)</f>
        <v>0</v>
      </c>
      <c r="I308" s="73">
        <f>$C308*VLOOKUP($B308,FoodDB!$A$2:$I$1024,8,0)</f>
        <v>0</v>
      </c>
      <c r="J308" s="73">
        <f>$C308*VLOOKUP($B308,FoodDB!$A$2:$I$1024,9,0)</f>
        <v>0</v>
      </c>
      <c r="K308" s="73"/>
      <c r="L308" s="73"/>
      <c r="M308" s="73"/>
      <c r="N308" s="73"/>
      <c r="O308" s="73"/>
      <c r="P308" s="73"/>
      <c r="Q308" s="73"/>
      <c r="R308" s="73"/>
      <c r="S308" s="73"/>
    </row>
    <row r="309" spans="1:19" x14ac:dyDescent="0.25">
      <c r="B309" s="71" t="s">
        <v>95</v>
      </c>
      <c r="C309" s="72">
        <v>1</v>
      </c>
      <c r="D309" s="73">
        <f>$C309*VLOOKUP($B309,FoodDB!$A$2:$I$1024,3,0)</f>
        <v>0</v>
      </c>
      <c r="E309" s="73">
        <f>$C309*VLOOKUP($B309,FoodDB!$A$2:$I$1024,4,0)</f>
        <v>0</v>
      </c>
      <c r="F309" s="73">
        <f>$C309*VLOOKUP($B309,FoodDB!$A$2:$I$1024,5,0)</f>
        <v>0</v>
      </c>
      <c r="G309" s="73">
        <f>$C309*VLOOKUP($B309,FoodDB!$A$2:$I$1024,6,0)</f>
        <v>0</v>
      </c>
      <c r="H309" s="73">
        <f>$C309*VLOOKUP($B309,FoodDB!$A$2:$I$1024,7,0)</f>
        <v>0</v>
      </c>
      <c r="I309" s="73">
        <f>$C309*VLOOKUP($B309,FoodDB!$A$2:$I$1024,8,0)</f>
        <v>0</v>
      </c>
      <c r="J309" s="73">
        <f>$C309*VLOOKUP($B309,FoodDB!$A$2:$I$1024,9,0)</f>
        <v>0</v>
      </c>
      <c r="K309" s="73"/>
      <c r="L309" s="73"/>
      <c r="M309" s="73"/>
      <c r="N309" s="73"/>
      <c r="O309" s="73"/>
      <c r="P309" s="73"/>
      <c r="Q309" s="73"/>
      <c r="R309" s="73"/>
      <c r="S309" s="73"/>
    </row>
    <row r="310" spans="1:19" x14ac:dyDescent="0.25">
      <c r="B310" s="71" t="s">
        <v>95</v>
      </c>
      <c r="C310" s="72">
        <v>1</v>
      </c>
      <c r="D310" s="73">
        <f>$C310*VLOOKUP($B310,FoodDB!$A$2:$I$1024,3,0)</f>
        <v>0</v>
      </c>
      <c r="E310" s="73">
        <f>$C310*VLOOKUP($B310,FoodDB!$A$2:$I$1024,4,0)</f>
        <v>0</v>
      </c>
      <c r="F310" s="73">
        <f>$C310*VLOOKUP($B310,FoodDB!$A$2:$I$1024,5,0)</f>
        <v>0</v>
      </c>
      <c r="G310" s="73">
        <f>$C310*VLOOKUP($B310,FoodDB!$A$2:$I$1024,6,0)</f>
        <v>0</v>
      </c>
      <c r="H310" s="73">
        <f>$C310*VLOOKUP($B310,FoodDB!$A$2:$I$1024,7,0)</f>
        <v>0</v>
      </c>
      <c r="I310" s="73">
        <f>$C310*VLOOKUP($B310,FoodDB!$A$2:$I$1024,8,0)</f>
        <v>0</v>
      </c>
      <c r="J310" s="73">
        <f>$C310*VLOOKUP($B310,FoodDB!$A$2:$I$1024,9,0)</f>
        <v>0</v>
      </c>
      <c r="K310" s="73"/>
      <c r="L310" s="73"/>
      <c r="M310" s="73"/>
      <c r="N310" s="73"/>
      <c r="O310" s="73"/>
      <c r="P310" s="73"/>
      <c r="Q310" s="73"/>
      <c r="R310" s="73"/>
      <c r="S310" s="73"/>
    </row>
    <row r="311" spans="1:19" x14ac:dyDescent="0.25">
      <c r="B311" s="71" t="s">
        <v>95</v>
      </c>
      <c r="C311" s="72">
        <v>1</v>
      </c>
      <c r="D311" s="73">
        <f>$C311*VLOOKUP($B311,FoodDB!$A$2:$I$1024,3,0)</f>
        <v>0</v>
      </c>
      <c r="E311" s="73">
        <f>$C311*VLOOKUP($B311,FoodDB!$A$2:$I$1024,4,0)</f>
        <v>0</v>
      </c>
      <c r="F311" s="73">
        <f>$C311*VLOOKUP($B311,FoodDB!$A$2:$I$1024,5,0)</f>
        <v>0</v>
      </c>
      <c r="G311" s="73">
        <f>$C311*VLOOKUP($B311,FoodDB!$A$2:$I$1024,6,0)</f>
        <v>0</v>
      </c>
      <c r="H311" s="73">
        <f>$C311*VLOOKUP($B311,FoodDB!$A$2:$I$1024,7,0)</f>
        <v>0</v>
      </c>
      <c r="I311" s="73">
        <f>$C311*VLOOKUP($B311,FoodDB!$A$2:$I$1024,8,0)</f>
        <v>0</v>
      </c>
      <c r="J311" s="73">
        <f>$C311*VLOOKUP($B311,FoodDB!$A$2:$I$1024,9,0)</f>
        <v>0</v>
      </c>
      <c r="K311" s="73"/>
      <c r="L311" s="73"/>
      <c r="M311" s="73"/>
      <c r="N311" s="73"/>
      <c r="O311" s="73"/>
      <c r="P311" s="73"/>
      <c r="Q311" s="73"/>
      <c r="R311" s="73"/>
      <c r="S311" s="73"/>
    </row>
    <row r="312" spans="1:19" x14ac:dyDescent="0.25">
      <c r="A312" t="s">
        <v>99</v>
      </c>
      <c r="D312" s="73"/>
      <c r="E312" s="73"/>
      <c r="F312" s="73"/>
      <c r="G312" s="73">
        <f>SUM(G305:G311)</f>
        <v>0</v>
      </c>
      <c r="H312" s="73">
        <f>SUM(H305:H311)</f>
        <v>0</v>
      </c>
      <c r="I312" s="73">
        <f>SUM(I305:I311)</f>
        <v>0</v>
      </c>
      <c r="J312" s="73">
        <f>SUM(G312:I312)</f>
        <v>0</v>
      </c>
      <c r="K312" s="73"/>
      <c r="L312" s="73"/>
      <c r="M312" s="73"/>
      <c r="N312" s="73"/>
      <c r="O312" s="73"/>
      <c r="P312" s="73"/>
      <c r="Q312" s="73"/>
      <c r="R312" s="73"/>
      <c r="S312" s="73"/>
    </row>
    <row r="313" spans="1:19" x14ac:dyDescent="0.25">
      <c r="A313" t="s">
        <v>100</v>
      </c>
      <c r="B313" t="s">
        <v>101</v>
      </c>
      <c r="D313" s="73"/>
      <c r="E313" s="73"/>
      <c r="F313" s="73"/>
      <c r="G313" s="73">
        <f>VLOOKUP($A305,LossChart!$A$3:$AB$73,14,0)</f>
        <v>577.77392478452975</v>
      </c>
      <c r="H313" s="73">
        <f>VLOOKUP($A305,LossChart!$A$3:$AB$73,15,0)</f>
        <v>80</v>
      </c>
      <c r="I313" s="73">
        <f>VLOOKUP($A305,LossChart!$A$3:$AB$73,16,0)</f>
        <v>463.76562996293683</v>
      </c>
      <c r="J313" s="73">
        <f>VLOOKUP($A305,LossChart!$A$3:$AB$73,17,0)</f>
        <v>1121.5395547474666</v>
      </c>
      <c r="K313" s="73"/>
      <c r="L313" s="73"/>
      <c r="M313" s="73"/>
      <c r="N313" s="73"/>
      <c r="O313" s="73"/>
      <c r="P313" s="73"/>
      <c r="Q313" s="73"/>
      <c r="R313" s="73"/>
      <c r="S313" s="73"/>
    </row>
    <row r="314" spans="1:19" x14ac:dyDescent="0.25">
      <c r="A314" t="s">
        <v>102</v>
      </c>
      <c r="D314" s="73"/>
      <c r="E314" s="73"/>
      <c r="F314" s="73"/>
      <c r="G314" s="73">
        <f>G313-G312</f>
        <v>577.77392478452975</v>
      </c>
      <c r="H314" s="73">
        <f>H313-H312</f>
        <v>80</v>
      </c>
      <c r="I314" s="73">
        <f>I313-I312</f>
        <v>463.76562996293683</v>
      </c>
      <c r="J314" s="73">
        <f>J313-J312</f>
        <v>1121.5395547474666</v>
      </c>
      <c r="K314" s="73"/>
      <c r="L314" s="73"/>
      <c r="M314" s="73"/>
      <c r="N314" s="73"/>
      <c r="O314" s="73"/>
      <c r="P314" s="73"/>
      <c r="Q314" s="73"/>
      <c r="R314" s="73"/>
      <c r="S314" s="73"/>
    </row>
    <row r="316" spans="1:19" ht="60" x14ac:dyDescent="0.25">
      <c r="A316" s="25" t="s">
        <v>63</v>
      </c>
      <c r="B316" s="25" t="s">
        <v>80</v>
      </c>
      <c r="C316" s="25" t="s">
        <v>81</v>
      </c>
      <c r="D316" s="69" t="str">
        <f>FoodDB!$C$1</f>
        <v>Fat
(g)</v>
      </c>
      <c r="E316" s="69" t="str">
        <f>FoodDB!$D$1</f>
        <v xml:space="preserve"> Net
Carbs
(g)</v>
      </c>
      <c r="F316" s="69" t="str">
        <f>FoodDB!$E$1</f>
        <v>Protein
(g)</v>
      </c>
      <c r="G316" s="69" t="str">
        <f>FoodDB!$F$1</f>
        <v>Fat
(Cal)</v>
      </c>
      <c r="H316" s="69" t="str">
        <f>FoodDB!$G$1</f>
        <v>Carb
(Cal)</v>
      </c>
      <c r="I316" s="69" t="str">
        <f>FoodDB!$H$1</f>
        <v>Protein
(Cal)</v>
      </c>
      <c r="J316" s="69" t="str">
        <f>FoodDB!$I$1</f>
        <v>Total
Calories</v>
      </c>
      <c r="K316" s="69"/>
      <c r="L316" s="69" t="s">
        <v>82</v>
      </c>
      <c r="M316" s="69" t="s">
        <v>83</v>
      </c>
      <c r="N316" s="69" t="s">
        <v>84</v>
      </c>
      <c r="O316" s="69" t="s">
        <v>85</v>
      </c>
      <c r="P316" s="69" t="s">
        <v>86</v>
      </c>
      <c r="Q316" s="69" t="s">
        <v>87</v>
      </c>
      <c r="R316" s="69" t="s">
        <v>88</v>
      </c>
      <c r="S316" s="69" t="s">
        <v>89</v>
      </c>
    </row>
    <row r="317" spans="1:19" x14ac:dyDescent="0.25">
      <c r="A317" s="70">
        <f>A305+1</f>
        <v>43057</v>
      </c>
      <c r="B317" s="71" t="s">
        <v>95</v>
      </c>
      <c r="C317" s="72">
        <v>1</v>
      </c>
      <c r="D317" s="73">
        <f>$C317*VLOOKUP($B317,FoodDB!$A$2:$I$1024,3,0)</f>
        <v>0</v>
      </c>
      <c r="E317" s="73">
        <f>$C317*VLOOKUP($B317,FoodDB!$A$2:$I$1024,4,0)</f>
        <v>0</v>
      </c>
      <c r="F317" s="73">
        <f>$C317*VLOOKUP($B317,FoodDB!$A$2:$I$1024,5,0)</f>
        <v>0</v>
      </c>
      <c r="G317" s="73">
        <f>$C317*VLOOKUP($B317,FoodDB!$A$2:$I$1024,6,0)</f>
        <v>0</v>
      </c>
      <c r="H317" s="73">
        <f>$C317*VLOOKUP($B317,FoodDB!$A$2:$I$1024,7,0)</f>
        <v>0</v>
      </c>
      <c r="I317" s="73">
        <f>$C317*VLOOKUP($B317,FoodDB!$A$2:$I$1024,8,0)</f>
        <v>0</v>
      </c>
      <c r="J317" s="73">
        <f>$C317*VLOOKUP($B317,FoodDB!$A$2:$I$1024,9,0)</f>
        <v>0</v>
      </c>
      <c r="K317" s="73"/>
      <c r="L317" s="73">
        <f>SUM(G317:G323)</f>
        <v>0</v>
      </c>
      <c r="M317" s="73">
        <f>SUM(H317:H323)</f>
        <v>0</v>
      </c>
      <c r="N317" s="73">
        <f>SUM(I317:I323)</f>
        <v>0</v>
      </c>
      <c r="O317" s="73">
        <f>SUM(L317:N317)</f>
        <v>0</v>
      </c>
      <c r="P317" s="73">
        <f>VLOOKUP($A317,LossChart!$A$3:$AB$73,14,0)-L317</f>
        <v>584.07027834280962</v>
      </c>
      <c r="Q317" s="73">
        <f>VLOOKUP($A317,LossChart!$A$3:$AB$73,15,0)-M317</f>
        <v>80</v>
      </c>
      <c r="R317" s="73">
        <f>VLOOKUP($A317,LossChart!$A$3:$AB$73,16,0)-N317</f>
        <v>463.76562996293683</v>
      </c>
      <c r="S317" s="73">
        <f>VLOOKUP($A317,LossChart!$A$3:$AB$73,17,0)-O317</f>
        <v>1127.8359083057464</v>
      </c>
    </row>
    <row r="318" spans="1:19" x14ac:dyDescent="0.25">
      <c r="B318" s="71" t="s">
        <v>95</v>
      </c>
      <c r="C318" s="72">
        <v>1</v>
      </c>
      <c r="D318" s="73">
        <f>$C318*VLOOKUP($B318,FoodDB!$A$2:$I$1024,3,0)</f>
        <v>0</v>
      </c>
      <c r="E318" s="73">
        <f>$C318*VLOOKUP($B318,FoodDB!$A$2:$I$1024,4,0)</f>
        <v>0</v>
      </c>
      <c r="F318" s="73">
        <f>$C318*VLOOKUP($B318,FoodDB!$A$2:$I$1024,5,0)</f>
        <v>0</v>
      </c>
      <c r="G318" s="73">
        <f>$C318*VLOOKUP($B318,FoodDB!$A$2:$I$1024,6,0)</f>
        <v>0</v>
      </c>
      <c r="H318" s="73">
        <f>$C318*VLOOKUP($B318,FoodDB!$A$2:$I$1024,7,0)</f>
        <v>0</v>
      </c>
      <c r="I318" s="73">
        <f>$C318*VLOOKUP($B318,FoodDB!$A$2:$I$1024,8,0)</f>
        <v>0</v>
      </c>
      <c r="J318" s="73">
        <f>$C318*VLOOKUP($B318,FoodDB!$A$2:$I$1024,9,0)</f>
        <v>0</v>
      </c>
      <c r="K318" s="73"/>
      <c r="L318" s="73"/>
      <c r="M318" s="73"/>
      <c r="N318" s="73"/>
      <c r="O318" s="73"/>
      <c r="P318" s="73"/>
      <c r="Q318" s="73"/>
      <c r="R318" s="73"/>
      <c r="S318" s="73"/>
    </row>
    <row r="319" spans="1:19" x14ac:dyDescent="0.25">
      <c r="B319" s="71" t="s">
        <v>95</v>
      </c>
      <c r="C319" s="72">
        <v>1</v>
      </c>
      <c r="D319" s="73">
        <f>$C319*VLOOKUP($B319,FoodDB!$A$2:$I$1024,3,0)</f>
        <v>0</v>
      </c>
      <c r="E319" s="73">
        <f>$C319*VLOOKUP($B319,FoodDB!$A$2:$I$1024,4,0)</f>
        <v>0</v>
      </c>
      <c r="F319" s="73">
        <f>$C319*VLOOKUP($B319,FoodDB!$A$2:$I$1024,5,0)</f>
        <v>0</v>
      </c>
      <c r="G319" s="73">
        <f>$C319*VLOOKUP($B319,FoodDB!$A$2:$I$1024,6,0)</f>
        <v>0</v>
      </c>
      <c r="H319" s="73">
        <f>$C319*VLOOKUP($B319,FoodDB!$A$2:$I$1024,7,0)</f>
        <v>0</v>
      </c>
      <c r="I319" s="73">
        <f>$C319*VLOOKUP($B319,FoodDB!$A$2:$I$1024,8,0)</f>
        <v>0</v>
      </c>
      <c r="J319" s="73">
        <f>$C319*VLOOKUP($B319,FoodDB!$A$2:$I$1024,9,0)</f>
        <v>0</v>
      </c>
      <c r="K319" s="73"/>
      <c r="L319" s="73"/>
      <c r="M319" s="73"/>
      <c r="N319" s="73"/>
      <c r="O319" s="73"/>
      <c r="P319" s="73"/>
      <c r="Q319" s="73"/>
      <c r="R319" s="73"/>
      <c r="S319" s="73"/>
    </row>
    <row r="320" spans="1:19" x14ac:dyDescent="0.25">
      <c r="B320" s="71" t="s">
        <v>95</v>
      </c>
      <c r="C320" s="72">
        <v>1</v>
      </c>
      <c r="D320" s="73">
        <f>$C320*VLOOKUP($B320,FoodDB!$A$2:$I$1024,3,0)</f>
        <v>0</v>
      </c>
      <c r="E320" s="73">
        <f>$C320*VLOOKUP($B320,FoodDB!$A$2:$I$1024,4,0)</f>
        <v>0</v>
      </c>
      <c r="F320" s="73">
        <f>$C320*VLOOKUP($B320,FoodDB!$A$2:$I$1024,5,0)</f>
        <v>0</v>
      </c>
      <c r="G320" s="73">
        <f>$C320*VLOOKUP($B320,FoodDB!$A$2:$I$1024,6,0)</f>
        <v>0</v>
      </c>
      <c r="H320" s="73">
        <f>$C320*VLOOKUP($B320,FoodDB!$A$2:$I$1024,7,0)</f>
        <v>0</v>
      </c>
      <c r="I320" s="73">
        <f>$C320*VLOOKUP($B320,FoodDB!$A$2:$I$1024,8,0)</f>
        <v>0</v>
      </c>
      <c r="J320" s="73">
        <f>$C320*VLOOKUP($B320,FoodDB!$A$2:$I$1024,9,0)</f>
        <v>0</v>
      </c>
      <c r="K320" s="73"/>
      <c r="L320" s="73"/>
      <c r="M320" s="73"/>
      <c r="N320" s="73"/>
      <c r="O320" s="73"/>
      <c r="P320" s="73"/>
      <c r="Q320" s="73"/>
      <c r="R320" s="73"/>
      <c r="S320" s="73"/>
    </row>
    <row r="321" spans="1:19" x14ac:dyDescent="0.25">
      <c r="B321" s="71" t="s">
        <v>95</v>
      </c>
      <c r="C321" s="72">
        <v>1</v>
      </c>
      <c r="D321" s="73">
        <f>$C321*VLOOKUP($B321,FoodDB!$A$2:$I$1024,3,0)</f>
        <v>0</v>
      </c>
      <c r="E321" s="73">
        <f>$C321*VLOOKUP($B321,FoodDB!$A$2:$I$1024,4,0)</f>
        <v>0</v>
      </c>
      <c r="F321" s="73">
        <f>$C321*VLOOKUP($B321,FoodDB!$A$2:$I$1024,5,0)</f>
        <v>0</v>
      </c>
      <c r="G321" s="73">
        <f>$C321*VLOOKUP($B321,FoodDB!$A$2:$I$1024,6,0)</f>
        <v>0</v>
      </c>
      <c r="H321" s="73">
        <f>$C321*VLOOKUP($B321,FoodDB!$A$2:$I$1024,7,0)</f>
        <v>0</v>
      </c>
      <c r="I321" s="73">
        <f>$C321*VLOOKUP($B321,FoodDB!$A$2:$I$1024,8,0)</f>
        <v>0</v>
      </c>
      <c r="J321" s="73">
        <f>$C321*VLOOKUP($B321,FoodDB!$A$2:$I$1024,9,0)</f>
        <v>0</v>
      </c>
      <c r="K321" s="73"/>
      <c r="L321" s="73"/>
      <c r="M321" s="73"/>
      <c r="N321" s="73"/>
      <c r="O321" s="73"/>
      <c r="P321" s="73"/>
      <c r="Q321" s="73"/>
      <c r="R321" s="73"/>
      <c r="S321" s="73"/>
    </row>
    <row r="322" spans="1:19" x14ac:dyDescent="0.25">
      <c r="B322" s="71" t="s">
        <v>95</v>
      </c>
      <c r="C322" s="72">
        <v>1</v>
      </c>
      <c r="D322" s="73">
        <f>$C322*VLOOKUP($B322,FoodDB!$A$2:$I$1024,3,0)</f>
        <v>0</v>
      </c>
      <c r="E322" s="73">
        <f>$C322*VLOOKUP($B322,FoodDB!$A$2:$I$1024,4,0)</f>
        <v>0</v>
      </c>
      <c r="F322" s="73">
        <f>$C322*VLOOKUP($B322,FoodDB!$A$2:$I$1024,5,0)</f>
        <v>0</v>
      </c>
      <c r="G322" s="73">
        <f>$C322*VLOOKUP($B322,FoodDB!$A$2:$I$1024,6,0)</f>
        <v>0</v>
      </c>
      <c r="H322" s="73">
        <f>$C322*VLOOKUP($B322,FoodDB!$A$2:$I$1024,7,0)</f>
        <v>0</v>
      </c>
      <c r="I322" s="73">
        <f>$C322*VLOOKUP($B322,FoodDB!$A$2:$I$1024,8,0)</f>
        <v>0</v>
      </c>
      <c r="J322" s="73">
        <f>$C322*VLOOKUP($B322,FoodDB!$A$2:$I$1024,9,0)</f>
        <v>0</v>
      </c>
      <c r="K322" s="73"/>
      <c r="L322" s="73"/>
      <c r="M322" s="73"/>
      <c r="N322" s="73"/>
      <c r="O322" s="73"/>
      <c r="P322" s="73"/>
      <c r="Q322" s="73"/>
      <c r="R322" s="73"/>
      <c r="S322" s="73"/>
    </row>
    <row r="323" spans="1:19" x14ac:dyDescent="0.25">
      <c r="B323" s="71" t="s">
        <v>95</v>
      </c>
      <c r="C323" s="72">
        <v>1</v>
      </c>
      <c r="D323" s="73">
        <f>$C323*VLOOKUP($B323,FoodDB!$A$2:$I$1024,3,0)</f>
        <v>0</v>
      </c>
      <c r="E323" s="73">
        <f>$C323*VLOOKUP($B323,FoodDB!$A$2:$I$1024,4,0)</f>
        <v>0</v>
      </c>
      <c r="F323" s="73">
        <f>$C323*VLOOKUP($B323,FoodDB!$A$2:$I$1024,5,0)</f>
        <v>0</v>
      </c>
      <c r="G323" s="73">
        <f>$C323*VLOOKUP($B323,FoodDB!$A$2:$I$1024,6,0)</f>
        <v>0</v>
      </c>
      <c r="H323" s="73">
        <f>$C323*VLOOKUP($B323,FoodDB!$A$2:$I$1024,7,0)</f>
        <v>0</v>
      </c>
      <c r="I323" s="73">
        <f>$C323*VLOOKUP($B323,FoodDB!$A$2:$I$1024,8,0)</f>
        <v>0</v>
      </c>
      <c r="J323" s="73">
        <f>$C323*VLOOKUP($B323,FoodDB!$A$2:$I$1024,9,0)</f>
        <v>0</v>
      </c>
      <c r="K323" s="73"/>
      <c r="L323" s="73"/>
      <c r="M323" s="73"/>
      <c r="N323" s="73"/>
      <c r="O323" s="73"/>
      <c r="P323" s="73"/>
      <c r="Q323" s="73"/>
      <c r="R323" s="73"/>
      <c r="S323" s="73"/>
    </row>
    <row r="324" spans="1:19" x14ac:dyDescent="0.25">
      <c r="A324" t="s">
        <v>99</v>
      </c>
      <c r="D324" s="73"/>
      <c r="E324" s="73"/>
      <c r="F324" s="73"/>
      <c r="G324" s="73">
        <f>SUM(G317:G323)</f>
        <v>0</v>
      </c>
      <c r="H324" s="73">
        <f>SUM(H317:H323)</f>
        <v>0</v>
      </c>
      <c r="I324" s="73">
        <f>SUM(I317:I323)</f>
        <v>0</v>
      </c>
      <c r="J324" s="73">
        <f>SUM(G324:I324)</f>
        <v>0</v>
      </c>
      <c r="K324" s="73"/>
      <c r="L324" s="73"/>
      <c r="M324" s="73"/>
      <c r="N324" s="73"/>
      <c r="O324" s="73"/>
      <c r="P324" s="73"/>
      <c r="Q324" s="73"/>
      <c r="R324" s="73"/>
      <c r="S324" s="73"/>
    </row>
    <row r="325" spans="1:19" x14ac:dyDescent="0.25">
      <c r="A325" t="s">
        <v>100</v>
      </c>
      <c r="B325" t="s">
        <v>101</v>
      </c>
      <c r="D325" s="73"/>
      <c r="E325" s="73"/>
      <c r="F325" s="73"/>
      <c r="G325" s="73">
        <f>VLOOKUP($A317,LossChart!$A$3:$AB$73,14,0)</f>
        <v>584.07027834280962</v>
      </c>
      <c r="H325" s="73">
        <f>VLOOKUP($A317,LossChart!$A$3:$AB$73,15,0)</f>
        <v>80</v>
      </c>
      <c r="I325" s="73">
        <f>VLOOKUP($A317,LossChart!$A$3:$AB$73,16,0)</f>
        <v>463.76562996293683</v>
      </c>
      <c r="J325" s="73">
        <f>VLOOKUP($A317,LossChart!$A$3:$AB$73,17,0)</f>
        <v>1127.8359083057464</v>
      </c>
      <c r="K325" s="73"/>
      <c r="L325" s="73"/>
      <c r="M325" s="73"/>
      <c r="N325" s="73"/>
      <c r="O325" s="73"/>
      <c r="P325" s="73"/>
      <c r="Q325" s="73"/>
      <c r="R325" s="73"/>
      <c r="S325" s="73"/>
    </row>
    <row r="326" spans="1:19" x14ac:dyDescent="0.25">
      <c r="A326" t="s">
        <v>102</v>
      </c>
      <c r="D326" s="73"/>
      <c r="E326" s="73"/>
      <c r="F326" s="73"/>
      <c r="G326" s="73">
        <f>G325-G324</f>
        <v>584.07027834280962</v>
      </c>
      <c r="H326" s="73">
        <f>H325-H324</f>
        <v>80</v>
      </c>
      <c r="I326" s="73">
        <f>I325-I324</f>
        <v>463.76562996293683</v>
      </c>
      <c r="J326" s="73">
        <f>J325-J324</f>
        <v>1127.8359083057464</v>
      </c>
      <c r="K326" s="73"/>
      <c r="L326" s="73"/>
      <c r="M326" s="73"/>
      <c r="N326" s="73"/>
      <c r="O326" s="73"/>
      <c r="P326" s="73"/>
      <c r="Q326" s="73"/>
      <c r="R326" s="73"/>
      <c r="S326" s="73"/>
    </row>
    <row r="328" spans="1:19" ht="60" x14ac:dyDescent="0.25">
      <c r="A328" s="25" t="s">
        <v>63</v>
      </c>
      <c r="B328" s="25" t="s">
        <v>80</v>
      </c>
      <c r="C328" s="25" t="s">
        <v>81</v>
      </c>
      <c r="D328" s="69" t="str">
        <f>FoodDB!$C$1</f>
        <v>Fat
(g)</v>
      </c>
      <c r="E328" s="69" t="str">
        <f>FoodDB!$D$1</f>
        <v xml:space="preserve"> Net
Carbs
(g)</v>
      </c>
      <c r="F328" s="69" t="str">
        <f>FoodDB!$E$1</f>
        <v>Protein
(g)</v>
      </c>
      <c r="G328" s="69" t="str">
        <f>FoodDB!$F$1</f>
        <v>Fat
(Cal)</v>
      </c>
      <c r="H328" s="69" t="str">
        <f>FoodDB!$G$1</f>
        <v>Carb
(Cal)</v>
      </c>
      <c r="I328" s="69" t="str">
        <f>FoodDB!$H$1</f>
        <v>Protein
(Cal)</v>
      </c>
      <c r="J328" s="69" t="str">
        <f>FoodDB!$I$1</f>
        <v>Total
Calories</v>
      </c>
      <c r="K328" s="69"/>
      <c r="L328" s="69" t="s">
        <v>82</v>
      </c>
      <c r="M328" s="69" t="s">
        <v>83</v>
      </c>
      <c r="N328" s="69" t="s">
        <v>84</v>
      </c>
      <c r="O328" s="69" t="s">
        <v>85</v>
      </c>
      <c r="P328" s="69" t="s">
        <v>86</v>
      </c>
      <c r="Q328" s="69" t="s">
        <v>87</v>
      </c>
      <c r="R328" s="69" t="s">
        <v>88</v>
      </c>
      <c r="S328" s="69" t="s">
        <v>89</v>
      </c>
    </row>
    <row r="329" spans="1:19" x14ac:dyDescent="0.25">
      <c r="A329" s="70">
        <f>A317+1</f>
        <v>43058</v>
      </c>
      <c r="B329" s="71" t="s">
        <v>95</v>
      </c>
      <c r="C329" s="72">
        <v>1</v>
      </c>
      <c r="D329" s="73">
        <f>$C329*VLOOKUP($B329,FoodDB!$A$2:$I$1024,3,0)</f>
        <v>0</v>
      </c>
      <c r="E329" s="73">
        <f>$C329*VLOOKUP($B329,FoodDB!$A$2:$I$1024,4,0)</f>
        <v>0</v>
      </c>
      <c r="F329" s="73">
        <f>$C329*VLOOKUP($B329,FoodDB!$A$2:$I$1024,5,0)</f>
        <v>0</v>
      </c>
      <c r="G329" s="73">
        <f>$C329*VLOOKUP($B329,FoodDB!$A$2:$I$1024,6,0)</f>
        <v>0</v>
      </c>
      <c r="H329" s="73">
        <f>$C329*VLOOKUP($B329,FoodDB!$A$2:$I$1024,7,0)</f>
        <v>0</v>
      </c>
      <c r="I329" s="73">
        <f>$C329*VLOOKUP($B329,FoodDB!$A$2:$I$1024,8,0)</f>
        <v>0</v>
      </c>
      <c r="J329" s="73">
        <f>$C329*VLOOKUP($B329,FoodDB!$A$2:$I$1024,9,0)</f>
        <v>0</v>
      </c>
      <c r="K329" s="73"/>
      <c r="L329" s="73">
        <f>SUM(G329:G335)</f>
        <v>0</v>
      </c>
      <c r="M329" s="73">
        <f>SUM(H329:H335)</f>
        <v>0</v>
      </c>
      <c r="N329" s="73">
        <f>SUM(I329:I335)</f>
        <v>0</v>
      </c>
      <c r="O329" s="73">
        <f>SUM(L329:N329)</f>
        <v>0</v>
      </c>
      <c r="P329" s="73">
        <f>VLOOKUP($A329,LossChart!$A$3:$AB$73,14,0)-L329</f>
        <v>590.31086419814505</v>
      </c>
      <c r="Q329" s="73">
        <f>VLOOKUP($A329,LossChart!$A$3:$AB$73,15,0)-M329</f>
        <v>80</v>
      </c>
      <c r="R329" s="73">
        <f>VLOOKUP($A329,LossChart!$A$3:$AB$73,16,0)-N329</f>
        <v>463.76562996293683</v>
      </c>
      <c r="S329" s="73">
        <f>VLOOKUP($A329,LossChart!$A$3:$AB$73,17,0)-O329</f>
        <v>1134.0764941610819</v>
      </c>
    </row>
    <row r="330" spans="1:19" x14ac:dyDescent="0.25">
      <c r="B330" s="71" t="s">
        <v>95</v>
      </c>
      <c r="C330" s="72">
        <v>1</v>
      </c>
      <c r="D330" s="73">
        <f>$C330*VLOOKUP($B330,FoodDB!$A$2:$I$1024,3,0)</f>
        <v>0</v>
      </c>
      <c r="E330" s="73">
        <f>$C330*VLOOKUP($B330,FoodDB!$A$2:$I$1024,4,0)</f>
        <v>0</v>
      </c>
      <c r="F330" s="73">
        <f>$C330*VLOOKUP($B330,FoodDB!$A$2:$I$1024,5,0)</f>
        <v>0</v>
      </c>
      <c r="G330" s="73">
        <f>$C330*VLOOKUP($B330,FoodDB!$A$2:$I$1024,6,0)</f>
        <v>0</v>
      </c>
      <c r="H330" s="73">
        <f>$C330*VLOOKUP($B330,FoodDB!$A$2:$I$1024,7,0)</f>
        <v>0</v>
      </c>
      <c r="I330" s="73">
        <f>$C330*VLOOKUP($B330,FoodDB!$A$2:$I$1024,8,0)</f>
        <v>0</v>
      </c>
      <c r="J330" s="73">
        <f>$C330*VLOOKUP($B330,FoodDB!$A$2:$I$1024,9,0)</f>
        <v>0</v>
      </c>
      <c r="K330" s="73"/>
      <c r="L330" s="73"/>
      <c r="M330" s="73"/>
      <c r="N330" s="73"/>
      <c r="O330" s="73"/>
      <c r="P330" s="73"/>
      <c r="Q330" s="73"/>
      <c r="R330" s="73"/>
      <c r="S330" s="73"/>
    </row>
    <row r="331" spans="1:19" x14ac:dyDescent="0.25">
      <c r="B331" s="71" t="s">
        <v>95</v>
      </c>
      <c r="C331" s="72">
        <v>1</v>
      </c>
      <c r="D331" s="73">
        <f>$C331*VLOOKUP($B331,FoodDB!$A$2:$I$1024,3,0)</f>
        <v>0</v>
      </c>
      <c r="E331" s="73">
        <f>$C331*VLOOKUP($B331,FoodDB!$A$2:$I$1024,4,0)</f>
        <v>0</v>
      </c>
      <c r="F331" s="73">
        <f>$C331*VLOOKUP($B331,FoodDB!$A$2:$I$1024,5,0)</f>
        <v>0</v>
      </c>
      <c r="G331" s="73">
        <f>$C331*VLOOKUP($B331,FoodDB!$A$2:$I$1024,6,0)</f>
        <v>0</v>
      </c>
      <c r="H331" s="73">
        <f>$C331*VLOOKUP($B331,FoodDB!$A$2:$I$1024,7,0)</f>
        <v>0</v>
      </c>
      <c r="I331" s="73">
        <f>$C331*VLOOKUP($B331,FoodDB!$A$2:$I$1024,8,0)</f>
        <v>0</v>
      </c>
      <c r="J331" s="73">
        <f>$C331*VLOOKUP($B331,FoodDB!$A$2:$I$1024,9,0)</f>
        <v>0</v>
      </c>
      <c r="K331" s="73"/>
      <c r="L331" s="73"/>
      <c r="M331" s="73"/>
      <c r="N331" s="73"/>
      <c r="O331" s="73"/>
      <c r="P331" s="73"/>
      <c r="Q331" s="73"/>
      <c r="R331" s="73"/>
      <c r="S331" s="73"/>
    </row>
    <row r="332" spans="1:19" x14ac:dyDescent="0.25">
      <c r="B332" s="71" t="s">
        <v>95</v>
      </c>
      <c r="C332" s="72">
        <v>1</v>
      </c>
      <c r="D332" s="73">
        <f>$C332*VLOOKUP($B332,FoodDB!$A$2:$I$1024,3,0)</f>
        <v>0</v>
      </c>
      <c r="E332" s="73">
        <f>$C332*VLOOKUP($B332,FoodDB!$A$2:$I$1024,4,0)</f>
        <v>0</v>
      </c>
      <c r="F332" s="73">
        <f>$C332*VLOOKUP($B332,FoodDB!$A$2:$I$1024,5,0)</f>
        <v>0</v>
      </c>
      <c r="G332" s="73">
        <f>$C332*VLOOKUP($B332,FoodDB!$A$2:$I$1024,6,0)</f>
        <v>0</v>
      </c>
      <c r="H332" s="73">
        <f>$C332*VLOOKUP($B332,FoodDB!$A$2:$I$1024,7,0)</f>
        <v>0</v>
      </c>
      <c r="I332" s="73">
        <f>$C332*VLOOKUP($B332,FoodDB!$A$2:$I$1024,8,0)</f>
        <v>0</v>
      </c>
      <c r="J332" s="73">
        <f>$C332*VLOOKUP($B332,FoodDB!$A$2:$I$1024,9,0)</f>
        <v>0</v>
      </c>
      <c r="K332" s="73"/>
      <c r="L332" s="73"/>
      <c r="M332" s="73"/>
      <c r="N332" s="73"/>
      <c r="O332" s="73"/>
      <c r="P332" s="73"/>
      <c r="Q332" s="73"/>
      <c r="R332" s="73"/>
      <c r="S332" s="73"/>
    </row>
    <row r="333" spans="1:19" x14ac:dyDescent="0.25">
      <c r="B333" s="71" t="s">
        <v>95</v>
      </c>
      <c r="C333" s="72">
        <v>1</v>
      </c>
      <c r="D333" s="73">
        <f>$C333*VLOOKUP($B333,FoodDB!$A$2:$I$1024,3,0)</f>
        <v>0</v>
      </c>
      <c r="E333" s="73">
        <f>$C333*VLOOKUP($B333,FoodDB!$A$2:$I$1024,4,0)</f>
        <v>0</v>
      </c>
      <c r="F333" s="73">
        <f>$C333*VLOOKUP($B333,FoodDB!$A$2:$I$1024,5,0)</f>
        <v>0</v>
      </c>
      <c r="G333" s="73">
        <f>$C333*VLOOKUP($B333,FoodDB!$A$2:$I$1024,6,0)</f>
        <v>0</v>
      </c>
      <c r="H333" s="73">
        <f>$C333*VLOOKUP($B333,FoodDB!$A$2:$I$1024,7,0)</f>
        <v>0</v>
      </c>
      <c r="I333" s="73">
        <f>$C333*VLOOKUP($B333,FoodDB!$A$2:$I$1024,8,0)</f>
        <v>0</v>
      </c>
      <c r="J333" s="73">
        <f>$C333*VLOOKUP($B333,FoodDB!$A$2:$I$1024,9,0)</f>
        <v>0</v>
      </c>
      <c r="K333" s="73"/>
      <c r="L333" s="73"/>
      <c r="M333" s="73"/>
      <c r="N333" s="73"/>
      <c r="O333" s="73"/>
      <c r="P333" s="73"/>
      <c r="Q333" s="73"/>
      <c r="R333" s="73"/>
      <c r="S333" s="73"/>
    </row>
    <row r="334" spans="1:19" x14ac:dyDescent="0.25">
      <c r="B334" s="71" t="s">
        <v>95</v>
      </c>
      <c r="C334" s="72">
        <v>1</v>
      </c>
      <c r="D334" s="73">
        <f>$C334*VLOOKUP($B334,FoodDB!$A$2:$I$1024,3,0)</f>
        <v>0</v>
      </c>
      <c r="E334" s="73">
        <f>$C334*VLOOKUP($B334,FoodDB!$A$2:$I$1024,4,0)</f>
        <v>0</v>
      </c>
      <c r="F334" s="73">
        <f>$C334*VLOOKUP($B334,FoodDB!$A$2:$I$1024,5,0)</f>
        <v>0</v>
      </c>
      <c r="G334" s="73">
        <f>$C334*VLOOKUP($B334,FoodDB!$A$2:$I$1024,6,0)</f>
        <v>0</v>
      </c>
      <c r="H334" s="73">
        <f>$C334*VLOOKUP($B334,FoodDB!$A$2:$I$1024,7,0)</f>
        <v>0</v>
      </c>
      <c r="I334" s="73">
        <f>$C334*VLOOKUP($B334,FoodDB!$A$2:$I$1024,8,0)</f>
        <v>0</v>
      </c>
      <c r="J334" s="73">
        <f>$C334*VLOOKUP($B334,FoodDB!$A$2:$I$1024,9,0)</f>
        <v>0</v>
      </c>
      <c r="K334" s="73"/>
      <c r="L334" s="73"/>
      <c r="M334" s="73"/>
      <c r="N334" s="73"/>
      <c r="O334" s="73"/>
      <c r="P334" s="73"/>
      <c r="Q334" s="73"/>
      <c r="R334" s="73"/>
      <c r="S334" s="73"/>
    </row>
    <row r="335" spans="1:19" x14ac:dyDescent="0.25">
      <c r="B335" s="71" t="s">
        <v>95</v>
      </c>
      <c r="C335" s="72">
        <v>1</v>
      </c>
      <c r="D335" s="73">
        <f>$C335*VLOOKUP($B335,FoodDB!$A$2:$I$1024,3,0)</f>
        <v>0</v>
      </c>
      <c r="E335" s="73">
        <f>$C335*VLOOKUP($B335,FoodDB!$A$2:$I$1024,4,0)</f>
        <v>0</v>
      </c>
      <c r="F335" s="73">
        <f>$C335*VLOOKUP($B335,FoodDB!$A$2:$I$1024,5,0)</f>
        <v>0</v>
      </c>
      <c r="G335" s="73">
        <f>$C335*VLOOKUP($B335,FoodDB!$A$2:$I$1024,6,0)</f>
        <v>0</v>
      </c>
      <c r="H335" s="73">
        <f>$C335*VLOOKUP($B335,FoodDB!$A$2:$I$1024,7,0)</f>
        <v>0</v>
      </c>
      <c r="I335" s="73">
        <f>$C335*VLOOKUP($B335,FoodDB!$A$2:$I$1024,8,0)</f>
        <v>0</v>
      </c>
      <c r="J335" s="73">
        <f>$C335*VLOOKUP($B335,FoodDB!$A$2:$I$1024,9,0)</f>
        <v>0</v>
      </c>
      <c r="K335" s="73"/>
      <c r="L335" s="73"/>
      <c r="M335" s="73"/>
      <c r="N335" s="73"/>
      <c r="O335" s="73"/>
      <c r="P335" s="73"/>
      <c r="Q335" s="73"/>
      <c r="R335" s="73"/>
      <c r="S335" s="73"/>
    </row>
    <row r="336" spans="1:19" x14ac:dyDescent="0.25">
      <c r="A336" t="s">
        <v>99</v>
      </c>
      <c r="D336" s="73"/>
      <c r="E336" s="73"/>
      <c r="F336" s="73"/>
      <c r="G336" s="73">
        <f>SUM(G329:G335)</f>
        <v>0</v>
      </c>
      <c r="H336" s="73">
        <f>SUM(H329:H335)</f>
        <v>0</v>
      </c>
      <c r="I336" s="73">
        <f>SUM(I329:I335)</f>
        <v>0</v>
      </c>
      <c r="J336" s="73">
        <f>SUM(G336:I336)</f>
        <v>0</v>
      </c>
      <c r="K336" s="73"/>
      <c r="L336" s="73"/>
      <c r="M336" s="73"/>
      <c r="N336" s="73"/>
      <c r="O336" s="73"/>
      <c r="P336" s="73"/>
      <c r="Q336" s="73"/>
      <c r="R336" s="73"/>
      <c r="S336" s="73"/>
    </row>
    <row r="337" spans="1:19" x14ac:dyDescent="0.25">
      <c r="A337" t="s">
        <v>100</v>
      </c>
      <c r="B337" t="s">
        <v>101</v>
      </c>
      <c r="D337" s="73"/>
      <c r="E337" s="73"/>
      <c r="F337" s="73"/>
      <c r="G337" s="73">
        <f>VLOOKUP($A329,LossChart!$A$3:$AB$73,14,0)</f>
        <v>590.31086419814505</v>
      </c>
      <c r="H337" s="73">
        <f>VLOOKUP($A329,LossChart!$A$3:$AB$73,15,0)</f>
        <v>80</v>
      </c>
      <c r="I337" s="73">
        <f>VLOOKUP($A329,LossChart!$A$3:$AB$73,16,0)</f>
        <v>463.76562996293683</v>
      </c>
      <c r="J337" s="73">
        <f>VLOOKUP($A329,LossChart!$A$3:$AB$73,17,0)</f>
        <v>1134.0764941610819</v>
      </c>
      <c r="K337" s="73"/>
      <c r="L337" s="73"/>
      <c r="M337" s="73"/>
      <c r="N337" s="73"/>
      <c r="O337" s="73"/>
      <c r="P337" s="73"/>
      <c r="Q337" s="73"/>
      <c r="R337" s="73"/>
      <c r="S337" s="73"/>
    </row>
    <row r="338" spans="1:19" x14ac:dyDescent="0.25">
      <c r="A338" t="s">
        <v>102</v>
      </c>
      <c r="D338" s="73"/>
      <c r="E338" s="73"/>
      <c r="F338" s="73"/>
      <c r="G338" s="73">
        <f>G337-G336</f>
        <v>590.31086419814505</v>
      </c>
      <c r="H338" s="73">
        <f>H337-H336</f>
        <v>80</v>
      </c>
      <c r="I338" s="73">
        <f>I337-I336</f>
        <v>463.76562996293683</v>
      </c>
      <c r="J338" s="73">
        <f>J337-J336</f>
        <v>1134.0764941610819</v>
      </c>
      <c r="K338" s="73"/>
      <c r="L338" s="73"/>
      <c r="M338" s="73"/>
      <c r="N338" s="73"/>
      <c r="O338" s="73"/>
      <c r="P338" s="73"/>
      <c r="Q338" s="73"/>
      <c r="R338" s="73"/>
      <c r="S338" s="73"/>
    </row>
    <row r="340" spans="1:19" ht="60" x14ac:dyDescent="0.25">
      <c r="A340" s="25" t="s">
        <v>63</v>
      </c>
      <c r="B340" s="25" t="s">
        <v>80</v>
      </c>
      <c r="C340" s="25" t="s">
        <v>81</v>
      </c>
      <c r="D340" s="69" t="str">
        <f>FoodDB!$C$1</f>
        <v>Fat
(g)</v>
      </c>
      <c r="E340" s="69" t="str">
        <f>FoodDB!$D$1</f>
        <v xml:space="preserve"> Net
Carbs
(g)</v>
      </c>
      <c r="F340" s="69" t="str">
        <f>FoodDB!$E$1</f>
        <v>Protein
(g)</v>
      </c>
      <c r="G340" s="69" t="str">
        <f>FoodDB!$F$1</f>
        <v>Fat
(Cal)</v>
      </c>
      <c r="H340" s="69" t="str">
        <f>FoodDB!$G$1</f>
        <v>Carb
(Cal)</v>
      </c>
      <c r="I340" s="69" t="str">
        <f>FoodDB!$H$1</f>
        <v>Protein
(Cal)</v>
      </c>
      <c r="J340" s="69" t="str">
        <f>FoodDB!$I$1</f>
        <v>Total
Calories</v>
      </c>
      <c r="K340" s="69"/>
      <c r="L340" s="69" t="s">
        <v>82</v>
      </c>
      <c r="M340" s="69" t="s">
        <v>83</v>
      </c>
      <c r="N340" s="69" t="s">
        <v>84</v>
      </c>
      <c r="O340" s="69" t="s">
        <v>85</v>
      </c>
      <c r="P340" s="69" t="s">
        <v>86</v>
      </c>
      <c r="Q340" s="69" t="s">
        <v>87</v>
      </c>
      <c r="R340" s="69" t="s">
        <v>88</v>
      </c>
      <c r="S340" s="69" t="s">
        <v>89</v>
      </c>
    </row>
    <row r="341" spans="1:19" x14ac:dyDescent="0.25">
      <c r="A341" s="70">
        <f>A329+1</f>
        <v>43059</v>
      </c>
      <c r="B341" s="71" t="s">
        <v>95</v>
      </c>
      <c r="C341" s="72">
        <v>1</v>
      </c>
      <c r="D341" s="73">
        <f>$C341*VLOOKUP($B341,FoodDB!$A$2:$I$1024,3,0)</f>
        <v>0</v>
      </c>
      <c r="E341" s="73">
        <f>$C341*VLOOKUP($B341,FoodDB!$A$2:$I$1024,4,0)</f>
        <v>0</v>
      </c>
      <c r="F341" s="73">
        <f>$C341*VLOOKUP($B341,FoodDB!$A$2:$I$1024,5,0)</f>
        <v>0</v>
      </c>
      <c r="G341" s="73">
        <f>$C341*VLOOKUP($B341,FoodDB!$A$2:$I$1024,6,0)</f>
        <v>0</v>
      </c>
      <c r="H341" s="73">
        <f>$C341*VLOOKUP($B341,FoodDB!$A$2:$I$1024,7,0)</f>
        <v>0</v>
      </c>
      <c r="I341" s="73">
        <f>$C341*VLOOKUP($B341,FoodDB!$A$2:$I$1024,8,0)</f>
        <v>0</v>
      </c>
      <c r="J341" s="73">
        <f>$C341*VLOOKUP($B341,FoodDB!$A$2:$I$1024,9,0)</f>
        <v>0</v>
      </c>
      <c r="K341" s="73"/>
      <c r="L341" s="73">
        <f>SUM(G341:G347)</f>
        <v>0</v>
      </c>
      <c r="M341" s="73">
        <f>SUM(H341:H347)</f>
        <v>0</v>
      </c>
      <c r="N341" s="73">
        <f>SUM(I341:I347)</f>
        <v>0</v>
      </c>
      <c r="O341" s="73">
        <f>SUM(L341:N341)</f>
        <v>0</v>
      </c>
      <c r="P341" s="73">
        <f>VLOOKUP($A341,LossChart!$A$3:$AB$73,14,0)-L341</f>
        <v>596.49617629304794</v>
      </c>
      <c r="Q341" s="73">
        <f>VLOOKUP($A341,LossChart!$A$3:$AB$73,15,0)-M341</f>
        <v>80</v>
      </c>
      <c r="R341" s="73">
        <f>VLOOKUP($A341,LossChart!$A$3:$AB$73,16,0)-N341</f>
        <v>463.76562996293683</v>
      </c>
      <c r="S341" s="73">
        <f>VLOOKUP($A341,LossChart!$A$3:$AB$73,17,0)-O341</f>
        <v>1140.2618062559848</v>
      </c>
    </row>
    <row r="342" spans="1:19" x14ac:dyDescent="0.25">
      <c r="B342" s="71" t="s">
        <v>95</v>
      </c>
      <c r="C342" s="72">
        <v>1</v>
      </c>
      <c r="D342" s="73">
        <f>$C342*VLOOKUP($B342,FoodDB!$A$2:$I$1024,3,0)</f>
        <v>0</v>
      </c>
      <c r="E342" s="73">
        <f>$C342*VLOOKUP($B342,FoodDB!$A$2:$I$1024,4,0)</f>
        <v>0</v>
      </c>
      <c r="F342" s="73">
        <f>$C342*VLOOKUP($B342,FoodDB!$A$2:$I$1024,5,0)</f>
        <v>0</v>
      </c>
      <c r="G342" s="73">
        <f>$C342*VLOOKUP($B342,FoodDB!$A$2:$I$1024,6,0)</f>
        <v>0</v>
      </c>
      <c r="H342" s="73">
        <f>$C342*VLOOKUP($B342,FoodDB!$A$2:$I$1024,7,0)</f>
        <v>0</v>
      </c>
      <c r="I342" s="73">
        <f>$C342*VLOOKUP($B342,FoodDB!$A$2:$I$1024,8,0)</f>
        <v>0</v>
      </c>
      <c r="J342" s="73">
        <f>$C342*VLOOKUP($B342,FoodDB!$A$2:$I$1024,9,0)</f>
        <v>0</v>
      </c>
      <c r="K342" s="73"/>
      <c r="L342" s="73"/>
      <c r="M342" s="73"/>
      <c r="N342" s="73"/>
      <c r="O342" s="73"/>
      <c r="P342" s="73"/>
      <c r="Q342" s="73"/>
      <c r="R342" s="73"/>
      <c r="S342" s="73"/>
    </row>
    <row r="343" spans="1:19" x14ac:dyDescent="0.25">
      <c r="B343" s="71" t="s">
        <v>95</v>
      </c>
      <c r="C343" s="72">
        <v>1</v>
      </c>
      <c r="D343" s="73">
        <f>$C343*VLOOKUP($B343,FoodDB!$A$2:$I$1024,3,0)</f>
        <v>0</v>
      </c>
      <c r="E343" s="73">
        <f>$C343*VLOOKUP($B343,FoodDB!$A$2:$I$1024,4,0)</f>
        <v>0</v>
      </c>
      <c r="F343" s="73">
        <f>$C343*VLOOKUP($B343,FoodDB!$A$2:$I$1024,5,0)</f>
        <v>0</v>
      </c>
      <c r="G343" s="73">
        <f>$C343*VLOOKUP($B343,FoodDB!$A$2:$I$1024,6,0)</f>
        <v>0</v>
      </c>
      <c r="H343" s="73">
        <f>$C343*VLOOKUP($B343,FoodDB!$A$2:$I$1024,7,0)</f>
        <v>0</v>
      </c>
      <c r="I343" s="73">
        <f>$C343*VLOOKUP($B343,FoodDB!$A$2:$I$1024,8,0)</f>
        <v>0</v>
      </c>
      <c r="J343" s="73">
        <f>$C343*VLOOKUP($B343,FoodDB!$A$2:$I$1024,9,0)</f>
        <v>0</v>
      </c>
      <c r="K343" s="73"/>
      <c r="L343" s="73"/>
      <c r="M343" s="73"/>
      <c r="N343" s="73"/>
      <c r="O343" s="73"/>
      <c r="P343" s="73"/>
      <c r="Q343" s="73"/>
      <c r="R343" s="73"/>
      <c r="S343" s="73"/>
    </row>
    <row r="344" spans="1:19" x14ac:dyDescent="0.25">
      <c r="B344" s="71" t="s">
        <v>95</v>
      </c>
      <c r="C344" s="72">
        <v>1</v>
      </c>
      <c r="D344" s="73">
        <f>$C344*VLOOKUP($B344,FoodDB!$A$2:$I$1024,3,0)</f>
        <v>0</v>
      </c>
      <c r="E344" s="73">
        <f>$C344*VLOOKUP($B344,FoodDB!$A$2:$I$1024,4,0)</f>
        <v>0</v>
      </c>
      <c r="F344" s="73">
        <f>$C344*VLOOKUP($B344,FoodDB!$A$2:$I$1024,5,0)</f>
        <v>0</v>
      </c>
      <c r="G344" s="73">
        <f>$C344*VLOOKUP($B344,FoodDB!$A$2:$I$1024,6,0)</f>
        <v>0</v>
      </c>
      <c r="H344" s="73">
        <f>$C344*VLOOKUP($B344,FoodDB!$A$2:$I$1024,7,0)</f>
        <v>0</v>
      </c>
      <c r="I344" s="73">
        <f>$C344*VLOOKUP($B344,FoodDB!$A$2:$I$1024,8,0)</f>
        <v>0</v>
      </c>
      <c r="J344" s="73">
        <f>$C344*VLOOKUP($B344,FoodDB!$A$2:$I$1024,9,0)</f>
        <v>0</v>
      </c>
      <c r="K344" s="73"/>
      <c r="L344" s="73"/>
      <c r="M344" s="73"/>
      <c r="N344" s="73"/>
      <c r="O344" s="73"/>
      <c r="P344" s="73"/>
      <c r="Q344" s="73"/>
      <c r="R344" s="73"/>
      <c r="S344" s="73"/>
    </row>
    <row r="345" spans="1:19" x14ac:dyDescent="0.25">
      <c r="B345" s="71" t="s">
        <v>95</v>
      </c>
      <c r="C345" s="72">
        <v>1</v>
      </c>
      <c r="D345" s="73">
        <f>$C345*VLOOKUP($B345,FoodDB!$A$2:$I$1024,3,0)</f>
        <v>0</v>
      </c>
      <c r="E345" s="73">
        <f>$C345*VLOOKUP($B345,FoodDB!$A$2:$I$1024,4,0)</f>
        <v>0</v>
      </c>
      <c r="F345" s="73">
        <f>$C345*VLOOKUP($B345,FoodDB!$A$2:$I$1024,5,0)</f>
        <v>0</v>
      </c>
      <c r="G345" s="73">
        <f>$C345*VLOOKUP($B345,FoodDB!$A$2:$I$1024,6,0)</f>
        <v>0</v>
      </c>
      <c r="H345" s="73">
        <f>$C345*VLOOKUP($B345,FoodDB!$A$2:$I$1024,7,0)</f>
        <v>0</v>
      </c>
      <c r="I345" s="73">
        <f>$C345*VLOOKUP($B345,FoodDB!$A$2:$I$1024,8,0)</f>
        <v>0</v>
      </c>
      <c r="J345" s="73">
        <f>$C345*VLOOKUP($B345,FoodDB!$A$2:$I$1024,9,0)</f>
        <v>0</v>
      </c>
      <c r="K345" s="73"/>
      <c r="L345" s="73"/>
      <c r="M345" s="73"/>
      <c r="N345" s="73"/>
      <c r="O345" s="73"/>
      <c r="P345" s="73"/>
      <c r="Q345" s="73"/>
      <c r="R345" s="73"/>
      <c r="S345" s="73"/>
    </row>
    <row r="346" spans="1:19" x14ac:dyDescent="0.25">
      <c r="B346" s="71" t="s">
        <v>95</v>
      </c>
      <c r="C346" s="72">
        <v>1</v>
      </c>
      <c r="D346" s="73">
        <f>$C346*VLOOKUP($B346,FoodDB!$A$2:$I$1024,3,0)</f>
        <v>0</v>
      </c>
      <c r="E346" s="73">
        <f>$C346*VLOOKUP($B346,FoodDB!$A$2:$I$1024,4,0)</f>
        <v>0</v>
      </c>
      <c r="F346" s="73">
        <f>$C346*VLOOKUP($B346,FoodDB!$A$2:$I$1024,5,0)</f>
        <v>0</v>
      </c>
      <c r="G346" s="73">
        <f>$C346*VLOOKUP($B346,FoodDB!$A$2:$I$1024,6,0)</f>
        <v>0</v>
      </c>
      <c r="H346" s="73">
        <f>$C346*VLOOKUP($B346,FoodDB!$A$2:$I$1024,7,0)</f>
        <v>0</v>
      </c>
      <c r="I346" s="73">
        <f>$C346*VLOOKUP($B346,FoodDB!$A$2:$I$1024,8,0)</f>
        <v>0</v>
      </c>
      <c r="J346" s="73">
        <f>$C346*VLOOKUP($B346,FoodDB!$A$2:$I$1024,9,0)</f>
        <v>0</v>
      </c>
      <c r="K346" s="73"/>
      <c r="L346" s="73"/>
      <c r="M346" s="73"/>
      <c r="N346" s="73"/>
      <c r="O346" s="73"/>
      <c r="P346" s="73"/>
      <c r="Q346" s="73"/>
      <c r="R346" s="73"/>
      <c r="S346" s="73"/>
    </row>
    <row r="347" spans="1:19" x14ac:dyDescent="0.25">
      <c r="B347" s="71" t="s">
        <v>95</v>
      </c>
      <c r="C347" s="72">
        <v>1</v>
      </c>
      <c r="D347" s="73">
        <f>$C347*VLOOKUP($B347,FoodDB!$A$2:$I$1024,3,0)</f>
        <v>0</v>
      </c>
      <c r="E347" s="73">
        <f>$C347*VLOOKUP($B347,FoodDB!$A$2:$I$1024,4,0)</f>
        <v>0</v>
      </c>
      <c r="F347" s="73">
        <f>$C347*VLOOKUP($B347,FoodDB!$A$2:$I$1024,5,0)</f>
        <v>0</v>
      </c>
      <c r="G347" s="73">
        <f>$C347*VLOOKUP($B347,FoodDB!$A$2:$I$1024,6,0)</f>
        <v>0</v>
      </c>
      <c r="H347" s="73">
        <f>$C347*VLOOKUP($B347,FoodDB!$A$2:$I$1024,7,0)</f>
        <v>0</v>
      </c>
      <c r="I347" s="73">
        <f>$C347*VLOOKUP($B347,FoodDB!$A$2:$I$1024,8,0)</f>
        <v>0</v>
      </c>
      <c r="J347" s="73">
        <f>$C347*VLOOKUP($B347,FoodDB!$A$2:$I$1024,9,0)</f>
        <v>0</v>
      </c>
      <c r="K347" s="73"/>
      <c r="L347" s="73"/>
      <c r="M347" s="73"/>
      <c r="N347" s="73"/>
      <c r="O347" s="73"/>
      <c r="P347" s="73"/>
      <c r="Q347" s="73"/>
      <c r="R347" s="73"/>
      <c r="S347" s="73"/>
    </row>
    <row r="348" spans="1:19" x14ac:dyDescent="0.25">
      <c r="A348" t="s">
        <v>99</v>
      </c>
      <c r="D348" s="73"/>
      <c r="E348" s="73"/>
      <c r="F348" s="73"/>
      <c r="G348" s="73">
        <f>SUM(G341:G347)</f>
        <v>0</v>
      </c>
      <c r="H348" s="73">
        <f>SUM(H341:H347)</f>
        <v>0</v>
      </c>
      <c r="I348" s="73">
        <f>SUM(I341:I347)</f>
        <v>0</v>
      </c>
      <c r="J348" s="73">
        <f>SUM(G348:I348)</f>
        <v>0</v>
      </c>
      <c r="K348" s="73"/>
      <c r="L348" s="73"/>
      <c r="M348" s="73"/>
      <c r="N348" s="73"/>
      <c r="O348" s="73"/>
      <c r="P348" s="73"/>
      <c r="Q348" s="73"/>
      <c r="R348" s="73"/>
      <c r="S348" s="73"/>
    </row>
    <row r="349" spans="1:19" x14ac:dyDescent="0.25">
      <c r="A349" t="s">
        <v>100</v>
      </c>
      <c r="B349" t="s">
        <v>101</v>
      </c>
      <c r="D349" s="73"/>
      <c r="E349" s="73"/>
      <c r="F349" s="73"/>
      <c r="G349" s="73">
        <f>VLOOKUP($A341,LossChart!$A$3:$AB$73,14,0)</f>
        <v>596.49617629304794</v>
      </c>
      <c r="H349" s="73">
        <f>VLOOKUP($A341,LossChart!$A$3:$AB$73,15,0)</f>
        <v>80</v>
      </c>
      <c r="I349" s="73">
        <f>VLOOKUP($A341,LossChart!$A$3:$AB$73,16,0)</f>
        <v>463.76562996293683</v>
      </c>
      <c r="J349" s="73">
        <f>VLOOKUP($A341,LossChart!$A$3:$AB$73,17,0)</f>
        <v>1140.2618062559848</v>
      </c>
      <c r="K349" s="73"/>
      <c r="L349" s="73"/>
      <c r="M349" s="73"/>
      <c r="N349" s="73"/>
      <c r="O349" s="73"/>
      <c r="P349" s="73"/>
      <c r="Q349" s="73"/>
      <c r="R349" s="73"/>
      <c r="S349" s="73"/>
    </row>
    <row r="350" spans="1:19" x14ac:dyDescent="0.25">
      <c r="A350" t="s">
        <v>102</v>
      </c>
      <c r="D350" s="73"/>
      <c r="E350" s="73"/>
      <c r="F350" s="73"/>
      <c r="G350" s="73">
        <f>G349-G348</f>
        <v>596.49617629304794</v>
      </c>
      <c r="H350" s="73">
        <f>H349-H348</f>
        <v>80</v>
      </c>
      <c r="I350" s="73">
        <f>I349-I348</f>
        <v>463.76562996293683</v>
      </c>
      <c r="J350" s="73">
        <f>J349-J348</f>
        <v>1140.2618062559848</v>
      </c>
      <c r="K350" s="73"/>
      <c r="L350" s="73"/>
      <c r="M350" s="73"/>
      <c r="N350" s="73"/>
      <c r="O350" s="73"/>
      <c r="P350" s="73"/>
      <c r="Q350" s="73"/>
      <c r="R350" s="73"/>
      <c r="S350" s="73"/>
    </row>
    <row r="352" spans="1:19" ht="60" x14ac:dyDescent="0.25">
      <c r="A352" s="25" t="s">
        <v>63</v>
      </c>
      <c r="B352" s="25" t="s">
        <v>80</v>
      </c>
      <c r="C352" s="25" t="s">
        <v>81</v>
      </c>
      <c r="D352" s="69" t="str">
        <f>FoodDB!$C$1</f>
        <v>Fat
(g)</v>
      </c>
      <c r="E352" s="69" t="str">
        <f>FoodDB!$D$1</f>
        <v xml:space="preserve"> Net
Carbs
(g)</v>
      </c>
      <c r="F352" s="69" t="str">
        <f>FoodDB!$E$1</f>
        <v>Protein
(g)</v>
      </c>
      <c r="G352" s="69" t="str">
        <f>FoodDB!$F$1</f>
        <v>Fat
(Cal)</v>
      </c>
      <c r="H352" s="69" t="str">
        <f>FoodDB!$G$1</f>
        <v>Carb
(Cal)</v>
      </c>
      <c r="I352" s="69" t="str">
        <f>FoodDB!$H$1</f>
        <v>Protein
(Cal)</v>
      </c>
      <c r="J352" s="69" t="str">
        <f>FoodDB!$I$1</f>
        <v>Total
Calories</v>
      </c>
      <c r="K352" s="69"/>
      <c r="L352" s="69" t="s">
        <v>82</v>
      </c>
      <c r="M352" s="69" t="s">
        <v>83</v>
      </c>
      <c r="N352" s="69" t="s">
        <v>84</v>
      </c>
      <c r="O352" s="69" t="s">
        <v>85</v>
      </c>
      <c r="P352" s="69" t="s">
        <v>86</v>
      </c>
      <c r="Q352" s="69" t="s">
        <v>87</v>
      </c>
      <c r="R352" s="69" t="s">
        <v>88</v>
      </c>
      <c r="S352" s="69" t="s">
        <v>89</v>
      </c>
    </row>
    <row r="353" spans="1:19" x14ac:dyDescent="0.25">
      <c r="A353" s="70">
        <f>A341+1</f>
        <v>43060</v>
      </c>
      <c r="B353" s="71" t="s">
        <v>95</v>
      </c>
      <c r="C353" s="72">
        <v>1</v>
      </c>
      <c r="D353" s="73">
        <f>$C353*VLOOKUP($B353,FoodDB!$A$2:$I$1024,3,0)</f>
        <v>0</v>
      </c>
      <c r="E353" s="73">
        <f>$C353*VLOOKUP($B353,FoodDB!$A$2:$I$1024,4,0)</f>
        <v>0</v>
      </c>
      <c r="F353" s="73">
        <f>$C353*VLOOKUP($B353,FoodDB!$A$2:$I$1024,5,0)</f>
        <v>0</v>
      </c>
      <c r="G353" s="73">
        <f>$C353*VLOOKUP($B353,FoodDB!$A$2:$I$1024,6,0)</f>
        <v>0</v>
      </c>
      <c r="H353" s="73">
        <f>$C353*VLOOKUP($B353,FoodDB!$A$2:$I$1024,7,0)</f>
        <v>0</v>
      </c>
      <c r="I353" s="73">
        <f>$C353*VLOOKUP($B353,FoodDB!$A$2:$I$1024,8,0)</f>
        <v>0</v>
      </c>
      <c r="J353" s="73">
        <f>$C353*VLOOKUP($B353,FoodDB!$A$2:$I$1024,9,0)</f>
        <v>0</v>
      </c>
      <c r="K353" s="73"/>
      <c r="L353" s="73">
        <f>SUM(G353:G359)</f>
        <v>0</v>
      </c>
      <c r="M353" s="73">
        <f>SUM(H353:H359)</f>
        <v>0</v>
      </c>
      <c r="N353" s="73">
        <f>SUM(I353:I359)</f>
        <v>0</v>
      </c>
      <c r="O353" s="73">
        <f>SUM(L353:N353)</f>
        <v>0</v>
      </c>
      <c r="P353" s="73">
        <f>VLOOKUP($A353,LossChart!$A$3:$AB$73,14,0)-L353</f>
        <v>602.62670419511005</v>
      </c>
      <c r="Q353" s="73">
        <f>VLOOKUP($A353,LossChart!$A$3:$AB$73,15,0)-M353</f>
        <v>80</v>
      </c>
      <c r="R353" s="73">
        <f>VLOOKUP($A353,LossChart!$A$3:$AB$73,16,0)-N353</f>
        <v>463.76562996293683</v>
      </c>
      <c r="S353" s="73">
        <f>VLOOKUP($A353,LossChart!$A$3:$AB$73,17,0)-O353</f>
        <v>1146.3923341580469</v>
      </c>
    </row>
    <row r="354" spans="1:19" x14ac:dyDescent="0.25">
      <c r="B354" s="71" t="s">
        <v>95</v>
      </c>
      <c r="C354" s="72">
        <v>1</v>
      </c>
      <c r="D354" s="73">
        <f>$C354*VLOOKUP($B354,FoodDB!$A$2:$I$1024,3,0)</f>
        <v>0</v>
      </c>
      <c r="E354" s="73">
        <f>$C354*VLOOKUP($B354,FoodDB!$A$2:$I$1024,4,0)</f>
        <v>0</v>
      </c>
      <c r="F354" s="73">
        <f>$C354*VLOOKUP($B354,FoodDB!$A$2:$I$1024,5,0)</f>
        <v>0</v>
      </c>
      <c r="G354" s="73">
        <f>$C354*VLOOKUP($B354,FoodDB!$A$2:$I$1024,6,0)</f>
        <v>0</v>
      </c>
      <c r="H354" s="73">
        <f>$C354*VLOOKUP($B354,FoodDB!$A$2:$I$1024,7,0)</f>
        <v>0</v>
      </c>
      <c r="I354" s="73">
        <f>$C354*VLOOKUP($B354,FoodDB!$A$2:$I$1024,8,0)</f>
        <v>0</v>
      </c>
      <c r="J354" s="73">
        <f>$C354*VLOOKUP($B354,FoodDB!$A$2:$I$1024,9,0)</f>
        <v>0</v>
      </c>
      <c r="K354" s="73"/>
      <c r="L354" s="73"/>
      <c r="M354" s="73"/>
      <c r="N354" s="73"/>
      <c r="O354" s="73"/>
      <c r="P354" s="73"/>
      <c r="Q354" s="73"/>
      <c r="R354" s="73"/>
      <c r="S354" s="73"/>
    </row>
    <row r="355" spans="1:19" x14ac:dyDescent="0.25">
      <c r="B355" s="71" t="s">
        <v>95</v>
      </c>
      <c r="C355" s="72">
        <v>1</v>
      </c>
      <c r="D355" s="73">
        <f>$C355*VLOOKUP($B355,FoodDB!$A$2:$I$1024,3,0)</f>
        <v>0</v>
      </c>
      <c r="E355" s="73">
        <f>$C355*VLOOKUP($B355,FoodDB!$A$2:$I$1024,4,0)</f>
        <v>0</v>
      </c>
      <c r="F355" s="73">
        <f>$C355*VLOOKUP($B355,FoodDB!$A$2:$I$1024,5,0)</f>
        <v>0</v>
      </c>
      <c r="G355" s="73">
        <f>$C355*VLOOKUP($B355,FoodDB!$A$2:$I$1024,6,0)</f>
        <v>0</v>
      </c>
      <c r="H355" s="73">
        <f>$C355*VLOOKUP($B355,FoodDB!$A$2:$I$1024,7,0)</f>
        <v>0</v>
      </c>
      <c r="I355" s="73">
        <f>$C355*VLOOKUP($B355,FoodDB!$A$2:$I$1024,8,0)</f>
        <v>0</v>
      </c>
      <c r="J355" s="73">
        <f>$C355*VLOOKUP($B355,FoodDB!$A$2:$I$1024,9,0)</f>
        <v>0</v>
      </c>
      <c r="K355" s="73"/>
      <c r="L355" s="73"/>
      <c r="M355" s="73"/>
      <c r="N355" s="73"/>
      <c r="O355" s="73"/>
      <c r="P355" s="73"/>
      <c r="Q355" s="73"/>
      <c r="R355" s="73"/>
      <c r="S355" s="73"/>
    </row>
    <row r="356" spans="1:19" x14ac:dyDescent="0.25">
      <c r="B356" s="71" t="s">
        <v>95</v>
      </c>
      <c r="C356" s="72">
        <v>1</v>
      </c>
      <c r="D356" s="73">
        <f>$C356*VLOOKUP($B356,FoodDB!$A$2:$I$1024,3,0)</f>
        <v>0</v>
      </c>
      <c r="E356" s="73">
        <f>$C356*VLOOKUP($B356,FoodDB!$A$2:$I$1024,4,0)</f>
        <v>0</v>
      </c>
      <c r="F356" s="73">
        <f>$C356*VLOOKUP($B356,FoodDB!$A$2:$I$1024,5,0)</f>
        <v>0</v>
      </c>
      <c r="G356" s="73">
        <f>$C356*VLOOKUP($B356,FoodDB!$A$2:$I$1024,6,0)</f>
        <v>0</v>
      </c>
      <c r="H356" s="73">
        <f>$C356*VLOOKUP($B356,FoodDB!$A$2:$I$1024,7,0)</f>
        <v>0</v>
      </c>
      <c r="I356" s="73">
        <f>$C356*VLOOKUP($B356,FoodDB!$A$2:$I$1024,8,0)</f>
        <v>0</v>
      </c>
      <c r="J356" s="73">
        <f>$C356*VLOOKUP($B356,FoodDB!$A$2:$I$1024,9,0)</f>
        <v>0</v>
      </c>
      <c r="K356" s="73"/>
      <c r="L356" s="73"/>
      <c r="M356" s="73"/>
      <c r="N356" s="73"/>
      <c r="O356" s="73"/>
      <c r="P356" s="73"/>
      <c r="Q356" s="73"/>
      <c r="R356" s="73"/>
      <c r="S356" s="73"/>
    </row>
    <row r="357" spans="1:19" x14ac:dyDescent="0.25">
      <c r="B357" s="71" t="s">
        <v>95</v>
      </c>
      <c r="C357" s="72">
        <v>1</v>
      </c>
      <c r="D357" s="73">
        <f>$C357*VLOOKUP($B357,FoodDB!$A$2:$I$1024,3,0)</f>
        <v>0</v>
      </c>
      <c r="E357" s="73">
        <f>$C357*VLOOKUP($B357,FoodDB!$A$2:$I$1024,4,0)</f>
        <v>0</v>
      </c>
      <c r="F357" s="73">
        <f>$C357*VLOOKUP($B357,FoodDB!$A$2:$I$1024,5,0)</f>
        <v>0</v>
      </c>
      <c r="G357" s="73">
        <f>$C357*VLOOKUP($B357,FoodDB!$A$2:$I$1024,6,0)</f>
        <v>0</v>
      </c>
      <c r="H357" s="73">
        <f>$C357*VLOOKUP($B357,FoodDB!$A$2:$I$1024,7,0)</f>
        <v>0</v>
      </c>
      <c r="I357" s="73">
        <f>$C357*VLOOKUP($B357,FoodDB!$A$2:$I$1024,8,0)</f>
        <v>0</v>
      </c>
      <c r="J357" s="73">
        <f>$C357*VLOOKUP($B357,FoodDB!$A$2:$I$1024,9,0)</f>
        <v>0</v>
      </c>
      <c r="K357" s="73"/>
      <c r="L357" s="73"/>
      <c r="M357" s="73"/>
      <c r="N357" s="73"/>
      <c r="O357" s="73"/>
      <c r="P357" s="73"/>
      <c r="Q357" s="73"/>
      <c r="R357" s="73"/>
      <c r="S357" s="73"/>
    </row>
    <row r="358" spans="1:19" x14ac:dyDescent="0.25">
      <c r="B358" s="71" t="s">
        <v>95</v>
      </c>
      <c r="C358" s="72">
        <v>1</v>
      </c>
      <c r="D358" s="73">
        <f>$C358*VLOOKUP($B358,FoodDB!$A$2:$I$1024,3,0)</f>
        <v>0</v>
      </c>
      <c r="E358" s="73">
        <f>$C358*VLOOKUP($B358,FoodDB!$A$2:$I$1024,4,0)</f>
        <v>0</v>
      </c>
      <c r="F358" s="73">
        <f>$C358*VLOOKUP($B358,FoodDB!$A$2:$I$1024,5,0)</f>
        <v>0</v>
      </c>
      <c r="G358" s="73">
        <f>$C358*VLOOKUP($B358,FoodDB!$A$2:$I$1024,6,0)</f>
        <v>0</v>
      </c>
      <c r="H358" s="73">
        <f>$C358*VLOOKUP($B358,FoodDB!$A$2:$I$1024,7,0)</f>
        <v>0</v>
      </c>
      <c r="I358" s="73">
        <f>$C358*VLOOKUP($B358,FoodDB!$A$2:$I$1024,8,0)</f>
        <v>0</v>
      </c>
      <c r="J358" s="73">
        <f>$C358*VLOOKUP($B358,FoodDB!$A$2:$I$1024,9,0)</f>
        <v>0</v>
      </c>
      <c r="K358" s="73"/>
      <c r="L358" s="73"/>
      <c r="M358" s="73"/>
      <c r="N358" s="73"/>
      <c r="O358" s="73"/>
      <c r="P358" s="73"/>
      <c r="Q358" s="73"/>
      <c r="R358" s="73"/>
      <c r="S358" s="73"/>
    </row>
    <row r="359" spans="1:19" x14ac:dyDescent="0.25">
      <c r="B359" s="71" t="s">
        <v>95</v>
      </c>
      <c r="C359" s="72">
        <v>1</v>
      </c>
      <c r="D359" s="73">
        <f>$C359*VLOOKUP($B359,FoodDB!$A$2:$I$1024,3,0)</f>
        <v>0</v>
      </c>
      <c r="E359" s="73">
        <f>$C359*VLOOKUP($B359,FoodDB!$A$2:$I$1024,4,0)</f>
        <v>0</v>
      </c>
      <c r="F359" s="73">
        <f>$C359*VLOOKUP($B359,FoodDB!$A$2:$I$1024,5,0)</f>
        <v>0</v>
      </c>
      <c r="G359" s="73">
        <f>$C359*VLOOKUP($B359,FoodDB!$A$2:$I$1024,6,0)</f>
        <v>0</v>
      </c>
      <c r="H359" s="73">
        <f>$C359*VLOOKUP($B359,FoodDB!$A$2:$I$1024,7,0)</f>
        <v>0</v>
      </c>
      <c r="I359" s="73">
        <f>$C359*VLOOKUP($B359,FoodDB!$A$2:$I$1024,8,0)</f>
        <v>0</v>
      </c>
      <c r="J359" s="73">
        <f>$C359*VLOOKUP($B359,FoodDB!$A$2:$I$1024,9,0)</f>
        <v>0</v>
      </c>
      <c r="K359" s="73"/>
      <c r="L359" s="73"/>
      <c r="M359" s="73"/>
      <c r="N359" s="73"/>
      <c r="O359" s="73"/>
      <c r="P359" s="73"/>
      <c r="Q359" s="73"/>
      <c r="R359" s="73"/>
      <c r="S359" s="73"/>
    </row>
    <row r="360" spans="1:19" x14ac:dyDescent="0.25">
      <c r="A360" t="s">
        <v>99</v>
      </c>
      <c r="D360" s="73"/>
      <c r="E360" s="73"/>
      <c r="F360" s="73"/>
      <c r="G360" s="73">
        <f>SUM(G353:G359)</f>
        <v>0</v>
      </c>
      <c r="H360" s="73">
        <f>SUM(H353:H359)</f>
        <v>0</v>
      </c>
      <c r="I360" s="73">
        <f>SUM(I353:I359)</f>
        <v>0</v>
      </c>
      <c r="J360" s="73">
        <f>SUM(G360:I360)</f>
        <v>0</v>
      </c>
      <c r="K360" s="73"/>
      <c r="L360" s="73"/>
      <c r="M360" s="73"/>
      <c r="N360" s="73"/>
      <c r="O360" s="73"/>
      <c r="P360" s="73"/>
      <c r="Q360" s="73"/>
      <c r="R360" s="73"/>
      <c r="S360" s="73"/>
    </row>
    <row r="361" spans="1:19" x14ac:dyDescent="0.25">
      <c r="A361" t="s">
        <v>100</v>
      </c>
      <c r="B361" t="s">
        <v>101</v>
      </c>
      <c r="D361" s="73"/>
      <c r="E361" s="73"/>
      <c r="F361" s="73"/>
      <c r="G361" s="73">
        <f>VLOOKUP($A353,LossChart!$A$3:$AB$73,14,0)</f>
        <v>602.62670419511005</v>
      </c>
      <c r="H361" s="73">
        <f>VLOOKUP($A353,LossChart!$A$3:$AB$73,15,0)</f>
        <v>80</v>
      </c>
      <c r="I361" s="73">
        <f>VLOOKUP($A353,LossChart!$A$3:$AB$73,16,0)</f>
        <v>463.76562996293683</v>
      </c>
      <c r="J361" s="73">
        <f>VLOOKUP($A353,LossChart!$A$3:$AB$73,17,0)</f>
        <v>1146.3923341580469</v>
      </c>
      <c r="K361" s="73"/>
      <c r="L361" s="73"/>
      <c r="M361" s="73"/>
      <c r="N361" s="73"/>
      <c r="O361" s="73"/>
      <c r="P361" s="73"/>
      <c r="Q361" s="73"/>
      <c r="R361" s="73"/>
      <c r="S361" s="73"/>
    </row>
    <row r="362" spans="1:19" x14ac:dyDescent="0.25">
      <c r="A362" t="s">
        <v>102</v>
      </c>
      <c r="D362" s="73"/>
      <c r="E362" s="73"/>
      <c r="F362" s="73"/>
      <c r="G362" s="73">
        <f>G361-G360</f>
        <v>602.62670419511005</v>
      </c>
      <c r="H362" s="73">
        <f>H361-H360</f>
        <v>80</v>
      </c>
      <c r="I362" s="73">
        <f>I361-I360</f>
        <v>463.76562996293683</v>
      </c>
      <c r="J362" s="73">
        <f>J361-J360</f>
        <v>1146.3923341580469</v>
      </c>
      <c r="K362" s="73"/>
      <c r="L362" s="73"/>
      <c r="M362" s="73"/>
      <c r="N362" s="73"/>
      <c r="O362" s="73"/>
      <c r="P362" s="73"/>
      <c r="Q362" s="73"/>
      <c r="R362" s="73"/>
      <c r="S362" s="73"/>
    </row>
    <row r="364" spans="1:19" ht="60" x14ac:dyDescent="0.25">
      <c r="A364" s="25" t="s">
        <v>63</v>
      </c>
      <c r="B364" s="25" t="s">
        <v>80</v>
      </c>
      <c r="C364" s="25" t="s">
        <v>81</v>
      </c>
      <c r="D364" s="69" t="str">
        <f>FoodDB!$C$1</f>
        <v>Fat
(g)</v>
      </c>
      <c r="E364" s="69" t="str">
        <f>FoodDB!$D$1</f>
        <v xml:space="preserve"> Net
Carbs
(g)</v>
      </c>
      <c r="F364" s="69" t="str">
        <f>FoodDB!$E$1</f>
        <v>Protein
(g)</v>
      </c>
      <c r="G364" s="69" t="str">
        <f>FoodDB!$F$1</f>
        <v>Fat
(Cal)</v>
      </c>
      <c r="H364" s="69" t="str">
        <f>FoodDB!$G$1</f>
        <v>Carb
(Cal)</v>
      </c>
      <c r="I364" s="69" t="str">
        <f>FoodDB!$H$1</f>
        <v>Protein
(Cal)</v>
      </c>
      <c r="J364" s="69" t="str">
        <f>FoodDB!$I$1</f>
        <v>Total
Calories</v>
      </c>
      <c r="K364" s="69"/>
      <c r="L364" s="69" t="s">
        <v>82</v>
      </c>
      <c r="M364" s="69" t="s">
        <v>83</v>
      </c>
      <c r="N364" s="69" t="s">
        <v>84</v>
      </c>
      <c r="O364" s="69" t="s">
        <v>85</v>
      </c>
      <c r="P364" s="69" t="s">
        <v>86</v>
      </c>
      <c r="Q364" s="69" t="s">
        <v>87</v>
      </c>
      <c r="R364" s="69" t="s">
        <v>88</v>
      </c>
      <c r="S364" s="69" t="s">
        <v>89</v>
      </c>
    </row>
    <row r="365" spans="1:19" x14ac:dyDescent="0.25">
      <c r="A365" s="70">
        <f>A353+1</f>
        <v>43061</v>
      </c>
      <c r="B365" s="71" t="s">
        <v>95</v>
      </c>
      <c r="C365" s="72">
        <v>1</v>
      </c>
      <c r="D365" s="73">
        <f>$C365*VLOOKUP($B365,FoodDB!$A$2:$I$1024,3,0)</f>
        <v>0</v>
      </c>
      <c r="E365" s="73">
        <f>$C365*VLOOKUP($B365,FoodDB!$A$2:$I$1024,4,0)</f>
        <v>0</v>
      </c>
      <c r="F365" s="73">
        <f>$C365*VLOOKUP($B365,FoodDB!$A$2:$I$1024,5,0)</f>
        <v>0</v>
      </c>
      <c r="G365" s="73">
        <f>$C365*VLOOKUP($B365,FoodDB!$A$2:$I$1024,6,0)</f>
        <v>0</v>
      </c>
      <c r="H365" s="73">
        <f>$C365*VLOOKUP($B365,FoodDB!$A$2:$I$1024,7,0)</f>
        <v>0</v>
      </c>
      <c r="I365" s="73">
        <f>$C365*VLOOKUP($B365,FoodDB!$A$2:$I$1024,8,0)</f>
        <v>0</v>
      </c>
      <c r="J365" s="73">
        <f>$C365*VLOOKUP($B365,FoodDB!$A$2:$I$1024,9,0)</f>
        <v>0</v>
      </c>
      <c r="K365" s="73"/>
      <c r="L365" s="73">
        <f>SUM(G365:G371)</f>
        <v>0</v>
      </c>
      <c r="M365" s="73">
        <f>SUM(H365:H371)</f>
        <v>0</v>
      </c>
      <c r="N365" s="73">
        <f>SUM(I365:I371)</f>
        <v>0</v>
      </c>
      <c r="O365" s="73">
        <f>SUM(L365:N365)</f>
        <v>0</v>
      </c>
      <c r="P365" s="73">
        <f>VLOOKUP($A365,LossChart!$A$3:$AB$73,14,0)-L365</f>
        <v>608.70293313575394</v>
      </c>
      <c r="Q365" s="73">
        <f>VLOOKUP($A365,LossChart!$A$3:$AB$73,15,0)-M365</f>
        <v>80</v>
      </c>
      <c r="R365" s="73">
        <f>VLOOKUP($A365,LossChart!$A$3:$AB$73,16,0)-N365</f>
        <v>463.76562996293683</v>
      </c>
      <c r="S365" s="73">
        <f>VLOOKUP($A365,LossChart!$A$3:$AB$73,17,0)-O365</f>
        <v>1152.4685630986908</v>
      </c>
    </row>
    <row r="366" spans="1:19" x14ac:dyDescent="0.25">
      <c r="B366" s="71" t="s">
        <v>95</v>
      </c>
      <c r="C366" s="72">
        <v>1</v>
      </c>
      <c r="D366" s="73">
        <f>$C366*VLOOKUP($B366,FoodDB!$A$2:$I$1024,3,0)</f>
        <v>0</v>
      </c>
      <c r="E366" s="73">
        <f>$C366*VLOOKUP($B366,FoodDB!$A$2:$I$1024,4,0)</f>
        <v>0</v>
      </c>
      <c r="F366" s="73">
        <f>$C366*VLOOKUP($B366,FoodDB!$A$2:$I$1024,5,0)</f>
        <v>0</v>
      </c>
      <c r="G366" s="73">
        <f>$C366*VLOOKUP($B366,FoodDB!$A$2:$I$1024,6,0)</f>
        <v>0</v>
      </c>
      <c r="H366" s="73">
        <f>$C366*VLOOKUP($B366,FoodDB!$A$2:$I$1024,7,0)</f>
        <v>0</v>
      </c>
      <c r="I366" s="73">
        <f>$C366*VLOOKUP($B366,FoodDB!$A$2:$I$1024,8,0)</f>
        <v>0</v>
      </c>
      <c r="J366" s="73">
        <f>$C366*VLOOKUP($B366,FoodDB!$A$2:$I$1024,9,0)</f>
        <v>0</v>
      </c>
      <c r="K366" s="73"/>
      <c r="L366" s="73"/>
      <c r="M366" s="73"/>
      <c r="N366" s="73"/>
      <c r="O366" s="73"/>
      <c r="P366" s="73"/>
      <c r="Q366" s="73"/>
      <c r="R366" s="73"/>
      <c r="S366" s="73"/>
    </row>
    <row r="367" spans="1:19" x14ac:dyDescent="0.25">
      <c r="B367" s="71" t="s">
        <v>95</v>
      </c>
      <c r="C367" s="72">
        <v>1</v>
      </c>
      <c r="D367" s="73">
        <f>$C367*VLOOKUP($B367,FoodDB!$A$2:$I$1024,3,0)</f>
        <v>0</v>
      </c>
      <c r="E367" s="73">
        <f>$C367*VLOOKUP($B367,FoodDB!$A$2:$I$1024,4,0)</f>
        <v>0</v>
      </c>
      <c r="F367" s="73">
        <f>$C367*VLOOKUP($B367,FoodDB!$A$2:$I$1024,5,0)</f>
        <v>0</v>
      </c>
      <c r="G367" s="73">
        <f>$C367*VLOOKUP($B367,FoodDB!$A$2:$I$1024,6,0)</f>
        <v>0</v>
      </c>
      <c r="H367" s="73">
        <f>$C367*VLOOKUP($B367,FoodDB!$A$2:$I$1024,7,0)</f>
        <v>0</v>
      </c>
      <c r="I367" s="73">
        <f>$C367*VLOOKUP($B367,FoodDB!$A$2:$I$1024,8,0)</f>
        <v>0</v>
      </c>
      <c r="J367" s="73">
        <f>$C367*VLOOKUP($B367,FoodDB!$A$2:$I$1024,9,0)</f>
        <v>0</v>
      </c>
      <c r="K367" s="73"/>
      <c r="L367" s="73"/>
      <c r="M367" s="73"/>
      <c r="N367" s="73"/>
      <c r="O367" s="73"/>
      <c r="P367" s="73"/>
      <c r="Q367" s="73"/>
      <c r="R367" s="73"/>
      <c r="S367" s="73"/>
    </row>
    <row r="368" spans="1:19" x14ac:dyDescent="0.25">
      <c r="B368" s="71" t="s">
        <v>95</v>
      </c>
      <c r="C368" s="72">
        <v>1</v>
      </c>
      <c r="D368" s="73">
        <f>$C368*VLOOKUP($B368,FoodDB!$A$2:$I$1024,3,0)</f>
        <v>0</v>
      </c>
      <c r="E368" s="73">
        <f>$C368*VLOOKUP($B368,FoodDB!$A$2:$I$1024,4,0)</f>
        <v>0</v>
      </c>
      <c r="F368" s="73">
        <f>$C368*VLOOKUP($B368,FoodDB!$A$2:$I$1024,5,0)</f>
        <v>0</v>
      </c>
      <c r="G368" s="73">
        <f>$C368*VLOOKUP($B368,FoodDB!$A$2:$I$1024,6,0)</f>
        <v>0</v>
      </c>
      <c r="H368" s="73">
        <f>$C368*VLOOKUP($B368,FoodDB!$A$2:$I$1024,7,0)</f>
        <v>0</v>
      </c>
      <c r="I368" s="73">
        <f>$C368*VLOOKUP($B368,FoodDB!$A$2:$I$1024,8,0)</f>
        <v>0</v>
      </c>
      <c r="J368" s="73">
        <f>$C368*VLOOKUP($B368,FoodDB!$A$2:$I$1024,9,0)</f>
        <v>0</v>
      </c>
      <c r="K368" s="73"/>
      <c r="L368" s="73"/>
      <c r="M368" s="73"/>
      <c r="N368" s="73"/>
      <c r="O368" s="73"/>
      <c r="P368" s="73"/>
      <c r="Q368" s="73"/>
      <c r="R368" s="73"/>
      <c r="S368" s="73"/>
    </row>
    <row r="369" spans="1:19" x14ac:dyDescent="0.25">
      <c r="B369" s="71" t="s">
        <v>95</v>
      </c>
      <c r="C369" s="72">
        <v>1</v>
      </c>
      <c r="D369" s="73">
        <f>$C369*VLOOKUP($B369,FoodDB!$A$2:$I$1024,3,0)</f>
        <v>0</v>
      </c>
      <c r="E369" s="73">
        <f>$C369*VLOOKUP($B369,FoodDB!$A$2:$I$1024,4,0)</f>
        <v>0</v>
      </c>
      <c r="F369" s="73">
        <f>$C369*VLOOKUP($B369,FoodDB!$A$2:$I$1024,5,0)</f>
        <v>0</v>
      </c>
      <c r="G369" s="73">
        <f>$C369*VLOOKUP($B369,FoodDB!$A$2:$I$1024,6,0)</f>
        <v>0</v>
      </c>
      <c r="H369" s="73">
        <f>$C369*VLOOKUP($B369,FoodDB!$A$2:$I$1024,7,0)</f>
        <v>0</v>
      </c>
      <c r="I369" s="73">
        <f>$C369*VLOOKUP($B369,FoodDB!$A$2:$I$1024,8,0)</f>
        <v>0</v>
      </c>
      <c r="J369" s="73">
        <f>$C369*VLOOKUP($B369,FoodDB!$A$2:$I$1024,9,0)</f>
        <v>0</v>
      </c>
      <c r="K369" s="73"/>
      <c r="L369" s="73"/>
      <c r="M369" s="73"/>
      <c r="N369" s="73"/>
      <c r="O369" s="73"/>
      <c r="P369" s="73"/>
      <c r="Q369" s="73"/>
      <c r="R369" s="73"/>
      <c r="S369" s="73"/>
    </row>
    <row r="370" spans="1:19" x14ac:dyDescent="0.25">
      <c r="B370" s="71" t="s">
        <v>95</v>
      </c>
      <c r="C370" s="72">
        <v>1</v>
      </c>
      <c r="D370" s="73">
        <f>$C370*VLOOKUP($B370,FoodDB!$A$2:$I$1024,3,0)</f>
        <v>0</v>
      </c>
      <c r="E370" s="73">
        <f>$C370*VLOOKUP($B370,FoodDB!$A$2:$I$1024,4,0)</f>
        <v>0</v>
      </c>
      <c r="F370" s="73">
        <f>$C370*VLOOKUP($B370,FoodDB!$A$2:$I$1024,5,0)</f>
        <v>0</v>
      </c>
      <c r="G370" s="73">
        <f>$C370*VLOOKUP($B370,FoodDB!$A$2:$I$1024,6,0)</f>
        <v>0</v>
      </c>
      <c r="H370" s="73">
        <f>$C370*VLOOKUP($B370,FoodDB!$A$2:$I$1024,7,0)</f>
        <v>0</v>
      </c>
      <c r="I370" s="73">
        <f>$C370*VLOOKUP($B370,FoodDB!$A$2:$I$1024,8,0)</f>
        <v>0</v>
      </c>
      <c r="J370" s="73">
        <f>$C370*VLOOKUP($B370,FoodDB!$A$2:$I$1024,9,0)</f>
        <v>0</v>
      </c>
      <c r="K370" s="73"/>
      <c r="L370" s="73"/>
      <c r="M370" s="73"/>
      <c r="N370" s="73"/>
      <c r="O370" s="73"/>
      <c r="P370" s="73"/>
      <c r="Q370" s="73"/>
      <c r="R370" s="73"/>
      <c r="S370" s="73"/>
    </row>
    <row r="371" spans="1:19" x14ac:dyDescent="0.25">
      <c r="B371" s="71" t="s">
        <v>95</v>
      </c>
      <c r="C371" s="72">
        <v>1</v>
      </c>
      <c r="D371" s="73">
        <f>$C371*VLOOKUP($B371,FoodDB!$A$2:$I$1024,3,0)</f>
        <v>0</v>
      </c>
      <c r="E371" s="73">
        <f>$C371*VLOOKUP($B371,FoodDB!$A$2:$I$1024,4,0)</f>
        <v>0</v>
      </c>
      <c r="F371" s="73">
        <f>$C371*VLOOKUP($B371,FoodDB!$A$2:$I$1024,5,0)</f>
        <v>0</v>
      </c>
      <c r="G371" s="73">
        <f>$C371*VLOOKUP($B371,FoodDB!$A$2:$I$1024,6,0)</f>
        <v>0</v>
      </c>
      <c r="H371" s="73">
        <f>$C371*VLOOKUP($B371,FoodDB!$A$2:$I$1024,7,0)</f>
        <v>0</v>
      </c>
      <c r="I371" s="73">
        <f>$C371*VLOOKUP($B371,FoodDB!$A$2:$I$1024,8,0)</f>
        <v>0</v>
      </c>
      <c r="J371" s="73">
        <f>$C371*VLOOKUP($B371,FoodDB!$A$2:$I$1024,9,0)</f>
        <v>0</v>
      </c>
      <c r="K371" s="73"/>
      <c r="L371" s="73"/>
      <c r="M371" s="73"/>
      <c r="N371" s="73"/>
      <c r="O371" s="73"/>
      <c r="P371" s="73"/>
      <c r="Q371" s="73"/>
      <c r="R371" s="73"/>
      <c r="S371" s="73"/>
    </row>
    <row r="372" spans="1:19" x14ac:dyDescent="0.25">
      <c r="A372" t="s">
        <v>99</v>
      </c>
      <c r="D372" s="73"/>
      <c r="E372" s="73"/>
      <c r="F372" s="73"/>
      <c r="G372" s="73">
        <f>SUM(G365:G371)</f>
        <v>0</v>
      </c>
      <c r="H372" s="73">
        <f>SUM(H365:H371)</f>
        <v>0</v>
      </c>
      <c r="I372" s="73">
        <f>SUM(I365:I371)</f>
        <v>0</v>
      </c>
      <c r="J372" s="73">
        <f>SUM(G372:I372)</f>
        <v>0</v>
      </c>
      <c r="K372" s="73"/>
      <c r="L372" s="73"/>
      <c r="M372" s="73"/>
      <c r="N372" s="73"/>
      <c r="O372" s="73"/>
      <c r="P372" s="73"/>
      <c r="Q372" s="73"/>
      <c r="R372" s="73"/>
      <c r="S372" s="73"/>
    </row>
    <row r="373" spans="1:19" x14ac:dyDescent="0.25">
      <c r="A373" t="s">
        <v>100</v>
      </c>
      <c r="B373" t="s">
        <v>101</v>
      </c>
      <c r="D373" s="73"/>
      <c r="E373" s="73"/>
      <c r="F373" s="73"/>
      <c r="G373" s="73">
        <f>VLOOKUP($A365,LossChart!$A$3:$AB$73,14,0)</f>
        <v>608.70293313575394</v>
      </c>
      <c r="H373" s="73">
        <f>VLOOKUP($A365,LossChart!$A$3:$AB$73,15,0)</f>
        <v>80</v>
      </c>
      <c r="I373" s="73">
        <f>VLOOKUP($A365,LossChart!$A$3:$AB$73,16,0)</f>
        <v>463.76562996293683</v>
      </c>
      <c r="J373" s="73">
        <f>VLOOKUP($A365,LossChart!$A$3:$AB$73,17,0)</f>
        <v>1152.4685630986908</v>
      </c>
      <c r="K373" s="73"/>
      <c r="L373" s="73"/>
      <c r="M373" s="73"/>
      <c r="N373" s="73"/>
      <c r="O373" s="73"/>
      <c r="P373" s="73"/>
      <c r="Q373" s="73"/>
      <c r="R373" s="73"/>
      <c r="S373" s="73"/>
    </row>
    <row r="374" spans="1:19" x14ac:dyDescent="0.25">
      <c r="A374" t="s">
        <v>102</v>
      </c>
      <c r="D374" s="73"/>
      <c r="E374" s="73"/>
      <c r="F374" s="73"/>
      <c r="G374" s="73">
        <f>G373-G372</f>
        <v>608.70293313575394</v>
      </c>
      <c r="H374" s="73">
        <f>H373-H372</f>
        <v>80</v>
      </c>
      <c r="I374" s="73">
        <f>I373-I372</f>
        <v>463.76562996293683</v>
      </c>
      <c r="J374" s="73">
        <f>J373-J372</f>
        <v>1152.4685630986908</v>
      </c>
      <c r="K374" s="73"/>
      <c r="L374" s="73"/>
      <c r="M374" s="73"/>
      <c r="N374" s="73"/>
      <c r="O374" s="73"/>
      <c r="P374" s="73"/>
      <c r="Q374" s="73"/>
      <c r="R374" s="73"/>
      <c r="S374" s="73"/>
    </row>
    <row r="376" spans="1:19" ht="60" x14ac:dyDescent="0.25">
      <c r="A376" s="25" t="s">
        <v>63</v>
      </c>
      <c r="B376" s="25" t="s">
        <v>80</v>
      </c>
      <c r="C376" s="25" t="s">
        <v>81</v>
      </c>
      <c r="D376" s="69" t="str">
        <f>FoodDB!$C$1</f>
        <v>Fat
(g)</v>
      </c>
      <c r="E376" s="69" t="str">
        <f>FoodDB!$D$1</f>
        <v xml:space="preserve"> Net
Carbs
(g)</v>
      </c>
      <c r="F376" s="69" t="str">
        <f>FoodDB!$E$1</f>
        <v>Protein
(g)</v>
      </c>
      <c r="G376" s="69" t="str">
        <f>FoodDB!$F$1</f>
        <v>Fat
(Cal)</v>
      </c>
      <c r="H376" s="69" t="str">
        <f>FoodDB!$G$1</f>
        <v>Carb
(Cal)</v>
      </c>
      <c r="I376" s="69" t="str">
        <f>FoodDB!$H$1</f>
        <v>Protein
(Cal)</v>
      </c>
      <c r="J376" s="69" t="str">
        <f>FoodDB!$I$1</f>
        <v>Total
Calories</v>
      </c>
      <c r="K376" s="69"/>
      <c r="L376" s="69" t="s">
        <v>82</v>
      </c>
      <c r="M376" s="69" t="s">
        <v>83</v>
      </c>
      <c r="N376" s="69" t="s">
        <v>84</v>
      </c>
      <c r="O376" s="69" t="s">
        <v>85</v>
      </c>
      <c r="P376" s="69" t="s">
        <v>86</v>
      </c>
      <c r="Q376" s="69" t="s">
        <v>87</v>
      </c>
      <c r="R376" s="69" t="s">
        <v>88</v>
      </c>
      <c r="S376" s="69" t="s">
        <v>89</v>
      </c>
    </row>
    <row r="377" spans="1:19" x14ac:dyDescent="0.25">
      <c r="A377" s="70">
        <f>A365+1</f>
        <v>43062</v>
      </c>
      <c r="B377" s="71" t="s">
        <v>95</v>
      </c>
      <c r="C377" s="72">
        <v>1</v>
      </c>
      <c r="D377" s="73">
        <f>$C377*VLOOKUP($B377,FoodDB!$A$2:$I$1024,3,0)</f>
        <v>0</v>
      </c>
      <c r="E377" s="73">
        <f>$C377*VLOOKUP($B377,FoodDB!$A$2:$I$1024,4,0)</f>
        <v>0</v>
      </c>
      <c r="F377" s="73">
        <f>$C377*VLOOKUP($B377,FoodDB!$A$2:$I$1024,5,0)</f>
        <v>0</v>
      </c>
      <c r="G377" s="73">
        <f>$C377*VLOOKUP($B377,FoodDB!$A$2:$I$1024,6,0)</f>
        <v>0</v>
      </c>
      <c r="H377" s="73">
        <f>$C377*VLOOKUP($B377,FoodDB!$A$2:$I$1024,7,0)</f>
        <v>0</v>
      </c>
      <c r="I377" s="73">
        <f>$C377*VLOOKUP($B377,FoodDB!$A$2:$I$1024,8,0)</f>
        <v>0</v>
      </c>
      <c r="J377" s="73">
        <f>$C377*VLOOKUP($B377,FoodDB!$A$2:$I$1024,9,0)</f>
        <v>0</v>
      </c>
      <c r="K377" s="73"/>
      <c r="L377" s="73">
        <f>SUM(G377:G383)</f>
        <v>0</v>
      </c>
      <c r="M377" s="73">
        <f>SUM(H377:H383)</f>
        <v>0</v>
      </c>
      <c r="N377" s="73">
        <f>SUM(I377:I383)</f>
        <v>0</v>
      </c>
      <c r="O377" s="73">
        <f>SUM(L377:N377)</f>
        <v>0</v>
      </c>
      <c r="P377" s="73">
        <f>VLOOKUP($A377,LossChart!$A$3:$AB$73,14,0)-L377</f>
        <v>614.72534404863768</v>
      </c>
      <c r="Q377" s="73">
        <f>VLOOKUP($A377,LossChart!$A$3:$AB$73,15,0)-M377</f>
        <v>80</v>
      </c>
      <c r="R377" s="73">
        <f>VLOOKUP($A377,LossChart!$A$3:$AB$73,16,0)-N377</f>
        <v>463.76562996293683</v>
      </c>
      <c r="S377" s="73">
        <f>VLOOKUP($A377,LossChart!$A$3:$AB$73,17,0)-O377</f>
        <v>1158.4909740115745</v>
      </c>
    </row>
    <row r="378" spans="1:19" x14ac:dyDescent="0.25">
      <c r="B378" s="71" t="s">
        <v>95</v>
      </c>
      <c r="C378" s="72">
        <v>1</v>
      </c>
      <c r="D378" s="73">
        <f>$C378*VLOOKUP($B378,FoodDB!$A$2:$I$1024,3,0)</f>
        <v>0</v>
      </c>
      <c r="E378" s="73">
        <f>$C378*VLOOKUP($B378,FoodDB!$A$2:$I$1024,4,0)</f>
        <v>0</v>
      </c>
      <c r="F378" s="73">
        <f>$C378*VLOOKUP($B378,FoodDB!$A$2:$I$1024,5,0)</f>
        <v>0</v>
      </c>
      <c r="G378" s="73">
        <f>$C378*VLOOKUP($B378,FoodDB!$A$2:$I$1024,6,0)</f>
        <v>0</v>
      </c>
      <c r="H378" s="73">
        <f>$C378*VLOOKUP($B378,FoodDB!$A$2:$I$1024,7,0)</f>
        <v>0</v>
      </c>
      <c r="I378" s="73">
        <f>$C378*VLOOKUP($B378,FoodDB!$A$2:$I$1024,8,0)</f>
        <v>0</v>
      </c>
      <c r="J378" s="73">
        <f>$C378*VLOOKUP($B378,FoodDB!$A$2:$I$1024,9,0)</f>
        <v>0</v>
      </c>
      <c r="K378" s="73"/>
      <c r="L378" s="73"/>
      <c r="M378" s="73"/>
      <c r="N378" s="73"/>
      <c r="O378" s="73"/>
      <c r="P378" s="73"/>
      <c r="Q378" s="73"/>
      <c r="R378" s="73"/>
      <c r="S378" s="73"/>
    </row>
    <row r="379" spans="1:19" x14ac:dyDescent="0.25">
      <c r="B379" s="71" t="s">
        <v>95</v>
      </c>
      <c r="C379" s="72">
        <v>1</v>
      </c>
      <c r="D379" s="73">
        <f>$C379*VLOOKUP($B379,FoodDB!$A$2:$I$1024,3,0)</f>
        <v>0</v>
      </c>
      <c r="E379" s="73">
        <f>$C379*VLOOKUP($B379,FoodDB!$A$2:$I$1024,4,0)</f>
        <v>0</v>
      </c>
      <c r="F379" s="73">
        <f>$C379*VLOOKUP($B379,FoodDB!$A$2:$I$1024,5,0)</f>
        <v>0</v>
      </c>
      <c r="G379" s="73">
        <f>$C379*VLOOKUP($B379,FoodDB!$A$2:$I$1024,6,0)</f>
        <v>0</v>
      </c>
      <c r="H379" s="73">
        <f>$C379*VLOOKUP($B379,FoodDB!$A$2:$I$1024,7,0)</f>
        <v>0</v>
      </c>
      <c r="I379" s="73">
        <f>$C379*VLOOKUP($B379,FoodDB!$A$2:$I$1024,8,0)</f>
        <v>0</v>
      </c>
      <c r="J379" s="73">
        <f>$C379*VLOOKUP($B379,FoodDB!$A$2:$I$1024,9,0)</f>
        <v>0</v>
      </c>
      <c r="K379" s="73"/>
      <c r="L379" s="73"/>
      <c r="M379" s="73"/>
      <c r="N379" s="73"/>
      <c r="O379" s="73"/>
      <c r="P379" s="73"/>
      <c r="Q379" s="73"/>
      <c r="R379" s="73"/>
      <c r="S379" s="73"/>
    </row>
    <row r="380" spans="1:19" x14ac:dyDescent="0.25">
      <c r="B380" s="71" t="s">
        <v>95</v>
      </c>
      <c r="C380" s="72">
        <v>1</v>
      </c>
      <c r="D380" s="73">
        <f>$C380*VLOOKUP($B380,FoodDB!$A$2:$I$1024,3,0)</f>
        <v>0</v>
      </c>
      <c r="E380" s="73">
        <f>$C380*VLOOKUP($B380,FoodDB!$A$2:$I$1024,4,0)</f>
        <v>0</v>
      </c>
      <c r="F380" s="73">
        <f>$C380*VLOOKUP($B380,FoodDB!$A$2:$I$1024,5,0)</f>
        <v>0</v>
      </c>
      <c r="G380" s="73">
        <f>$C380*VLOOKUP($B380,FoodDB!$A$2:$I$1024,6,0)</f>
        <v>0</v>
      </c>
      <c r="H380" s="73">
        <f>$C380*VLOOKUP($B380,FoodDB!$A$2:$I$1024,7,0)</f>
        <v>0</v>
      </c>
      <c r="I380" s="73">
        <f>$C380*VLOOKUP($B380,FoodDB!$A$2:$I$1024,8,0)</f>
        <v>0</v>
      </c>
      <c r="J380" s="73">
        <f>$C380*VLOOKUP($B380,FoodDB!$A$2:$I$1024,9,0)</f>
        <v>0</v>
      </c>
      <c r="K380" s="73"/>
      <c r="L380" s="73"/>
      <c r="M380" s="73"/>
      <c r="N380" s="73"/>
      <c r="O380" s="73"/>
      <c r="P380" s="73"/>
      <c r="Q380" s="73"/>
      <c r="R380" s="73"/>
      <c r="S380" s="73"/>
    </row>
    <row r="381" spans="1:19" x14ac:dyDescent="0.25">
      <c r="B381" s="71" t="s">
        <v>95</v>
      </c>
      <c r="C381" s="72">
        <v>1</v>
      </c>
      <c r="D381" s="73">
        <f>$C381*VLOOKUP($B381,FoodDB!$A$2:$I$1024,3,0)</f>
        <v>0</v>
      </c>
      <c r="E381" s="73">
        <f>$C381*VLOOKUP($B381,FoodDB!$A$2:$I$1024,4,0)</f>
        <v>0</v>
      </c>
      <c r="F381" s="73">
        <f>$C381*VLOOKUP($B381,FoodDB!$A$2:$I$1024,5,0)</f>
        <v>0</v>
      </c>
      <c r="G381" s="73">
        <f>$C381*VLOOKUP($B381,FoodDB!$A$2:$I$1024,6,0)</f>
        <v>0</v>
      </c>
      <c r="H381" s="73">
        <f>$C381*VLOOKUP($B381,FoodDB!$A$2:$I$1024,7,0)</f>
        <v>0</v>
      </c>
      <c r="I381" s="73">
        <f>$C381*VLOOKUP($B381,FoodDB!$A$2:$I$1024,8,0)</f>
        <v>0</v>
      </c>
      <c r="J381" s="73">
        <f>$C381*VLOOKUP($B381,FoodDB!$A$2:$I$1024,9,0)</f>
        <v>0</v>
      </c>
      <c r="K381" s="73"/>
      <c r="L381" s="73"/>
      <c r="M381" s="73"/>
      <c r="N381" s="73"/>
      <c r="O381" s="73"/>
      <c r="P381" s="73"/>
      <c r="Q381" s="73"/>
      <c r="R381" s="73"/>
      <c r="S381" s="73"/>
    </row>
    <row r="382" spans="1:19" x14ac:dyDescent="0.25">
      <c r="B382" s="71" t="s">
        <v>95</v>
      </c>
      <c r="C382" s="72">
        <v>1</v>
      </c>
      <c r="D382" s="73">
        <f>$C382*VLOOKUP($B382,FoodDB!$A$2:$I$1024,3,0)</f>
        <v>0</v>
      </c>
      <c r="E382" s="73">
        <f>$C382*VLOOKUP($B382,FoodDB!$A$2:$I$1024,4,0)</f>
        <v>0</v>
      </c>
      <c r="F382" s="73">
        <f>$C382*VLOOKUP($B382,FoodDB!$A$2:$I$1024,5,0)</f>
        <v>0</v>
      </c>
      <c r="G382" s="73">
        <f>$C382*VLOOKUP($B382,FoodDB!$A$2:$I$1024,6,0)</f>
        <v>0</v>
      </c>
      <c r="H382" s="73">
        <f>$C382*VLOOKUP($B382,FoodDB!$A$2:$I$1024,7,0)</f>
        <v>0</v>
      </c>
      <c r="I382" s="73">
        <f>$C382*VLOOKUP($B382,FoodDB!$A$2:$I$1024,8,0)</f>
        <v>0</v>
      </c>
      <c r="J382" s="73">
        <f>$C382*VLOOKUP($B382,FoodDB!$A$2:$I$1024,9,0)</f>
        <v>0</v>
      </c>
      <c r="K382" s="73"/>
      <c r="L382" s="73"/>
      <c r="M382" s="73"/>
      <c r="N382" s="73"/>
      <c r="O382" s="73"/>
      <c r="P382" s="73"/>
      <c r="Q382" s="73"/>
      <c r="R382" s="73"/>
      <c r="S382" s="73"/>
    </row>
    <row r="383" spans="1:19" x14ac:dyDescent="0.25">
      <c r="B383" s="71" t="s">
        <v>95</v>
      </c>
      <c r="C383" s="72">
        <v>1</v>
      </c>
      <c r="D383" s="73">
        <f>$C383*VLOOKUP($B383,FoodDB!$A$2:$I$1024,3,0)</f>
        <v>0</v>
      </c>
      <c r="E383" s="73">
        <f>$C383*VLOOKUP($B383,FoodDB!$A$2:$I$1024,4,0)</f>
        <v>0</v>
      </c>
      <c r="F383" s="73">
        <f>$C383*VLOOKUP($B383,FoodDB!$A$2:$I$1024,5,0)</f>
        <v>0</v>
      </c>
      <c r="G383" s="73">
        <f>$C383*VLOOKUP($B383,FoodDB!$A$2:$I$1024,6,0)</f>
        <v>0</v>
      </c>
      <c r="H383" s="73">
        <f>$C383*VLOOKUP($B383,FoodDB!$A$2:$I$1024,7,0)</f>
        <v>0</v>
      </c>
      <c r="I383" s="73">
        <f>$C383*VLOOKUP($B383,FoodDB!$A$2:$I$1024,8,0)</f>
        <v>0</v>
      </c>
      <c r="J383" s="73">
        <f>$C383*VLOOKUP($B383,FoodDB!$A$2:$I$1024,9,0)</f>
        <v>0</v>
      </c>
      <c r="K383" s="73"/>
      <c r="L383" s="73"/>
      <c r="M383" s="73"/>
      <c r="N383" s="73"/>
      <c r="O383" s="73"/>
      <c r="P383" s="73"/>
      <c r="Q383" s="73"/>
      <c r="R383" s="73"/>
      <c r="S383" s="73"/>
    </row>
    <row r="384" spans="1:19" x14ac:dyDescent="0.25">
      <c r="A384" t="s">
        <v>99</v>
      </c>
      <c r="D384" s="73"/>
      <c r="E384" s="73"/>
      <c r="F384" s="73"/>
      <c r="G384" s="73">
        <f>SUM(G377:G383)</f>
        <v>0</v>
      </c>
      <c r="H384" s="73">
        <f>SUM(H377:H383)</f>
        <v>0</v>
      </c>
      <c r="I384" s="73">
        <f>SUM(I377:I383)</f>
        <v>0</v>
      </c>
      <c r="J384" s="73">
        <f>SUM(G384:I384)</f>
        <v>0</v>
      </c>
      <c r="K384" s="73"/>
      <c r="L384" s="73"/>
      <c r="M384" s="73"/>
      <c r="N384" s="73"/>
      <c r="O384" s="73"/>
      <c r="P384" s="73"/>
      <c r="Q384" s="73"/>
      <c r="R384" s="73"/>
      <c r="S384" s="73"/>
    </row>
    <row r="385" spans="1:19" x14ac:dyDescent="0.25">
      <c r="A385" t="s">
        <v>100</v>
      </c>
      <c r="B385" t="s">
        <v>101</v>
      </c>
      <c r="D385" s="73"/>
      <c r="E385" s="73"/>
      <c r="F385" s="73"/>
      <c r="G385" s="73">
        <f>VLOOKUP($A377,LossChart!$A$3:$AB$73,14,0)</f>
        <v>614.72534404863768</v>
      </c>
      <c r="H385" s="73">
        <f>VLOOKUP($A377,LossChart!$A$3:$AB$73,15,0)</f>
        <v>80</v>
      </c>
      <c r="I385" s="73">
        <f>VLOOKUP($A377,LossChart!$A$3:$AB$73,16,0)</f>
        <v>463.76562996293683</v>
      </c>
      <c r="J385" s="73">
        <f>VLOOKUP($A377,LossChart!$A$3:$AB$73,17,0)</f>
        <v>1158.4909740115745</v>
      </c>
      <c r="K385" s="73"/>
      <c r="L385" s="73"/>
      <c r="M385" s="73"/>
      <c r="N385" s="73"/>
      <c r="O385" s="73"/>
      <c r="P385" s="73"/>
      <c r="Q385" s="73"/>
      <c r="R385" s="73"/>
      <c r="S385" s="73"/>
    </row>
    <row r="386" spans="1:19" x14ac:dyDescent="0.25">
      <c r="A386" t="s">
        <v>102</v>
      </c>
      <c r="D386" s="73"/>
      <c r="E386" s="73"/>
      <c r="F386" s="73"/>
      <c r="G386" s="73">
        <f>G385-G384</f>
        <v>614.72534404863768</v>
      </c>
      <c r="H386" s="73">
        <f>H385-H384</f>
        <v>80</v>
      </c>
      <c r="I386" s="73">
        <f>I385-I384</f>
        <v>463.76562996293683</v>
      </c>
      <c r="J386" s="73">
        <f>J385-J384</f>
        <v>1158.4909740115745</v>
      </c>
      <c r="K386" s="73"/>
      <c r="L386" s="73"/>
      <c r="M386" s="73"/>
      <c r="N386" s="73"/>
      <c r="O386" s="73"/>
      <c r="P386" s="73"/>
      <c r="Q386" s="73"/>
      <c r="R386" s="73"/>
      <c r="S386" s="73"/>
    </row>
    <row r="387" spans="1:19" x14ac:dyDescent="0.25"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</row>
    <row r="388" spans="1:19" ht="60" x14ac:dyDescent="0.25">
      <c r="A388" s="25" t="s">
        <v>63</v>
      </c>
      <c r="B388" s="25" t="s">
        <v>80</v>
      </c>
      <c r="C388" s="25" t="s">
        <v>81</v>
      </c>
      <c r="D388" s="69" t="str">
        <f>FoodDB!$C$1</f>
        <v>Fat
(g)</v>
      </c>
      <c r="E388" s="69" t="str">
        <f>FoodDB!$D$1</f>
        <v xml:space="preserve"> Net
Carbs
(g)</v>
      </c>
      <c r="F388" s="69" t="str">
        <f>FoodDB!$E$1</f>
        <v>Protein
(g)</v>
      </c>
      <c r="G388" s="69" t="str">
        <f>FoodDB!$F$1</f>
        <v>Fat
(Cal)</v>
      </c>
      <c r="H388" s="69" t="str">
        <f>FoodDB!$G$1</f>
        <v>Carb
(Cal)</v>
      </c>
      <c r="I388" s="69" t="str">
        <f>FoodDB!$H$1</f>
        <v>Protein
(Cal)</v>
      </c>
      <c r="J388" s="69" t="str">
        <f>FoodDB!$I$1</f>
        <v>Total
Calories</v>
      </c>
      <c r="K388" s="69"/>
      <c r="L388" s="69" t="s">
        <v>82</v>
      </c>
      <c r="M388" s="69" t="s">
        <v>83</v>
      </c>
      <c r="N388" s="69" t="s">
        <v>84</v>
      </c>
      <c r="O388" s="69" t="s">
        <v>85</v>
      </c>
      <c r="P388" s="69" t="s">
        <v>86</v>
      </c>
      <c r="Q388" s="69" t="s">
        <v>87</v>
      </c>
      <c r="R388" s="69" t="s">
        <v>88</v>
      </c>
      <c r="S388" s="69" t="s">
        <v>89</v>
      </c>
    </row>
    <row r="389" spans="1:19" x14ac:dyDescent="0.25">
      <c r="A389" s="70">
        <f>A377+1</f>
        <v>43063</v>
      </c>
      <c r="B389" s="71" t="s">
        <v>95</v>
      </c>
      <c r="C389" s="72">
        <v>1</v>
      </c>
      <c r="D389" s="73">
        <f>$C389*VLOOKUP($B389,FoodDB!$A$2:$I$1024,3,0)</f>
        <v>0</v>
      </c>
      <c r="E389" s="73">
        <f>$C389*VLOOKUP($B389,FoodDB!$A$2:$I$1024,4,0)</f>
        <v>0</v>
      </c>
      <c r="F389" s="73">
        <f>$C389*VLOOKUP($B389,FoodDB!$A$2:$I$1024,5,0)</f>
        <v>0</v>
      </c>
      <c r="G389" s="73">
        <f>$C389*VLOOKUP($B389,FoodDB!$A$2:$I$1024,6,0)</f>
        <v>0</v>
      </c>
      <c r="H389" s="73">
        <f>$C389*VLOOKUP($B389,FoodDB!$A$2:$I$1024,7,0)</f>
        <v>0</v>
      </c>
      <c r="I389" s="73">
        <f>$C389*VLOOKUP($B389,FoodDB!$A$2:$I$1024,8,0)</f>
        <v>0</v>
      </c>
      <c r="J389" s="73">
        <f>$C389*VLOOKUP($B389,FoodDB!$A$2:$I$1024,9,0)</f>
        <v>0</v>
      </c>
      <c r="K389" s="73"/>
      <c r="L389" s="73">
        <f>SUM(G389:G395)</f>
        <v>0</v>
      </c>
      <c r="M389" s="73">
        <f>SUM(H389:H395)</f>
        <v>0</v>
      </c>
      <c r="N389" s="73">
        <f>SUM(I389:I395)</f>
        <v>0</v>
      </c>
      <c r="O389" s="73">
        <f>SUM(L389:N389)</f>
        <v>0</v>
      </c>
      <c r="P389" s="73">
        <f>VLOOKUP($A389,LossChart!$A$3:$AB$73,14,0)-L389</f>
        <v>620.69441360772157</v>
      </c>
      <c r="Q389" s="73">
        <f>VLOOKUP($A389,LossChart!$A$3:$AB$73,15,0)-M389</f>
        <v>80</v>
      </c>
      <c r="R389" s="73">
        <f>VLOOKUP($A389,LossChart!$A$3:$AB$73,16,0)-N389</f>
        <v>463.76562996293683</v>
      </c>
      <c r="S389" s="73">
        <f>VLOOKUP($A389,LossChart!$A$3:$AB$73,17,0)-O389</f>
        <v>1164.4600435706584</v>
      </c>
    </row>
    <row r="390" spans="1:19" x14ac:dyDescent="0.25">
      <c r="B390" s="71" t="s">
        <v>95</v>
      </c>
      <c r="C390" s="72">
        <v>1</v>
      </c>
      <c r="D390" s="73">
        <f>$C390*VLOOKUP($B390,FoodDB!$A$2:$I$1024,3,0)</f>
        <v>0</v>
      </c>
      <c r="E390" s="73">
        <f>$C390*VLOOKUP($B390,FoodDB!$A$2:$I$1024,4,0)</f>
        <v>0</v>
      </c>
      <c r="F390" s="73">
        <f>$C390*VLOOKUP($B390,FoodDB!$A$2:$I$1024,5,0)</f>
        <v>0</v>
      </c>
      <c r="G390" s="73">
        <f>$C390*VLOOKUP($B390,FoodDB!$A$2:$I$1024,6,0)</f>
        <v>0</v>
      </c>
      <c r="H390" s="73">
        <f>$C390*VLOOKUP($B390,FoodDB!$A$2:$I$1024,7,0)</f>
        <v>0</v>
      </c>
      <c r="I390" s="73">
        <f>$C390*VLOOKUP($B390,FoodDB!$A$2:$I$1024,8,0)</f>
        <v>0</v>
      </c>
      <c r="J390" s="73">
        <f>$C390*VLOOKUP($B390,FoodDB!$A$2:$I$1024,9,0)</f>
        <v>0</v>
      </c>
      <c r="K390" s="73"/>
      <c r="L390" s="73"/>
      <c r="M390" s="73"/>
      <c r="N390" s="73"/>
      <c r="O390" s="73"/>
      <c r="P390" s="73"/>
      <c r="Q390" s="73"/>
      <c r="R390" s="73"/>
      <c r="S390" s="73"/>
    </row>
    <row r="391" spans="1:19" x14ac:dyDescent="0.25">
      <c r="B391" s="71" t="s">
        <v>95</v>
      </c>
      <c r="C391" s="72">
        <v>1</v>
      </c>
      <c r="D391" s="73">
        <f>$C391*VLOOKUP($B391,FoodDB!$A$2:$I$1024,3,0)</f>
        <v>0</v>
      </c>
      <c r="E391" s="73">
        <f>$C391*VLOOKUP($B391,FoodDB!$A$2:$I$1024,4,0)</f>
        <v>0</v>
      </c>
      <c r="F391" s="73">
        <f>$C391*VLOOKUP($B391,FoodDB!$A$2:$I$1024,5,0)</f>
        <v>0</v>
      </c>
      <c r="G391" s="73">
        <f>$C391*VLOOKUP($B391,FoodDB!$A$2:$I$1024,6,0)</f>
        <v>0</v>
      </c>
      <c r="H391" s="73">
        <f>$C391*VLOOKUP($B391,FoodDB!$A$2:$I$1024,7,0)</f>
        <v>0</v>
      </c>
      <c r="I391" s="73">
        <f>$C391*VLOOKUP($B391,FoodDB!$A$2:$I$1024,8,0)</f>
        <v>0</v>
      </c>
      <c r="J391" s="73">
        <f>$C391*VLOOKUP($B391,FoodDB!$A$2:$I$1024,9,0)</f>
        <v>0</v>
      </c>
      <c r="K391" s="73"/>
      <c r="L391" s="73"/>
      <c r="M391" s="73"/>
      <c r="N391" s="73"/>
      <c r="O391" s="73"/>
      <c r="P391" s="73"/>
      <c r="Q391" s="73"/>
      <c r="R391" s="73"/>
      <c r="S391" s="73"/>
    </row>
    <row r="392" spans="1:19" x14ac:dyDescent="0.25">
      <c r="B392" s="71" t="s">
        <v>95</v>
      </c>
      <c r="C392" s="72">
        <v>1</v>
      </c>
      <c r="D392" s="73">
        <f>$C392*VLOOKUP($B392,FoodDB!$A$2:$I$1024,3,0)</f>
        <v>0</v>
      </c>
      <c r="E392" s="73">
        <f>$C392*VLOOKUP($B392,FoodDB!$A$2:$I$1024,4,0)</f>
        <v>0</v>
      </c>
      <c r="F392" s="73">
        <f>$C392*VLOOKUP($B392,FoodDB!$A$2:$I$1024,5,0)</f>
        <v>0</v>
      </c>
      <c r="G392" s="73">
        <f>$C392*VLOOKUP($B392,FoodDB!$A$2:$I$1024,6,0)</f>
        <v>0</v>
      </c>
      <c r="H392" s="73">
        <f>$C392*VLOOKUP($B392,FoodDB!$A$2:$I$1024,7,0)</f>
        <v>0</v>
      </c>
      <c r="I392" s="73">
        <f>$C392*VLOOKUP($B392,FoodDB!$A$2:$I$1024,8,0)</f>
        <v>0</v>
      </c>
      <c r="J392" s="73">
        <f>$C392*VLOOKUP($B392,FoodDB!$A$2:$I$1024,9,0)</f>
        <v>0</v>
      </c>
      <c r="K392" s="73"/>
      <c r="L392" s="73"/>
      <c r="M392" s="73"/>
      <c r="N392" s="73"/>
      <c r="O392" s="73"/>
      <c r="P392" s="73"/>
      <c r="Q392" s="73"/>
      <c r="R392" s="73"/>
      <c r="S392" s="73"/>
    </row>
    <row r="393" spans="1:19" x14ac:dyDescent="0.25">
      <c r="B393" s="71" t="s">
        <v>95</v>
      </c>
      <c r="C393" s="72">
        <v>1</v>
      </c>
      <c r="D393" s="73">
        <f>$C393*VLOOKUP($B393,FoodDB!$A$2:$I$1024,3,0)</f>
        <v>0</v>
      </c>
      <c r="E393" s="73">
        <f>$C393*VLOOKUP($B393,FoodDB!$A$2:$I$1024,4,0)</f>
        <v>0</v>
      </c>
      <c r="F393" s="73">
        <f>$C393*VLOOKUP($B393,FoodDB!$A$2:$I$1024,5,0)</f>
        <v>0</v>
      </c>
      <c r="G393" s="73">
        <f>$C393*VLOOKUP($B393,FoodDB!$A$2:$I$1024,6,0)</f>
        <v>0</v>
      </c>
      <c r="H393" s="73">
        <f>$C393*VLOOKUP($B393,FoodDB!$A$2:$I$1024,7,0)</f>
        <v>0</v>
      </c>
      <c r="I393" s="73">
        <f>$C393*VLOOKUP($B393,FoodDB!$A$2:$I$1024,8,0)</f>
        <v>0</v>
      </c>
      <c r="J393" s="73">
        <f>$C393*VLOOKUP($B393,FoodDB!$A$2:$I$1024,9,0)</f>
        <v>0</v>
      </c>
      <c r="K393" s="73"/>
      <c r="L393" s="73"/>
      <c r="M393" s="73"/>
      <c r="N393" s="73"/>
      <c r="O393" s="73"/>
      <c r="P393" s="73"/>
      <c r="Q393" s="73"/>
      <c r="R393" s="73"/>
      <c r="S393" s="73"/>
    </row>
    <row r="394" spans="1:19" x14ac:dyDescent="0.25">
      <c r="B394" s="71" t="s">
        <v>95</v>
      </c>
      <c r="C394" s="72">
        <v>1</v>
      </c>
      <c r="D394" s="73">
        <f>$C394*VLOOKUP($B394,FoodDB!$A$2:$I$1024,3,0)</f>
        <v>0</v>
      </c>
      <c r="E394" s="73">
        <f>$C394*VLOOKUP($B394,FoodDB!$A$2:$I$1024,4,0)</f>
        <v>0</v>
      </c>
      <c r="F394" s="73">
        <f>$C394*VLOOKUP($B394,FoodDB!$A$2:$I$1024,5,0)</f>
        <v>0</v>
      </c>
      <c r="G394" s="73">
        <f>$C394*VLOOKUP($B394,FoodDB!$A$2:$I$1024,6,0)</f>
        <v>0</v>
      </c>
      <c r="H394" s="73">
        <f>$C394*VLOOKUP($B394,FoodDB!$A$2:$I$1024,7,0)</f>
        <v>0</v>
      </c>
      <c r="I394" s="73">
        <f>$C394*VLOOKUP($B394,FoodDB!$A$2:$I$1024,8,0)</f>
        <v>0</v>
      </c>
      <c r="J394" s="73">
        <f>$C394*VLOOKUP($B394,FoodDB!$A$2:$I$1024,9,0)</f>
        <v>0</v>
      </c>
      <c r="K394" s="73"/>
      <c r="L394" s="73"/>
      <c r="M394" s="73"/>
      <c r="N394" s="73"/>
      <c r="O394" s="73"/>
      <c r="P394" s="73"/>
      <c r="Q394" s="73"/>
      <c r="R394" s="73"/>
      <c r="S394" s="73"/>
    </row>
    <row r="395" spans="1:19" x14ac:dyDescent="0.25">
      <c r="B395" s="71" t="s">
        <v>95</v>
      </c>
      <c r="C395" s="72">
        <v>1</v>
      </c>
      <c r="D395" s="73">
        <f>$C395*VLOOKUP($B395,FoodDB!$A$2:$I$1024,3,0)</f>
        <v>0</v>
      </c>
      <c r="E395" s="73">
        <f>$C395*VLOOKUP($B395,FoodDB!$A$2:$I$1024,4,0)</f>
        <v>0</v>
      </c>
      <c r="F395" s="73">
        <f>$C395*VLOOKUP($B395,FoodDB!$A$2:$I$1024,5,0)</f>
        <v>0</v>
      </c>
      <c r="G395" s="73">
        <f>$C395*VLOOKUP($B395,FoodDB!$A$2:$I$1024,6,0)</f>
        <v>0</v>
      </c>
      <c r="H395" s="73">
        <f>$C395*VLOOKUP($B395,FoodDB!$A$2:$I$1024,7,0)</f>
        <v>0</v>
      </c>
      <c r="I395" s="73">
        <f>$C395*VLOOKUP($B395,FoodDB!$A$2:$I$1024,8,0)</f>
        <v>0</v>
      </c>
      <c r="J395" s="73">
        <f>$C395*VLOOKUP($B395,FoodDB!$A$2:$I$1024,9,0)</f>
        <v>0</v>
      </c>
      <c r="K395" s="73"/>
      <c r="L395" s="73"/>
      <c r="M395" s="73"/>
      <c r="N395" s="73"/>
      <c r="O395" s="73"/>
      <c r="P395" s="73"/>
      <c r="Q395" s="73"/>
      <c r="R395" s="73"/>
      <c r="S395" s="73"/>
    </row>
    <row r="396" spans="1:19" x14ac:dyDescent="0.25">
      <c r="A396" t="s">
        <v>99</v>
      </c>
      <c r="D396" s="73"/>
      <c r="E396" s="73"/>
      <c r="F396" s="73"/>
      <c r="G396" s="73">
        <f>SUM(G389:G395)</f>
        <v>0</v>
      </c>
      <c r="H396" s="73">
        <f>SUM(H389:H395)</f>
        <v>0</v>
      </c>
      <c r="I396" s="73">
        <f>SUM(I389:I395)</f>
        <v>0</v>
      </c>
      <c r="J396" s="73">
        <f>SUM(G396:I396)</f>
        <v>0</v>
      </c>
      <c r="K396" s="73"/>
      <c r="L396" s="73"/>
      <c r="M396" s="73"/>
      <c r="N396" s="73"/>
      <c r="O396" s="73"/>
      <c r="P396" s="73"/>
      <c r="Q396" s="73"/>
      <c r="R396" s="73"/>
      <c r="S396" s="73"/>
    </row>
    <row r="397" spans="1:19" x14ac:dyDescent="0.25">
      <c r="A397" t="s">
        <v>100</v>
      </c>
      <c r="B397" t="s">
        <v>101</v>
      </c>
      <c r="D397" s="73"/>
      <c r="E397" s="73"/>
      <c r="F397" s="73"/>
      <c r="G397" s="73">
        <f>VLOOKUP($A389,LossChart!$A$3:$AB$73,14,0)</f>
        <v>620.69441360772157</v>
      </c>
      <c r="H397" s="73">
        <f>VLOOKUP($A389,LossChart!$A$3:$AB$73,15,0)</f>
        <v>80</v>
      </c>
      <c r="I397" s="73">
        <f>VLOOKUP($A389,LossChart!$A$3:$AB$73,16,0)</f>
        <v>463.76562996293683</v>
      </c>
      <c r="J397" s="73">
        <f>VLOOKUP($A389,LossChart!$A$3:$AB$73,17,0)</f>
        <v>1164.4600435706584</v>
      </c>
      <c r="K397" s="73"/>
      <c r="L397" s="73"/>
      <c r="M397" s="73"/>
      <c r="N397" s="73"/>
      <c r="O397" s="73"/>
      <c r="P397" s="73"/>
      <c r="Q397" s="73"/>
      <c r="R397" s="73"/>
      <c r="S397" s="73"/>
    </row>
    <row r="398" spans="1:19" x14ac:dyDescent="0.25">
      <c r="A398" t="s">
        <v>102</v>
      </c>
      <c r="D398" s="73"/>
      <c r="E398" s="73"/>
      <c r="F398" s="73"/>
      <c r="G398" s="73">
        <f>G397-G396</f>
        <v>620.69441360772157</v>
      </c>
      <c r="H398" s="73">
        <f>H397-H396</f>
        <v>80</v>
      </c>
      <c r="I398" s="73">
        <f>I397-I396</f>
        <v>463.76562996293683</v>
      </c>
      <c r="J398" s="73">
        <f>J397-J396</f>
        <v>1164.4600435706584</v>
      </c>
      <c r="K398" s="73"/>
      <c r="L398" s="73"/>
      <c r="M398" s="73"/>
      <c r="N398" s="73"/>
      <c r="O398" s="73"/>
      <c r="P398" s="73"/>
      <c r="Q398" s="73"/>
      <c r="R398" s="73"/>
      <c r="S398" s="73"/>
    </row>
    <row r="400" spans="1:19" ht="60" x14ac:dyDescent="0.25">
      <c r="A400" s="25" t="s">
        <v>63</v>
      </c>
      <c r="B400" s="25" t="s">
        <v>80</v>
      </c>
      <c r="C400" s="25" t="s">
        <v>81</v>
      </c>
      <c r="D400" s="69" t="str">
        <f>FoodDB!$C$1</f>
        <v>Fat
(g)</v>
      </c>
      <c r="E400" s="69" t="str">
        <f>FoodDB!$D$1</f>
        <v xml:space="preserve"> Net
Carbs
(g)</v>
      </c>
      <c r="F400" s="69" t="str">
        <f>FoodDB!$E$1</f>
        <v>Protein
(g)</v>
      </c>
      <c r="G400" s="69" t="str">
        <f>FoodDB!$F$1</f>
        <v>Fat
(Cal)</v>
      </c>
      <c r="H400" s="69" t="str">
        <f>FoodDB!$G$1</f>
        <v>Carb
(Cal)</v>
      </c>
      <c r="I400" s="69" t="str">
        <f>FoodDB!$H$1</f>
        <v>Protein
(Cal)</v>
      </c>
      <c r="J400" s="69" t="str">
        <f>FoodDB!$I$1</f>
        <v>Total
Calories</v>
      </c>
      <c r="K400" s="69"/>
      <c r="L400" s="69" t="s">
        <v>82</v>
      </c>
      <c r="M400" s="69" t="s">
        <v>83</v>
      </c>
      <c r="N400" s="69" t="s">
        <v>84</v>
      </c>
      <c r="O400" s="69" t="s">
        <v>85</v>
      </c>
      <c r="P400" s="69" t="s">
        <v>86</v>
      </c>
      <c r="Q400" s="69" t="s">
        <v>87</v>
      </c>
      <c r="R400" s="69" t="s">
        <v>88</v>
      </c>
      <c r="S400" s="69" t="s">
        <v>89</v>
      </c>
    </row>
    <row r="401" spans="1:19" x14ac:dyDescent="0.25">
      <c r="A401" s="70">
        <f>A389+1</f>
        <v>43064</v>
      </c>
      <c r="B401" s="71" t="s">
        <v>95</v>
      </c>
      <c r="C401" s="72">
        <v>1</v>
      </c>
      <c r="D401" s="73">
        <f>$C401*VLOOKUP($B401,FoodDB!$A$2:$I$1024,3,0)</f>
        <v>0</v>
      </c>
      <c r="E401" s="73">
        <f>$C401*VLOOKUP($B401,FoodDB!$A$2:$I$1024,4,0)</f>
        <v>0</v>
      </c>
      <c r="F401" s="73">
        <f>$C401*VLOOKUP($B401,FoodDB!$A$2:$I$1024,5,0)</f>
        <v>0</v>
      </c>
      <c r="G401" s="73">
        <f>$C401*VLOOKUP($B401,FoodDB!$A$2:$I$1024,6,0)</f>
        <v>0</v>
      </c>
      <c r="H401" s="73">
        <f>$C401*VLOOKUP($B401,FoodDB!$A$2:$I$1024,7,0)</f>
        <v>0</v>
      </c>
      <c r="I401" s="73">
        <f>$C401*VLOOKUP($B401,FoodDB!$A$2:$I$1024,8,0)</f>
        <v>0</v>
      </c>
      <c r="J401" s="73">
        <f>$C401*VLOOKUP($B401,FoodDB!$A$2:$I$1024,9,0)</f>
        <v>0</v>
      </c>
      <c r="K401" s="73"/>
      <c r="L401" s="73">
        <f>SUM(G401:G407)</f>
        <v>0</v>
      </c>
      <c r="M401" s="73">
        <f>SUM(H401:H407)</f>
        <v>0</v>
      </c>
      <c r="N401" s="73">
        <f>SUM(I401:I407)</f>
        <v>0</v>
      </c>
      <c r="O401" s="73">
        <f>SUM(L401:N401)</f>
        <v>0</v>
      </c>
      <c r="P401" s="73">
        <f>VLOOKUP($A401,LossChart!$A$3:$AB$73,14,0)-L401</f>
        <v>626.61061426499668</v>
      </c>
      <c r="Q401" s="73">
        <f>VLOOKUP($A401,LossChart!$A$3:$AB$73,15,0)-M401</f>
        <v>80</v>
      </c>
      <c r="R401" s="73">
        <f>VLOOKUP($A401,LossChart!$A$3:$AB$73,16,0)-N401</f>
        <v>463.76562996293683</v>
      </c>
      <c r="S401" s="73">
        <f>VLOOKUP($A401,LossChart!$A$3:$AB$73,17,0)-O401</f>
        <v>1170.3762442279335</v>
      </c>
    </row>
    <row r="402" spans="1:19" x14ac:dyDescent="0.25">
      <c r="B402" s="71" t="s">
        <v>95</v>
      </c>
      <c r="C402" s="72">
        <v>1</v>
      </c>
      <c r="D402" s="73">
        <f>$C402*VLOOKUP($B402,FoodDB!$A$2:$I$1024,3,0)</f>
        <v>0</v>
      </c>
      <c r="E402" s="73">
        <f>$C402*VLOOKUP($B402,FoodDB!$A$2:$I$1024,4,0)</f>
        <v>0</v>
      </c>
      <c r="F402" s="73">
        <f>$C402*VLOOKUP($B402,FoodDB!$A$2:$I$1024,5,0)</f>
        <v>0</v>
      </c>
      <c r="G402" s="73">
        <f>$C402*VLOOKUP($B402,FoodDB!$A$2:$I$1024,6,0)</f>
        <v>0</v>
      </c>
      <c r="H402" s="73">
        <f>$C402*VLOOKUP($B402,FoodDB!$A$2:$I$1024,7,0)</f>
        <v>0</v>
      </c>
      <c r="I402" s="73">
        <f>$C402*VLOOKUP($B402,FoodDB!$A$2:$I$1024,8,0)</f>
        <v>0</v>
      </c>
      <c r="J402" s="73">
        <f>$C402*VLOOKUP($B402,FoodDB!$A$2:$I$1024,9,0)</f>
        <v>0</v>
      </c>
      <c r="K402" s="73"/>
      <c r="L402" s="73"/>
      <c r="M402" s="73"/>
      <c r="N402" s="73"/>
      <c r="O402" s="73"/>
      <c r="P402" s="73"/>
      <c r="Q402" s="73"/>
      <c r="R402" s="73"/>
      <c r="S402" s="73"/>
    </row>
    <row r="403" spans="1:19" x14ac:dyDescent="0.25">
      <c r="B403" s="71" t="s">
        <v>95</v>
      </c>
      <c r="C403" s="72">
        <v>1</v>
      </c>
      <c r="D403" s="73">
        <f>$C403*VLOOKUP($B403,FoodDB!$A$2:$I$1024,3,0)</f>
        <v>0</v>
      </c>
      <c r="E403" s="73">
        <f>$C403*VLOOKUP($B403,FoodDB!$A$2:$I$1024,4,0)</f>
        <v>0</v>
      </c>
      <c r="F403" s="73">
        <f>$C403*VLOOKUP($B403,FoodDB!$A$2:$I$1024,5,0)</f>
        <v>0</v>
      </c>
      <c r="G403" s="73">
        <f>$C403*VLOOKUP($B403,FoodDB!$A$2:$I$1024,6,0)</f>
        <v>0</v>
      </c>
      <c r="H403" s="73">
        <f>$C403*VLOOKUP($B403,FoodDB!$A$2:$I$1024,7,0)</f>
        <v>0</v>
      </c>
      <c r="I403" s="73">
        <f>$C403*VLOOKUP($B403,FoodDB!$A$2:$I$1024,8,0)</f>
        <v>0</v>
      </c>
      <c r="J403" s="73">
        <f>$C403*VLOOKUP($B403,FoodDB!$A$2:$I$1024,9,0)</f>
        <v>0</v>
      </c>
      <c r="K403" s="73"/>
      <c r="L403" s="73"/>
      <c r="M403" s="73"/>
      <c r="N403" s="73"/>
      <c r="O403" s="73"/>
      <c r="P403" s="73"/>
      <c r="Q403" s="73"/>
      <c r="R403" s="73"/>
      <c r="S403" s="73"/>
    </row>
    <row r="404" spans="1:19" x14ac:dyDescent="0.25">
      <c r="B404" s="71" t="s">
        <v>95</v>
      </c>
      <c r="C404" s="72">
        <v>1</v>
      </c>
      <c r="D404" s="73">
        <f>$C404*VLOOKUP($B404,FoodDB!$A$2:$I$1024,3,0)</f>
        <v>0</v>
      </c>
      <c r="E404" s="73">
        <f>$C404*VLOOKUP($B404,FoodDB!$A$2:$I$1024,4,0)</f>
        <v>0</v>
      </c>
      <c r="F404" s="73">
        <f>$C404*VLOOKUP($B404,FoodDB!$A$2:$I$1024,5,0)</f>
        <v>0</v>
      </c>
      <c r="G404" s="73">
        <f>$C404*VLOOKUP($B404,FoodDB!$A$2:$I$1024,6,0)</f>
        <v>0</v>
      </c>
      <c r="H404" s="73">
        <f>$C404*VLOOKUP($B404,FoodDB!$A$2:$I$1024,7,0)</f>
        <v>0</v>
      </c>
      <c r="I404" s="73">
        <f>$C404*VLOOKUP($B404,FoodDB!$A$2:$I$1024,8,0)</f>
        <v>0</v>
      </c>
      <c r="J404" s="73">
        <f>$C404*VLOOKUP($B404,FoodDB!$A$2:$I$1024,9,0)</f>
        <v>0</v>
      </c>
      <c r="K404" s="73"/>
      <c r="L404" s="73"/>
      <c r="M404" s="73"/>
      <c r="N404" s="73"/>
      <c r="O404" s="73"/>
      <c r="P404" s="73"/>
      <c r="Q404" s="73"/>
      <c r="R404" s="73"/>
      <c r="S404" s="73"/>
    </row>
    <row r="405" spans="1:19" x14ac:dyDescent="0.25">
      <c r="B405" s="71" t="s">
        <v>95</v>
      </c>
      <c r="C405" s="72">
        <v>1</v>
      </c>
      <c r="D405" s="73">
        <f>$C405*VLOOKUP($B405,FoodDB!$A$2:$I$1024,3,0)</f>
        <v>0</v>
      </c>
      <c r="E405" s="73">
        <f>$C405*VLOOKUP($B405,FoodDB!$A$2:$I$1024,4,0)</f>
        <v>0</v>
      </c>
      <c r="F405" s="73">
        <f>$C405*VLOOKUP($B405,FoodDB!$A$2:$I$1024,5,0)</f>
        <v>0</v>
      </c>
      <c r="G405" s="73">
        <f>$C405*VLOOKUP($B405,FoodDB!$A$2:$I$1024,6,0)</f>
        <v>0</v>
      </c>
      <c r="H405" s="73">
        <f>$C405*VLOOKUP($B405,FoodDB!$A$2:$I$1024,7,0)</f>
        <v>0</v>
      </c>
      <c r="I405" s="73">
        <f>$C405*VLOOKUP($B405,FoodDB!$A$2:$I$1024,8,0)</f>
        <v>0</v>
      </c>
      <c r="J405" s="73">
        <f>$C405*VLOOKUP($B405,FoodDB!$A$2:$I$1024,9,0)</f>
        <v>0</v>
      </c>
      <c r="K405" s="73"/>
      <c r="L405" s="73"/>
      <c r="M405" s="73"/>
      <c r="N405" s="73"/>
      <c r="O405" s="73"/>
      <c r="P405" s="73"/>
      <c r="Q405" s="73"/>
      <c r="R405" s="73"/>
      <c r="S405" s="73"/>
    </row>
    <row r="406" spans="1:19" x14ac:dyDescent="0.25">
      <c r="B406" s="71" t="s">
        <v>95</v>
      </c>
      <c r="C406" s="72">
        <v>1</v>
      </c>
      <c r="D406" s="73">
        <f>$C406*VLOOKUP($B406,FoodDB!$A$2:$I$1024,3,0)</f>
        <v>0</v>
      </c>
      <c r="E406" s="73">
        <f>$C406*VLOOKUP($B406,FoodDB!$A$2:$I$1024,4,0)</f>
        <v>0</v>
      </c>
      <c r="F406" s="73">
        <f>$C406*VLOOKUP($B406,FoodDB!$A$2:$I$1024,5,0)</f>
        <v>0</v>
      </c>
      <c r="G406" s="73">
        <f>$C406*VLOOKUP($B406,FoodDB!$A$2:$I$1024,6,0)</f>
        <v>0</v>
      </c>
      <c r="H406" s="73">
        <f>$C406*VLOOKUP($B406,FoodDB!$A$2:$I$1024,7,0)</f>
        <v>0</v>
      </c>
      <c r="I406" s="73">
        <f>$C406*VLOOKUP($B406,FoodDB!$A$2:$I$1024,8,0)</f>
        <v>0</v>
      </c>
      <c r="J406" s="73">
        <f>$C406*VLOOKUP($B406,FoodDB!$A$2:$I$1024,9,0)</f>
        <v>0</v>
      </c>
      <c r="K406" s="73"/>
      <c r="L406" s="73"/>
      <c r="M406" s="73"/>
      <c r="N406" s="73"/>
      <c r="O406" s="73"/>
      <c r="P406" s="73"/>
      <c r="Q406" s="73"/>
      <c r="R406" s="73"/>
      <c r="S406" s="73"/>
    </row>
    <row r="407" spans="1:19" x14ac:dyDescent="0.25">
      <c r="B407" s="71" t="s">
        <v>95</v>
      </c>
      <c r="C407" s="72">
        <v>1</v>
      </c>
      <c r="D407" s="73">
        <f>$C407*VLOOKUP($B407,FoodDB!$A$2:$I$1024,3,0)</f>
        <v>0</v>
      </c>
      <c r="E407" s="73">
        <f>$C407*VLOOKUP($B407,FoodDB!$A$2:$I$1024,4,0)</f>
        <v>0</v>
      </c>
      <c r="F407" s="73">
        <f>$C407*VLOOKUP($B407,FoodDB!$A$2:$I$1024,5,0)</f>
        <v>0</v>
      </c>
      <c r="G407" s="73">
        <f>$C407*VLOOKUP($B407,FoodDB!$A$2:$I$1024,6,0)</f>
        <v>0</v>
      </c>
      <c r="H407" s="73">
        <f>$C407*VLOOKUP($B407,FoodDB!$A$2:$I$1024,7,0)</f>
        <v>0</v>
      </c>
      <c r="I407" s="73">
        <f>$C407*VLOOKUP($B407,FoodDB!$A$2:$I$1024,8,0)</f>
        <v>0</v>
      </c>
      <c r="J407" s="73">
        <f>$C407*VLOOKUP($B407,FoodDB!$A$2:$I$1024,9,0)</f>
        <v>0</v>
      </c>
      <c r="K407" s="73"/>
      <c r="L407" s="73"/>
      <c r="M407" s="73"/>
      <c r="N407" s="73"/>
      <c r="O407" s="73"/>
      <c r="P407" s="73"/>
      <c r="Q407" s="73"/>
      <c r="R407" s="73"/>
      <c r="S407" s="73"/>
    </row>
    <row r="408" spans="1:19" x14ac:dyDescent="0.25">
      <c r="A408" t="s">
        <v>99</v>
      </c>
      <c r="D408" s="73"/>
      <c r="E408" s="73"/>
      <c r="F408" s="73"/>
      <c r="G408" s="73">
        <f>SUM(G401:G407)</f>
        <v>0</v>
      </c>
      <c r="H408" s="73">
        <f>SUM(H401:H407)</f>
        <v>0</v>
      </c>
      <c r="I408" s="73">
        <f>SUM(I401:I407)</f>
        <v>0</v>
      </c>
      <c r="J408" s="73">
        <f>SUM(G408:I408)</f>
        <v>0</v>
      </c>
      <c r="K408" s="73"/>
      <c r="L408" s="73"/>
      <c r="M408" s="73"/>
      <c r="N408" s="73"/>
      <c r="O408" s="73"/>
      <c r="P408" s="73"/>
      <c r="Q408" s="73"/>
      <c r="R408" s="73"/>
      <c r="S408" s="73"/>
    </row>
    <row r="409" spans="1:19" x14ac:dyDescent="0.25">
      <c r="A409" t="s">
        <v>100</v>
      </c>
      <c r="B409" t="s">
        <v>101</v>
      </c>
      <c r="D409" s="73"/>
      <c r="E409" s="73"/>
      <c r="F409" s="73"/>
      <c r="G409" s="73">
        <f>VLOOKUP($A401,LossChart!$A$3:$AB$73,14,0)</f>
        <v>626.61061426499668</v>
      </c>
      <c r="H409" s="73">
        <f>VLOOKUP($A401,LossChart!$A$3:$AB$73,15,0)</f>
        <v>80</v>
      </c>
      <c r="I409" s="73">
        <f>VLOOKUP($A401,LossChart!$A$3:$AB$73,16,0)</f>
        <v>463.76562996293683</v>
      </c>
      <c r="J409" s="73">
        <f>VLOOKUP($A401,LossChart!$A$3:$AB$73,17,0)</f>
        <v>1170.3762442279335</v>
      </c>
      <c r="K409" s="73"/>
      <c r="L409" s="73"/>
      <c r="M409" s="73"/>
      <c r="N409" s="73"/>
      <c r="O409" s="73"/>
      <c r="P409" s="73"/>
      <c r="Q409" s="73"/>
      <c r="R409" s="73"/>
      <c r="S409" s="73"/>
    </row>
    <row r="410" spans="1:19" x14ac:dyDescent="0.25">
      <c r="A410" t="s">
        <v>102</v>
      </c>
      <c r="D410" s="73"/>
      <c r="E410" s="73"/>
      <c r="F410" s="73"/>
      <c r="G410" s="73">
        <f>G409-G408</f>
        <v>626.61061426499668</v>
      </c>
      <c r="H410" s="73">
        <f>H409-H408</f>
        <v>80</v>
      </c>
      <c r="I410" s="73">
        <f>I409-I408</f>
        <v>463.76562996293683</v>
      </c>
      <c r="J410" s="73">
        <f>J409-J408</f>
        <v>1170.3762442279335</v>
      </c>
      <c r="K410" s="73"/>
      <c r="L410" s="73"/>
      <c r="M410" s="73"/>
      <c r="N410" s="73"/>
      <c r="O410" s="73"/>
      <c r="P410" s="73"/>
      <c r="Q410" s="73"/>
      <c r="R410" s="73"/>
      <c r="S410" s="73"/>
    </row>
    <row r="412" spans="1:19" ht="60" x14ac:dyDescent="0.25">
      <c r="A412" s="25" t="s">
        <v>63</v>
      </c>
      <c r="B412" s="25" t="s">
        <v>80</v>
      </c>
      <c r="C412" s="25" t="s">
        <v>81</v>
      </c>
      <c r="D412" s="69" t="str">
        <f>FoodDB!$C$1</f>
        <v>Fat
(g)</v>
      </c>
      <c r="E412" s="69" t="str">
        <f>FoodDB!$D$1</f>
        <v xml:space="preserve"> Net
Carbs
(g)</v>
      </c>
      <c r="F412" s="69" t="str">
        <f>FoodDB!$E$1</f>
        <v>Protein
(g)</v>
      </c>
      <c r="G412" s="69" t="str">
        <f>FoodDB!$F$1</f>
        <v>Fat
(Cal)</v>
      </c>
      <c r="H412" s="69" t="str">
        <f>FoodDB!$G$1</f>
        <v>Carb
(Cal)</v>
      </c>
      <c r="I412" s="69" t="str">
        <f>FoodDB!$H$1</f>
        <v>Protein
(Cal)</v>
      </c>
      <c r="J412" s="69" t="str">
        <f>FoodDB!$I$1</f>
        <v>Total
Calories</v>
      </c>
      <c r="K412" s="69"/>
      <c r="L412" s="69" t="s">
        <v>82</v>
      </c>
      <c r="M412" s="69" t="s">
        <v>83</v>
      </c>
      <c r="N412" s="69" t="s">
        <v>84</v>
      </c>
      <c r="O412" s="69" t="s">
        <v>85</v>
      </c>
      <c r="P412" s="69" t="s">
        <v>86</v>
      </c>
      <c r="Q412" s="69" t="s">
        <v>87</v>
      </c>
      <c r="R412" s="69" t="s">
        <v>88</v>
      </c>
      <c r="S412" s="69" t="s">
        <v>89</v>
      </c>
    </row>
    <row r="413" spans="1:19" x14ac:dyDescent="0.25">
      <c r="A413" s="70">
        <f>A401+1</f>
        <v>43065</v>
      </c>
      <c r="B413" s="71" t="s">
        <v>95</v>
      </c>
      <c r="C413" s="72">
        <v>1</v>
      </c>
      <c r="D413" s="73">
        <f>$C413*VLOOKUP($B413,FoodDB!$A$2:$I$1024,3,0)</f>
        <v>0</v>
      </c>
      <c r="E413" s="73">
        <f>$C413*VLOOKUP($B413,FoodDB!$A$2:$I$1024,4,0)</f>
        <v>0</v>
      </c>
      <c r="F413" s="73">
        <f>$C413*VLOOKUP($B413,FoodDB!$A$2:$I$1024,5,0)</f>
        <v>0</v>
      </c>
      <c r="G413" s="73">
        <f>$C413*VLOOKUP($B413,FoodDB!$A$2:$I$1024,6,0)</f>
        <v>0</v>
      </c>
      <c r="H413" s="73">
        <f>$C413*VLOOKUP($B413,FoodDB!$A$2:$I$1024,7,0)</f>
        <v>0</v>
      </c>
      <c r="I413" s="73">
        <f>$C413*VLOOKUP($B413,FoodDB!$A$2:$I$1024,8,0)</f>
        <v>0</v>
      </c>
      <c r="J413" s="73">
        <f>$C413*VLOOKUP($B413,FoodDB!$A$2:$I$1024,9,0)</f>
        <v>0</v>
      </c>
      <c r="K413" s="73"/>
      <c r="L413" s="73">
        <f>SUM(G413:G419)</f>
        <v>0</v>
      </c>
      <c r="M413" s="73">
        <f>SUM(H413:H419)</f>
        <v>0</v>
      </c>
      <c r="N413" s="73">
        <f>SUM(I413:I419)</f>
        <v>0</v>
      </c>
      <c r="O413" s="73">
        <f>SUM(L413:N413)</f>
        <v>0</v>
      </c>
      <c r="P413" s="73">
        <f>VLOOKUP($A413,LossChart!$A$3:$AB$73,14,0)-L413</f>
        <v>632.47441428787852</v>
      </c>
      <c r="Q413" s="73">
        <f>VLOOKUP($A413,LossChart!$A$3:$AB$73,15,0)-M413</f>
        <v>80</v>
      </c>
      <c r="R413" s="73">
        <f>VLOOKUP($A413,LossChart!$A$3:$AB$73,16,0)-N413</f>
        <v>463.76562996293683</v>
      </c>
      <c r="S413" s="73">
        <f>VLOOKUP($A413,LossChart!$A$3:$AB$73,17,0)-O413</f>
        <v>1176.2400442508153</v>
      </c>
    </row>
    <row r="414" spans="1:19" x14ac:dyDescent="0.25">
      <c r="B414" s="71" t="s">
        <v>95</v>
      </c>
      <c r="C414" s="72">
        <v>1</v>
      </c>
      <c r="D414" s="73">
        <f>$C414*VLOOKUP($B414,FoodDB!$A$2:$I$1024,3,0)</f>
        <v>0</v>
      </c>
      <c r="E414" s="73">
        <f>$C414*VLOOKUP($B414,FoodDB!$A$2:$I$1024,4,0)</f>
        <v>0</v>
      </c>
      <c r="F414" s="73">
        <f>$C414*VLOOKUP($B414,FoodDB!$A$2:$I$1024,5,0)</f>
        <v>0</v>
      </c>
      <c r="G414" s="73">
        <f>$C414*VLOOKUP($B414,FoodDB!$A$2:$I$1024,6,0)</f>
        <v>0</v>
      </c>
      <c r="H414" s="73">
        <f>$C414*VLOOKUP($B414,FoodDB!$A$2:$I$1024,7,0)</f>
        <v>0</v>
      </c>
      <c r="I414" s="73">
        <f>$C414*VLOOKUP($B414,FoodDB!$A$2:$I$1024,8,0)</f>
        <v>0</v>
      </c>
      <c r="J414" s="73">
        <f>$C414*VLOOKUP($B414,FoodDB!$A$2:$I$1024,9,0)</f>
        <v>0</v>
      </c>
      <c r="K414" s="73"/>
      <c r="L414" s="73"/>
      <c r="M414" s="73"/>
      <c r="N414" s="73"/>
      <c r="O414" s="73"/>
      <c r="P414" s="73"/>
      <c r="Q414" s="73"/>
      <c r="R414" s="73"/>
      <c r="S414" s="73"/>
    </row>
    <row r="415" spans="1:19" x14ac:dyDescent="0.25">
      <c r="B415" s="71" t="s">
        <v>95</v>
      </c>
      <c r="C415" s="72">
        <v>1</v>
      </c>
      <c r="D415" s="73">
        <f>$C415*VLOOKUP($B415,FoodDB!$A$2:$I$1024,3,0)</f>
        <v>0</v>
      </c>
      <c r="E415" s="73">
        <f>$C415*VLOOKUP($B415,FoodDB!$A$2:$I$1024,4,0)</f>
        <v>0</v>
      </c>
      <c r="F415" s="73">
        <f>$C415*VLOOKUP($B415,FoodDB!$A$2:$I$1024,5,0)</f>
        <v>0</v>
      </c>
      <c r="G415" s="73">
        <f>$C415*VLOOKUP($B415,FoodDB!$A$2:$I$1024,6,0)</f>
        <v>0</v>
      </c>
      <c r="H415" s="73">
        <f>$C415*VLOOKUP($B415,FoodDB!$A$2:$I$1024,7,0)</f>
        <v>0</v>
      </c>
      <c r="I415" s="73">
        <f>$C415*VLOOKUP($B415,FoodDB!$A$2:$I$1024,8,0)</f>
        <v>0</v>
      </c>
      <c r="J415" s="73">
        <f>$C415*VLOOKUP($B415,FoodDB!$A$2:$I$1024,9,0)</f>
        <v>0</v>
      </c>
      <c r="K415" s="73"/>
      <c r="L415" s="73"/>
      <c r="M415" s="73"/>
      <c r="N415" s="73"/>
      <c r="O415" s="73"/>
      <c r="P415" s="73"/>
      <c r="Q415" s="73"/>
      <c r="R415" s="73"/>
      <c r="S415" s="73"/>
    </row>
    <row r="416" spans="1:19" x14ac:dyDescent="0.25">
      <c r="B416" s="71" t="s">
        <v>95</v>
      </c>
      <c r="C416" s="72">
        <v>1</v>
      </c>
      <c r="D416" s="73">
        <f>$C416*VLOOKUP($B416,FoodDB!$A$2:$I$1024,3,0)</f>
        <v>0</v>
      </c>
      <c r="E416" s="73">
        <f>$C416*VLOOKUP($B416,FoodDB!$A$2:$I$1024,4,0)</f>
        <v>0</v>
      </c>
      <c r="F416" s="73">
        <f>$C416*VLOOKUP($B416,FoodDB!$A$2:$I$1024,5,0)</f>
        <v>0</v>
      </c>
      <c r="G416" s="73">
        <f>$C416*VLOOKUP($B416,FoodDB!$A$2:$I$1024,6,0)</f>
        <v>0</v>
      </c>
      <c r="H416" s="73">
        <f>$C416*VLOOKUP($B416,FoodDB!$A$2:$I$1024,7,0)</f>
        <v>0</v>
      </c>
      <c r="I416" s="73">
        <f>$C416*VLOOKUP($B416,FoodDB!$A$2:$I$1024,8,0)</f>
        <v>0</v>
      </c>
      <c r="J416" s="73">
        <f>$C416*VLOOKUP($B416,FoodDB!$A$2:$I$1024,9,0)</f>
        <v>0</v>
      </c>
      <c r="K416" s="73"/>
      <c r="L416" s="73"/>
      <c r="M416" s="73"/>
      <c r="N416" s="73"/>
      <c r="O416" s="73"/>
      <c r="P416" s="73"/>
      <c r="Q416" s="73"/>
      <c r="R416" s="73"/>
      <c r="S416" s="73"/>
    </row>
    <row r="417" spans="1:19" x14ac:dyDescent="0.25">
      <c r="B417" s="71" t="s">
        <v>95</v>
      </c>
      <c r="C417" s="72">
        <v>1</v>
      </c>
      <c r="D417" s="73">
        <f>$C417*VLOOKUP($B417,FoodDB!$A$2:$I$1024,3,0)</f>
        <v>0</v>
      </c>
      <c r="E417" s="73">
        <f>$C417*VLOOKUP($B417,FoodDB!$A$2:$I$1024,4,0)</f>
        <v>0</v>
      </c>
      <c r="F417" s="73">
        <f>$C417*VLOOKUP($B417,FoodDB!$A$2:$I$1024,5,0)</f>
        <v>0</v>
      </c>
      <c r="G417" s="73">
        <f>$C417*VLOOKUP($B417,FoodDB!$A$2:$I$1024,6,0)</f>
        <v>0</v>
      </c>
      <c r="H417" s="73">
        <f>$C417*VLOOKUP($B417,FoodDB!$A$2:$I$1024,7,0)</f>
        <v>0</v>
      </c>
      <c r="I417" s="73">
        <f>$C417*VLOOKUP($B417,FoodDB!$A$2:$I$1024,8,0)</f>
        <v>0</v>
      </c>
      <c r="J417" s="73">
        <f>$C417*VLOOKUP($B417,FoodDB!$A$2:$I$1024,9,0)</f>
        <v>0</v>
      </c>
      <c r="K417" s="73"/>
      <c r="L417" s="73"/>
      <c r="M417" s="73"/>
      <c r="N417" s="73"/>
      <c r="O417" s="73"/>
      <c r="P417" s="73"/>
      <c r="Q417" s="73"/>
      <c r="R417" s="73"/>
      <c r="S417" s="73"/>
    </row>
    <row r="418" spans="1:19" x14ac:dyDescent="0.25">
      <c r="B418" s="71" t="s">
        <v>95</v>
      </c>
      <c r="C418" s="72">
        <v>1</v>
      </c>
      <c r="D418" s="73">
        <f>$C418*VLOOKUP($B418,FoodDB!$A$2:$I$1024,3,0)</f>
        <v>0</v>
      </c>
      <c r="E418" s="73">
        <f>$C418*VLOOKUP($B418,FoodDB!$A$2:$I$1024,4,0)</f>
        <v>0</v>
      </c>
      <c r="F418" s="73">
        <f>$C418*VLOOKUP($B418,FoodDB!$A$2:$I$1024,5,0)</f>
        <v>0</v>
      </c>
      <c r="G418" s="73">
        <f>$C418*VLOOKUP($B418,FoodDB!$A$2:$I$1024,6,0)</f>
        <v>0</v>
      </c>
      <c r="H418" s="73">
        <f>$C418*VLOOKUP($B418,FoodDB!$A$2:$I$1024,7,0)</f>
        <v>0</v>
      </c>
      <c r="I418" s="73">
        <f>$C418*VLOOKUP($B418,FoodDB!$A$2:$I$1024,8,0)</f>
        <v>0</v>
      </c>
      <c r="J418" s="73">
        <f>$C418*VLOOKUP($B418,FoodDB!$A$2:$I$1024,9,0)</f>
        <v>0</v>
      </c>
      <c r="K418" s="73"/>
      <c r="L418" s="73"/>
      <c r="M418" s="73"/>
      <c r="N418" s="73"/>
      <c r="O418" s="73"/>
      <c r="P418" s="73"/>
      <c r="Q418" s="73"/>
      <c r="R418" s="73"/>
      <c r="S418" s="73"/>
    </row>
    <row r="419" spans="1:19" x14ac:dyDescent="0.25">
      <c r="B419" s="71" t="s">
        <v>95</v>
      </c>
      <c r="C419" s="72">
        <v>1</v>
      </c>
      <c r="D419" s="73">
        <f>$C419*VLOOKUP($B419,FoodDB!$A$2:$I$1024,3,0)</f>
        <v>0</v>
      </c>
      <c r="E419" s="73">
        <f>$C419*VLOOKUP($B419,FoodDB!$A$2:$I$1024,4,0)</f>
        <v>0</v>
      </c>
      <c r="F419" s="73">
        <f>$C419*VLOOKUP($B419,FoodDB!$A$2:$I$1024,5,0)</f>
        <v>0</v>
      </c>
      <c r="G419" s="73">
        <f>$C419*VLOOKUP($B419,FoodDB!$A$2:$I$1024,6,0)</f>
        <v>0</v>
      </c>
      <c r="H419" s="73">
        <f>$C419*VLOOKUP($B419,FoodDB!$A$2:$I$1024,7,0)</f>
        <v>0</v>
      </c>
      <c r="I419" s="73">
        <f>$C419*VLOOKUP($B419,FoodDB!$A$2:$I$1024,8,0)</f>
        <v>0</v>
      </c>
      <c r="J419" s="73">
        <f>$C419*VLOOKUP($B419,FoodDB!$A$2:$I$1024,9,0)</f>
        <v>0</v>
      </c>
      <c r="K419" s="73"/>
      <c r="L419" s="73"/>
      <c r="M419" s="73"/>
      <c r="N419" s="73"/>
      <c r="O419" s="73"/>
      <c r="P419" s="73"/>
      <c r="Q419" s="73"/>
      <c r="R419" s="73"/>
      <c r="S419" s="73"/>
    </row>
    <row r="420" spans="1:19" x14ac:dyDescent="0.25">
      <c r="A420" t="s">
        <v>99</v>
      </c>
      <c r="D420" s="73"/>
      <c r="E420" s="73"/>
      <c r="F420" s="73"/>
      <c r="G420" s="73">
        <f>SUM(G413:G419)</f>
        <v>0</v>
      </c>
      <c r="H420" s="73">
        <f>SUM(H413:H419)</f>
        <v>0</v>
      </c>
      <c r="I420" s="73">
        <f>SUM(I413:I419)</f>
        <v>0</v>
      </c>
      <c r="J420" s="73">
        <f>SUM(G420:I420)</f>
        <v>0</v>
      </c>
      <c r="K420" s="73"/>
      <c r="L420" s="73"/>
      <c r="M420" s="73"/>
      <c r="N420" s="73"/>
      <c r="O420" s="73"/>
      <c r="P420" s="73"/>
      <c r="Q420" s="73"/>
      <c r="R420" s="73"/>
      <c r="S420" s="73"/>
    </row>
    <row r="421" spans="1:19" x14ac:dyDescent="0.25">
      <c r="A421" t="s">
        <v>100</v>
      </c>
      <c r="B421" t="s">
        <v>101</v>
      </c>
      <c r="D421" s="73"/>
      <c r="E421" s="73"/>
      <c r="F421" s="73"/>
      <c r="G421" s="73">
        <f>VLOOKUP($A413,LossChart!$A$3:$AB$73,14,0)</f>
        <v>632.47441428787852</v>
      </c>
      <c r="H421" s="73">
        <f>VLOOKUP($A413,LossChart!$A$3:$AB$73,15,0)</f>
        <v>80</v>
      </c>
      <c r="I421" s="73">
        <f>VLOOKUP($A413,LossChart!$A$3:$AB$73,16,0)</f>
        <v>463.76562996293683</v>
      </c>
      <c r="J421" s="73">
        <f>VLOOKUP($A413,LossChart!$A$3:$AB$73,17,0)</f>
        <v>1176.2400442508153</v>
      </c>
      <c r="K421" s="73"/>
      <c r="L421" s="73"/>
      <c r="M421" s="73"/>
      <c r="N421" s="73"/>
      <c r="O421" s="73"/>
      <c r="P421" s="73"/>
      <c r="Q421" s="73"/>
      <c r="R421" s="73"/>
      <c r="S421" s="73"/>
    </row>
    <row r="422" spans="1:19" x14ac:dyDescent="0.25">
      <c r="A422" t="s">
        <v>102</v>
      </c>
      <c r="D422" s="73"/>
      <c r="E422" s="73"/>
      <c r="F422" s="73"/>
      <c r="G422" s="73">
        <f>G421-G420</f>
        <v>632.47441428787852</v>
      </c>
      <c r="H422" s="73">
        <f>H421-H420</f>
        <v>80</v>
      </c>
      <c r="I422" s="73">
        <f>I421-I420</f>
        <v>463.76562996293683</v>
      </c>
      <c r="J422" s="73">
        <f>J421-J420</f>
        <v>1176.2400442508153</v>
      </c>
      <c r="K422" s="73"/>
      <c r="L422" s="73"/>
      <c r="M422" s="73"/>
      <c r="N422" s="73"/>
      <c r="O422" s="73"/>
      <c r="P422" s="73"/>
      <c r="Q422" s="73"/>
      <c r="R422" s="73"/>
      <c r="S422" s="73"/>
    </row>
    <row r="424" spans="1:19" ht="60" x14ac:dyDescent="0.25">
      <c r="A424" s="25" t="s">
        <v>63</v>
      </c>
      <c r="B424" s="25" t="s">
        <v>80</v>
      </c>
      <c r="C424" s="25" t="s">
        <v>81</v>
      </c>
      <c r="D424" s="69" t="str">
        <f>FoodDB!$C$1</f>
        <v>Fat
(g)</v>
      </c>
      <c r="E424" s="69" t="str">
        <f>FoodDB!$D$1</f>
        <v xml:space="preserve"> Net
Carbs
(g)</v>
      </c>
      <c r="F424" s="69" t="str">
        <f>FoodDB!$E$1</f>
        <v>Protein
(g)</v>
      </c>
      <c r="G424" s="69" t="str">
        <f>FoodDB!$F$1</f>
        <v>Fat
(Cal)</v>
      </c>
      <c r="H424" s="69" t="str">
        <f>FoodDB!$G$1</f>
        <v>Carb
(Cal)</v>
      </c>
      <c r="I424" s="69" t="str">
        <f>FoodDB!$H$1</f>
        <v>Protein
(Cal)</v>
      </c>
      <c r="J424" s="69" t="str">
        <f>FoodDB!$I$1</f>
        <v>Total
Calories</v>
      </c>
      <c r="K424" s="69"/>
      <c r="L424" s="69" t="s">
        <v>82</v>
      </c>
      <c r="M424" s="69" t="s">
        <v>83</v>
      </c>
      <c r="N424" s="69" t="s">
        <v>84</v>
      </c>
      <c r="O424" s="69" t="s">
        <v>85</v>
      </c>
      <c r="P424" s="69" t="s">
        <v>86</v>
      </c>
      <c r="Q424" s="69" t="s">
        <v>87</v>
      </c>
      <c r="R424" s="69" t="s">
        <v>88</v>
      </c>
      <c r="S424" s="69" t="s">
        <v>89</v>
      </c>
    </row>
    <row r="425" spans="1:19" x14ac:dyDescent="0.25">
      <c r="A425" s="70">
        <f>A413+1</f>
        <v>43066</v>
      </c>
      <c r="B425" s="71" t="s">
        <v>95</v>
      </c>
      <c r="C425" s="72">
        <v>1</v>
      </c>
      <c r="D425" s="73">
        <f>$C425*VLOOKUP($B425,FoodDB!$A$2:$I$1024,3,0)</f>
        <v>0</v>
      </c>
      <c r="E425" s="73">
        <f>$C425*VLOOKUP($B425,FoodDB!$A$2:$I$1024,4,0)</f>
        <v>0</v>
      </c>
      <c r="F425" s="73">
        <f>$C425*VLOOKUP($B425,FoodDB!$A$2:$I$1024,5,0)</f>
        <v>0</v>
      </c>
      <c r="G425" s="73">
        <f>$C425*VLOOKUP($B425,FoodDB!$A$2:$I$1024,6,0)</f>
        <v>0</v>
      </c>
      <c r="H425" s="73">
        <f>$C425*VLOOKUP($B425,FoodDB!$A$2:$I$1024,7,0)</f>
        <v>0</v>
      </c>
      <c r="I425" s="73">
        <f>$C425*VLOOKUP($B425,FoodDB!$A$2:$I$1024,8,0)</f>
        <v>0</v>
      </c>
      <c r="J425" s="73">
        <f>$C425*VLOOKUP($B425,FoodDB!$A$2:$I$1024,9,0)</f>
        <v>0</v>
      </c>
      <c r="K425" s="73"/>
      <c r="L425" s="73">
        <f>SUM(G425:G431)</f>
        <v>0</v>
      </c>
      <c r="M425" s="73">
        <f>SUM(H425:H431)</f>
        <v>0</v>
      </c>
      <c r="N425" s="73">
        <f>SUM(I425:I431)</f>
        <v>0</v>
      </c>
      <c r="O425" s="73">
        <f>SUM(L425:N425)</f>
        <v>0</v>
      </c>
      <c r="P425" s="73">
        <f>VLOOKUP($A425,LossChart!$A$3:$AB$73,14,0)-L425</f>
        <v>638.28627779627186</v>
      </c>
      <c r="Q425" s="73">
        <f>VLOOKUP($A425,LossChart!$A$3:$AB$73,15,0)-M425</f>
        <v>80</v>
      </c>
      <c r="R425" s="73">
        <f>VLOOKUP($A425,LossChart!$A$3:$AB$73,16,0)-N425</f>
        <v>463.76562996293683</v>
      </c>
      <c r="S425" s="73">
        <f>VLOOKUP($A425,LossChart!$A$3:$AB$73,17,0)-O425</f>
        <v>1182.0519077592087</v>
      </c>
    </row>
    <row r="426" spans="1:19" x14ac:dyDescent="0.25">
      <c r="B426" s="71" t="s">
        <v>95</v>
      </c>
      <c r="C426" s="72">
        <v>1</v>
      </c>
      <c r="D426" s="73">
        <f>$C426*VLOOKUP($B426,FoodDB!$A$2:$I$1024,3,0)</f>
        <v>0</v>
      </c>
      <c r="E426" s="73">
        <f>$C426*VLOOKUP($B426,FoodDB!$A$2:$I$1024,4,0)</f>
        <v>0</v>
      </c>
      <c r="F426" s="73">
        <f>$C426*VLOOKUP($B426,FoodDB!$A$2:$I$1024,5,0)</f>
        <v>0</v>
      </c>
      <c r="G426" s="73">
        <f>$C426*VLOOKUP($B426,FoodDB!$A$2:$I$1024,6,0)</f>
        <v>0</v>
      </c>
      <c r="H426" s="73">
        <f>$C426*VLOOKUP($B426,FoodDB!$A$2:$I$1024,7,0)</f>
        <v>0</v>
      </c>
      <c r="I426" s="73">
        <f>$C426*VLOOKUP($B426,FoodDB!$A$2:$I$1024,8,0)</f>
        <v>0</v>
      </c>
      <c r="J426" s="73">
        <f>$C426*VLOOKUP($B426,FoodDB!$A$2:$I$1024,9,0)</f>
        <v>0</v>
      </c>
      <c r="K426" s="73"/>
      <c r="L426" s="73"/>
      <c r="M426" s="73"/>
      <c r="N426" s="73"/>
      <c r="O426" s="73"/>
      <c r="P426" s="73"/>
      <c r="Q426" s="73"/>
      <c r="R426" s="73"/>
      <c r="S426" s="73"/>
    </row>
    <row r="427" spans="1:19" x14ac:dyDescent="0.25">
      <c r="B427" s="71" t="s">
        <v>95</v>
      </c>
      <c r="C427" s="72">
        <v>1</v>
      </c>
      <c r="D427" s="73">
        <f>$C427*VLOOKUP($B427,FoodDB!$A$2:$I$1024,3,0)</f>
        <v>0</v>
      </c>
      <c r="E427" s="73">
        <f>$C427*VLOOKUP($B427,FoodDB!$A$2:$I$1024,4,0)</f>
        <v>0</v>
      </c>
      <c r="F427" s="73">
        <f>$C427*VLOOKUP($B427,FoodDB!$A$2:$I$1024,5,0)</f>
        <v>0</v>
      </c>
      <c r="G427" s="73">
        <f>$C427*VLOOKUP($B427,FoodDB!$A$2:$I$1024,6,0)</f>
        <v>0</v>
      </c>
      <c r="H427" s="73">
        <f>$C427*VLOOKUP($B427,FoodDB!$A$2:$I$1024,7,0)</f>
        <v>0</v>
      </c>
      <c r="I427" s="73">
        <f>$C427*VLOOKUP($B427,FoodDB!$A$2:$I$1024,8,0)</f>
        <v>0</v>
      </c>
      <c r="J427" s="73">
        <f>$C427*VLOOKUP($B427,FoodDB!$A$2:$I$1024,9,0)</f>
        <v>0</v>
      </c>
      <c r="K427" s="73"/>
      <c r="L427" s="73"/>
      <c r="M427" s="73"/>
      <c r="N427" s="73"/>
      <c r="O427" s="73"/>
      <c r="P427" s="73"/>
      <c r="Q427" s="73"/>
      <c r="R427" s="73"/>
      <c r="S427" s="73"/>
    </row>
    <row r="428" spans="1:19" x14ac:dyDescent="0.25">
      <c r="B428" s="71" t="s">
        <v>95</v>
      </c>
      <c r="C428" s="72">
        <v>1</v>
      </c>
      <c r="D428" s="73">
        <f>$C428*VLOOKUP($B428,FoodDB!$A$2:$I$1024,3,0)</f>
        <v>0</v>
      </c>
      <c r="E428" s="73">
        <f>$C428*VLOOKUP($B428,FoodDB!$A$2:$I$1024,4,0)</f>
        <v>0</v>
      </c>
      <c r="F428" s="73">
        <f>$C428*VLOOKUP($B428,FoodDB!$A$2:$I$1024,5,0)</f>
        <v>0</v>
      </c>
      <c r="G428" s="73">
        <f>$C428*VLOOKUP($B428,FoodDB!$A$2:$I$1024,6,0)</f>
        <v>0</v>
      </c>
      <c r="H428" s="73">
        <f>$C428*VLOOKUP($B428,FoodDB!$A$2:$I$1024,7,0)</f>
        <v>0</v>
      </c>
      <c r="I428" s="73">
        <f>$C428*VLOOKUP($B428,FoodDB!$A$2:$I$1024,8,0)</f>
        <v>0</v>
      </c>
      <c r="J428" s="73">
        <f>$C428*VLOOKUP($B428,FoodDB!$A$2:$I$1024,9,0)</f>
        <v>0</v>
      </c>
      <c r="K428" s="73"/>
      <c r="L428" s="73"/>
      <c r="M428" s="73"/>
      <c r="N428" s="73"/>
      <c r="O428" s="73"/>
      <c r="P428" s="73"/>
      <c r="Q428" s="73"/>
      <c r="R428" s="73"/>
      <c r="S428" s="73"/>
    </row>
    <row r="429" spans="1:19" x14ac:dyDescent="0.25">
      <c r="B429" s="71" t="s">
        <v>95</v>
      </c>
      <c r="C429" s="72">
        <v>1</v>
      </c>
      <c r="D429" s="73">
        <f>$C429*VLOOKUP($B429,FoodDB!$A$2:$I$1024,3,0)</f>
        <v>0</v>
      </c>
      <c r="E429" s="73">
        <f>$C429*VLOOKUP($B429,FoodDB!$A$2:$I$1024,4,0)</f>
        <v>0</v>
      </c>
      <c r="F429" s="73">
        <f>$C429*VLOOKUP($B429,FoodDB!$A$2:$I$1024,5,0)</f>
        <v>0</v>
      </c>
      <c r="G429" s="73">
        <f>$C429*VLOOKUP($B429,FoodDB!$A$2:$I$1024,6,0)</f>
        <v>0</v>
      </c>
      <c r="H429" s="73">
        <f>$C429*VLOOKUP($B429,FoodDB!$A$2:$I$1024,7,0)</f>
        <v>0</v>
      </c>
      <c r="I429" s="73">
        <f>$C429*VLOOKUP($B429,FoodDB!$A$2:$I$1024,8,0)</f>
        <v>0</v>
      </c>
      <c r="J429" s="73">
        <f>$C429*VLOOKUP($B429,FoodDB!$A$2:$I$1024,9,0)</f>
        <v>0</v>
      </c>
      <c r="K429" s="73"/>
      <c r="L429" s="73"/>
      <c r="M429" s="73"/>
      <c r="N429" s="73"/>
      <c r="O429" s="73"/>
      <c r="P429" s="73"/>
      <c r="Q429" s="73"/>
      <c r="R429" s="73"/>
      <c r="S429" s="73"/>
    </row>
    <row r="430" spans="1:19" x14ac:dyDescent="0.25">
      <c r="B430" s="71" t="s">
        <v>95</v>
      </c>
      <c r="C430" s="72">
        <v>1</v>
      </c>
      <c r="D430" s="73">
        <f>$C430*VLOOKUP($B430,FoodDB!$A$2:$I$1024,3,0)</f>
        <v>0</v>
      </c>
      <c r="E430" s="73">
        <f>$C430*VLOOKUP($B430,FoodDB!$A$2:$I$1024,4,0)</f>
        <v>0</v>
      </c>
      <c r="F430" s="73">
        <f>$C430*VLOOKUP($B430,FoodDB!$A$2:$I$1024,5,0)</f>
        <v>0</v>
      </c>
      <c r="G430" s="73">
        <f>$C430*VLOOKUP($B430,FoodDB!$A$2:$I$1024,6,0)</f>
        <v>0</v>
      </c>
      <c r="H430" s="73">
        <f>$C430*VLOOKUP($B430,FoodDB!$A$2:$I$1024,7,0)</f>
        <v>0</v>
      </c>
      <c r="I430" s="73">
        <f>$C430*VLOOKUP($B430,FoodDB!$A$2:$I$1024,8,0)</f>
        <v>0</v>
      </c>
      <c r="J430" s="73">
        <f>$C430*VLOOKUP($B430,FoodDB!$A$2:$I$1024,9,0)</f>
        <v>0</v>
      </c>
      <c r="K430" s="73"/>
      <c r="L430" s="73"/>
      <c r="M430" s="73"/>
      <c r="N430" s="73"/>
      <c r="O430" s="73"/>
      <c r="P430" s="73"/>
      <c r="Q430" s="73"/>
      <c r="R430" s="73"/>
      <c r="S430" s="73"/>
    </row>
    <row r="431" spans="1:19" x14ac:dyDescent="0.25">
      <c r="B431" s="71" t="s">
        <v>95</v>
      </c>
      <c r="C431" s="72">
        <v>1</v>
      </c>
      <c r="D431" s="73">
        <f>$C431*VLOOKUP($B431,FoodDB!$A$2:$I$1024,3,0)</f>
        <v>0</v>
      </c>
      <c r="E431" s="73">
        <f>$C431*VLOOKUP($B431,FoodDB!$A$2:$I$1024,4,0)</f>
        <v>0</v>
      </c>
      <c r="F431" s="73">
        <f>$C431*VLOOKUP($B431,FoodDB!$A$2:$I$1024,5,0)</f>
        <v>0</v>
      </c>
      <c r="G431" s="73">
        <f>$C431*VLOOKUP($B431,FoodDB!$A$2:$I$1024,6,0)</f>
        <v>0</v>
      </c>
      <c r="H431" s="73">
        <f>$C431*VLOOKUP($B431,FoodDB!$A$2:$I$1024,7,0)</f>
        <v>0</v>
      </c>
      <c r="I431" s="73">
        <f>$C431*VLOOKUP($B431,FoodDB!$A$2:$I$1024,8,0)</f>
        <v>0</v>
      </c>
      <c r="J431" s="73">
        <f>$C431*VLOOKUP($B431,FoodDB!$A$2:$I$1024,9,0)</f>
        <v>0</v>
      </c>
      <c r="K431" s="73"/>
      <c r="L431" s="73"/>
      <c r="M431" s="73"/>
      <c r="N431" s="73"/>
      <c r="O431" s="73"/>
      <c r="P431" s="73"/>
      <c r="Q431" s="73"/>
      <c r="R431" s="73"/>
      <c r="S431" s="73"/>
    </row>
    <row r="432" spans="1:19" x14ac:dyDescent="0.25">
      <c r="A432" t="s">
        <v>99</v>
      </c>
      <c r="D432" s="73"/>
      <c r="E432" s="73"/>
      <c r="F432" s="73"/>
      <c r="G432" s="73">
        <f>SUM(G425:G431)</f>
        <v>0</v>
      </c>
      <c r="H432" s="73">
        <f>SUM(H425:H431)</f>
        <v>0</v>
      </c>
      <c r="I432" s="73">
        <f>SUM(I425:I431)</f>
        <v>0</v>
      </c>
      <c r="J432" s="73">
        <f>SUM(G432:I432)</f>
        <v>0</v>
      </c>
      <c r="K432" s="73"/>
      <c r="L432" s="73"/>
      <c r="M432" s="73"/>
      <c r="N432" s="73"/>
      <c r="O432" s="73"/>
      <c r="P432" s="73"/>
      <c r="Q432" s="73"/>
      <c r="R432" s="73"/>
      <c r="S432" s="73"/>
    </row>
    <row r="433" spans="1:19" x14ac:dyDescent="0.25">
      <c r="A433" t="s">
        <v>100</v>
      </c>
      <c r="B433" t="s">
        <v>101</v>
      </c>
      <c r="D433" s="73"/>
      <c r="E433" s="73"/>
      <c r="F433" s="73"/>
      <c r="G433" s="73">
        <f>VLOOKUP($A425,LossChart!$A$3:$AB$73,14,0)</f>
        <v>638.28627779627186</v>
      </c>
      <c r="H433" s="73">
        <f>VLOOKUP($A425,LossChart!$A$3:$AB$73,15,0)</f>
        <v>80</v>
      </c>
      <c r="I433" s="73">
        <f>VLOOKUP($A425,LossChart!$A$3:$AB$73,16,0)</f>
        <v>463.76562996293683</v>
      </c>
      <c r="J433" s="73">
        <f>VLOOKUP($A425,LossChart!$A$3:$AB$73,17,0)</f>
        <v>1182.0519077592087</v>
      </c>
      <c r="K433" s="73"/>
      <c r="L433" s="73"/>
      <c r="M433" s="73"/>
      <c r="N433" s="73"/>
      <c r="O433" s="73"/>
      <c r="P433" s="73"/>
      <c r="Q433" s="73"/>
      <c r="R433" s="73"/>
      <c r="S433" s="73"/>
    </row>
    <row r="434" spans="1:19" x14ac:dyDescent="0.25">
      <c r="A434" t="s">
        <v>102</v>
      </c>
      <c r="D434" s="73"/>
      <c r="E434" s="73"/>
      <c r="F434" s="73"/>
      <c r="G434" s="73">
        <f>G433-G432</f>
        <v>638.28627779627186</v>
      </c>
      <c r="H434" s="73">
        <f>H433-H432</f>
        <v>80</v>
      </c>
      <c r="I434" s="73">
        <f>I433-I432</f>
        <v>463.76562996293683</v>
      </c>
      <c r="J434" s="73">
        <f>J433-J432</f>
        <v>1182.0519077592087</v>
      </c>
      <c r="K434" s="73"/>
      <c r="L434" s="73"/>
      <c r="M434" s="73"/>
      <c r="N434" s="73"/>
      <c r="O434" s="73"/>
      <c r="P434" s="73"/>
      <c r="Q434" s="73"/>
      <c r="R434" s="73"/>
      <c r="S434" s="73"/>
    </row>
    <row r="436" spans="1:19" ht="60" x14ac:dyDescent="0.25">
      <c r="A436" s="25" t="s">
        <v>63</v>
      </c>
      <c r="B436" s="25" t="s">
        <v>80</v>
      </c>
      <c r="C436" s="25" t="s">
        <v>81</v>
      </c>
      <c r="D436" s="69" t="str">
        <f>FoodDB!$C$1</f>
        <v>Fat
(g)</v>
      </c>
      <c r="E436" s="69" t="str">
        <f>FoodDB!$D$1</f>
        <v xml:space="preserve"> Net
Carbs
(g)</v>
      </c>
      <c r="F436" s="69" t="str">
        <f>FoodDB!$E$1</f>
        <v>Protein
(g)</v>
      </c>
      <c r="G436" s="69" t="str">
        <f>FoodDB!$F$1</f>
        <v>Fat
(Cal)</v>
      </c>
      <c r="H436" s="69" t="str">
        <f>FoodDB!$G$1</f>
        <v>Carb
(Cal)</v>
      </c>
      <c r="I436" s="69" t="str">
        <f>FoodDB!$H$1</f>
        <v>Protein
(Cal)</v>
      </c>
      <c r="J436" s="69" t="str">
        <f>FoodDB!$I$1</f>
        <v>Total
Calories</v>
      </c>
      <c r="K436" s="69"/>
      <c r="L436" s="69" t="s">
        <v>82</v>
      </c>
      <c r="M436" s="69" t="s">
        <v>83</v>
      </c>
      <c r="N436" s="69" t="s">
        <v>84</v>
      </c>
      <c r="O436" s="69" t="s">
        <v>85</v>
      </c>
      <c r="P436" s="69" t="s">
        <v>86</v>
      </c>
      <c r="Q436" s="69" t="s">
        <v>87</v>
      </c>
      <c r="R436" s="69" t="s">
        <v>88</v>
      </c>
      <c r="S436" s="69" t="s">
        <v>89</v>
      </c>
    </row>
    <row r="437" spans="1:19" x14ac:dyDescent="0.25">
      <c r="A437" s="70">
        <f>A425+1</f>
        <v>43067</v>
      </c>
      <c r="B437" s="71" t="s">
        <v>95</v>
      </c>
      <c r="C437" s="72">
        <v>1</v>
      </c>
      <c r="D437" s="73">
        <f>$C437*VLOOKUP($B437,FoodDB!$A$2:$I$1024,3,0)</f>
        <v>0</v>
      </c>
      <c r="E437" s="73">
        <f>$C437*VLOOKUP($B437,FoodDB!$A$2:$I$1024,4,0)</f>
        <v>0</v>
      </c>
      <c r="F437" s="73">
        <f>$C437*VLOOKUP($B437,FoodDB!$A$2:$I$1024,5,0)</f>
        <v>0</v>
      </c>
      <c r="G437" s="73">
        <f>$C437*VLOOKUP($B437,FoodDB!$A$2:$I$1024,6,0)</f>
        <v>0</v>
      </c>
      <c r="H437" s="73">
        <f>$C437*VLOOKUP($B437,FoodDB!$A$2:$I$1024,7,0)</f>
        <v>0</v>
      </c>
      <c r="I437" s="73">
        <f>$C437*VLOOKUP($B437,FoodDB!$A$2:$I$1024,8,0)</f>
        <v>0</v>
      </c>
      <c r="J437" s="73">
        <f>$C437*VLOOKUP($B437,FoodDB!$A$2:$I$1024,9,0)</f>
        <v>0</v>
      </c>
      <c r="K437" s="73"/>
      <c r="L437" s="73">
        <f>SUM(G437:G443)</f>
        <v>0</v>
      </c>
      <c r="M437" s="73">
        <f>SUM(H437:H443)</f>
        <v>0</v>
      </c>
      <c r="N437" s="73">
        <f>SUM(I437:I443)</f>
        <v>0</v>
      </c>
      <c r="O437" s="73">
        <f>SUM(L437:N437)</f>
        <v>0</v>
      </c>
      <c r="P437" s="73">
        <f>VLOOKUP($A437,LossChart!$A$3:$AB$73,14,0)-L437</f>
        <v>644.04666479930552</v>
      </c>
      <c r="Q437" s="73">
        <f>VLOOKUP($A437,LossChart!$A$3:$AB$73,15,0)-M437</f>
        <v>80</v>
      </c>
      <c r="R437" s="73">
        <f>VLOOKUP($A437,LossChart!$A$3:$AB$73,16,0)-N437</f>
        <v>463.76562996293683</v>
      </c>
      <c r="S437" s="73">
        <f>VLOOKUP($A437,LossChart!$A$3:$AB$73,17,0)-O437</f>
        <v>1187.8122947622423</v>
      </c>
    </row>
    <row r="438" spans="1:19" x14ac:dyDescent="0.25">
      <c r="B438" s="71" t="s">
        <v>95</v>
      </c>
      <c r="C438" s="72">
        <v>1</v>
      </c>
      <c r="D438" s="73">
        <f>$C438*VLOOKUP($B438,FoodDB!$A$2:$I$1024,3,0)</f>
        <v>0</v>
      </c>
      <c r="E438" s="73">
        <f>$C438*VLOOKUP($B438,FoodDB!$A$2:$I$1024,4,0)</f>
        <v>0</v>
      </c>
      <c r="F438" s="73">
        <f>$C438*VLOOKUP($B438,FoodDB!$A$2:$I$1024,5,0)</f>
        <v>0</v>
      </c>
      <c r="G438" s="73">
        <f>$C438*VLOOKUP($B438,FoodDB!$A$2:$I$1024,6,0)</f>
        <v>0</v>
      </c>
      <c r="H438" s="73">
        <f>$C438*VLOOKUP($B438,FoodDB!$A$2:$I$1024,7,0)</f>
        <v>0</v>
      </c>
      <c r="I438" s="73">
        <f>$C438*VLOOKUP($B438,FoodDB!$A$2:$I$1024,8,0)</f>
        <v>0</v>
      </c>
      <c r="J438" s="73">
        <f>$C438*VLOOKUP($B438,FoodDB!$A$2:$I$1024,9,0)</f>
        <v>0</v>
      </c>
      <c r="K438" s="73"/>
      <c r="L438" s="73"/>
      <c r="M438" s="73"/>
      <c r="N438" s="73"/>
      <c r="O438" s="73"/>
      <c r="P438" s="73"/>
      <c r="Q438" s="73"/>
      <c r="R438" s="73"/>
      <c r="S438" s="73"/>
    </row>
    <row r="439" spans="1:19" x14ac:dyDescent="0.25">
      <c r="B439" s="71" t="s">
        <v>95</v>
      </c>
      <c r="C439" s="72">
        <v>1</v>
      </c>
      <c r="D439" s="73">
        <f>$C439*VLOOKUP($B439,FoodDB!$A$2:$I$1024,3,0)</f>
        <v>0</v>
      </c>
      <c r="E439" s="73">
        <f>$C439*VLOOKUP($B439,FoodDB!$A$2:$I$1024,4,0)</f>
        <v>0</v>
      </c>
      <c r="F439" s="73">
        <f>$C439*VLOOKUP($B439,FoodDB!$A$2:$I$1024,5,0)</f>
        <v>0</v>
      </c>
      <c r="G439" s="73">
        <f>$C439*VLOOKUP($B439,FoodDB!$A$2:$I$1024,6,0)</f>
        <v>0</v>
      </c>
      <c r="H439" s="73">
        <f>$C439*VLOOKUP($B439,FoodDB!$A$2:$I$1024,7,0)</f>
        <v>0</v>
      </c>
      <c r="I439" s="73">
        <f>$C439*VLOOKUP($B439,FoodDB!$A$2:$I$1024,8,0)</f>
        <v>0</v>
      </c>
      <c r="J439" s="73">
        <f>$C439*VLOOKUP($B439,FoodDB!$A$2:$I$1024,9,0)</f>
        <v>0</v>
      </c>
      <c r="K439" s="73"/>
      <c r="L439" s="73"/>
      <c r="M439" s="73"/>
      <c r="N439" s="73"/>
      <c r="O439" s="73"/>
      <c r="P439" s="73"/>
      <c r="Q439" s="73"/>
      <c r="R439" s="73"/>
      <c r="S439" s="73"/>
    </row>
    <row r="440" spans="1:19" x14ac:dyDescent="0.25">
      <c r="B440" s="71" t="s">
        <v>95</v>
      </c>
      <c r="C440" s="72">
        <v>1</v>
      </c>
      <c r="D440" s="73">
        <f>$C440*VLOOKUP($B440,FoodDB!$A$2:$I$1024,3,0)</f>
        <v>0</v>
      </c>
      <c r="E440" s="73">
        <f>$C440*VLOOKUP($B440,FoodDB!$A$2:$I$1024,4,0)</f>
        <v>0</v>
      </c>
      <c r="F440" s="73">
        <f>$C440*VLOOKUP($B440,FoodDB!$A$2:$I$1024,5,0)</f>
        <v>0</v>
      </c>
      <c r="G440" s="73">
        <f>$C440*VLOOKUP($B440,FoodDB!$A$2:$I$1024,6,0)</f>
        <v>0</v>
      </c>
      <c r="H440" s="73">
        <f>$C440*VLOOKUP($B440,FoodDB!$A$2:$I$1024,7,0)</f>
        <v>0</v>
      </c>
      <c r="I440" s="73">
        <f>$C440*VLOOKUP($B440,FoodDB!$A$2:$I$1024,8,0)</f>
        <v>0</v>
      </c>
      <c r="J440" s="73">
        <f>$C440*VLOOKUP($B440,FoodDB!$A$2:$I$1024,9,0)</f>
        <v>0</v>
      </c>
      <c r="K440" s="73"/>
      <c r="L440" s="73"/>
      <c r="M440" s="73"/>
      <c r="N440" s="73"/>
      <c r="O440" s="73"/>
      <c r="P440" s="73"/>
      <c r="Q440" s="73"/>
      <c r="R440" s="73"/>
      <c r="S440" s="73"/>
    </row>
    <row r="441" spans="1:19" x14ac:dyDescent="0.25">
      <c r="B441" s="71" t="s">
        <v>95</v>
      </c>
      <c r="C441" s="72">
        <v>1</v>
      </c>
      <c r="D441" s="73">
        <f>$C441*VLOOKUP($B441,FoodDB!$A$2:$I$1024,3,0)</f>
        <v>0</v>
      </c>
      <c r="E441" s="73">
        <f>$C441*VLOOKUP($B441,FoodDB!$A$2:$I$1024,4,0)</f>
        <v>0</v>
      </c>
      <c r="F441" s="73">
        <f>$C441*VLOOKUP($B441,FoodDB!$A$2:$I$1024,5,0)</f>
        <v>0</v>
      </c>
      <c r="G441" s="73">
        <f>$C441*VLOOKUP($B441,FoodDB!$A$2:$I$1024,6,0)</f>
        <v>0</v>
      </c>
      <c r="H441" s="73">
        <f>$C441*VLOOKUP($B441,FoodDB!$A$2:$I$1024,7,0)</f>
        <v>0</v>
      </c>
      <c r="I441" s="73">
        <f>$C441*VLOOKUP($B441,FoodDB!$A$2:$I$1024,8,0)</f>
        <v>0</v>
      </c>
      <c r="J441" s="73">
        <f>$C441*VLOOKUP($B441,FoodDB!$A$2:$I$1024,9,0)</f>
        <v>0</v>
      </c>
      <c r="K441" s="73"/>
      <c r="L441" s="73"/>
      <c r="M441" s="73"/>
      <c r="N441" s="73"/>
      <c r="O441" s="73"/>
      <c r="P441" s="73"/>
      <c r="Q441" s="73"/>
      <c r="R441" s="73"/>
      <c r="S441" s="73"/>
    </row>
    <row r="442" spans="1:19" x14ac:dyDescent="0.25">
      <c r="B442" s="71" t="s">
        <v>95</v>
      </c>
      <c r="C442" s="72">
        <v>1</v>
      </c>
      <c r="D442" s="73">
        <f>$C442*VLOOKUP($B442,FoodDB!$A$2:$I$1024,3,0)</f>
        <v>0</v>
      </c>
      <c r="E442" s="73">
        <f>$C442*VLOOKUP($B442,FoodDB!$A$2:$I$1024,4,0)</f>
        <v>0</v>
      </c>
      <c r="F442" s="73">
        <f>$C442*VLOOKUP($B442,FoodDB!$A$2:$I$1024,5,0)</f>
        <v>0</v>
      </c>
      <c r="G442" s="73">
        <f>$C442*VLOOKUP($B442,FoodDB!$A$2:$I$1024,6,0)</f>
        <v>0</v>
      </c>
      <c r="H442" s="73">
        <f>$C442*VLOOKUP($B442,FoodDB!$A$2:$I$1024,7,0)</f>
        <v>0</v>
      </c>
      <c r="I442" s="73">
        <f>$C442*VLOOKUP($B442,FoodDB!$A$2:$I$1024,8,0)</f>
        <v>0</v>
      </c>
      <c r="J442" s="73">
        <f>$C442*VLOOKUP($B442,FoodDB!$A$2:$I$1024,9,0)</f>
        <v>0</v>
      </c>
      <c r="K442" s="73"/>
      <c r="L442" s="73"/>
      <c r="M442" s="73"/>
      <c r="N442" s="73"/>
      <c r="O442" s="73"/>
      <c r="P442" s="73"/>
      <c r="Q442" s="73"/>
      <c r="R442" s="73"/>
      <c r="S442" s="73"/>
    </row>
    <row r="443" spans="1:19" x14ac:dyDescent="0.25">
      <c r="B443" s="71" t="s">
        <v>95</v>
      </c>
      <c r="C443" s="72">
        <v>1</v>
      </c>
      <c r="D443" s="73">
        <f>$C443*VLOOKUP($B443,FoodDB!$A$2:$I$1024,3,0)</f>
        <v>0</v>
      </c>
      <c r="E443" s="73">
        <f>$C443*VLOOKUP($B443,FoodDB!$A$2:$I$1024,4,0)</f>
        <v>0</v>
      </c>
      <c r="F443" s="73">
        <f>$C443*VLOOKUP($B443,FoodDB!$A$2:$I$1024,5,0)</f>
        <v>0</v>
      </c>
      <c r="G443" s="73">
        <f>$C443*VLOOKUP($B443,FoodDB!$A$2:$I$1024,6,0)</f>
        <v>0</v>
      </c>
      <c r="H443" s="73">
        <f>$C443*VLOOKUP($B443,FoodDB!$A$2:$I$1024,7,0)</f>
        <v>0</v>
      </c>
      <c r="I443" s="73">
        <f>$C443*VLOOKUP($B443,FoodDB!$A$2:$I$1024,8,0)</f>
        <v>0</v>
      </c>
      <c r="J443" s="73">
        <f>$C443*VLOOKUP($B443,FoodDB!$A$2:$I$1024,9,0)</f>
        <v>0</v>
      </c>
      <c r="K443" s="73"/>
      <c r="L443" s="73"/>
      <c r="M443" s="73"/>
      <c r="N443" s="73"/>
      <c r="O443" s="73"/>
      <c r="P443" s="73"/>
      <c r="Q443" s="73"/>
      <c r="R443" s="73"/>
      <c r="S443" s="73"/>
    </row>
    <row r="444" spans="1:19" x14ac:dyDescent="0.25">
      <c r="A444" t="s">
        <v>99</v>
      </c>
      <c r="D444" s="73"/>
      <c r="E444" s="73"/>
      <c r="F444" s="73"/>
      <c r="G444" s="73">
        <f>SUM(G437:G443)</f>
        <v>0</v>
      </c>
      <c r="H444" s="73">
        <f>SUM(H437:H443)</f>
        <v>0</v>
      </c>
      <c r="I444" s="73">
        <f>SUM(I437:I443)</f>
        <v>0</v>
      </c>
      <c r="J444" s="73">
        <f>SUM(G444:I444)</f>
        <v>0</v>
      </c>
      <c r="K444" s="73"/>
      <c r="L444" s="73"/>
      <c r="M444" s="73"/>
      <c r="N444" s="73"/>
      <c r="O444" s="73"/>
      <c r="P444" s="73"/>
      <c r="Q444" s="73"/>
      <c r="R444" s="73"/>
      <c r="S444" s="73"/>
    </row>
    <row r="445" spans="1:19" x14ac:dyDescent="0.25">
      <c r="A445" t="s">
        <v>100</v>
      </c>
      <c r="B445" t="s">
        <v>101</v>
      </c>
      <c r="D445" s="73"/>
      <c r="E445" s="73"/>
      <c r="F445" s="73"/>
      <c r="G445" s="73">
        <f>VLOOKUP($A437,LossChart!$A$3:$AB$73,14,0)</f>
        <v>644.04666479930552</v>
      </c>
      <c r="H445" s="73">
        <f>VLOOKUP($A437,LossChart!$A$3:$AB$73,15,0)</f>
        <v>80</v>
      </c>
      <c r="I445" s="73">
        <f>VLOOKUP($A437,LossChart!$A$3:$AB$73,16,0)</f>
        <v>463.76562996293683</v>
      </c>
      <c r="J445" s="73">
        <f>VLOOKUP($A437,LossChart!$A$3:$AB$73,17,0)</f>
        <v>1187.8122947622423</v>
      </c>
      <c r="K445" s="73"/>
      <c r="L445" s="73"/>
      <c r="M445" s="73"/>
      <c r="N445" s="73"/>
      <c r="O445" s="73"/>
      <c r="P445" s="73"/>
      <c r="Q445" s="73"/>
      <c r="R445" s="73"/>
      <c r="S445" s="73"/>
    </row>
    <row r="446" spans="1:19" x14ac:dyDescent="0.25">
      <c r="A446" t="s">
        <v>102</v>
      </c>
      <c r="D446" s="73"/>
      <c r="E446" s="73"/>
      <c r="F446" s="73"/>
      <c r="G446" s="73">
        <f>G445-G444</f>
        <v>644.04666479930552</v>
      </c>
      <c r="H446" s="73">
        <f>H445-H444</f>
        <v>80</v>
      </c>
      <c r="I446" s="73">
        <f>I445-I444</f>
        <v>463.76562996293683</v>
      </c>
      <c r="J446" s="73">
        <f>J445-J444</f>
        <v>1187.8122947622423</v>
      </c>
      <c r="K446" s="73"/>
      <c r="L446" s="73"/>
      <c r="M446" s="73"/>
      <c r="N446" s="73"/>
      <c r="O446" s="73"/>
      <c r="P446" s="73"/>
      <c r="Q446" s="73"/>
      <c r="R446" s="73"/>
      <c r="S446" s="73"/>
    </row>
    <row r="448" spans="1:19" ht="60" x14ac:dyDescent="0.25">
      <c r="A448" s="25" t="s">
        <v>63</v>
      </c>
      <c r="B448" s="25" t="s">
        <v>80</v>
      </c>
      <c r="C448" s="25" t="s">
        <v>81</v>
      </c>
      <c r="D448" s="69" t="str">
        <f>FoodDB!$C$1</f>
        <v>Fat
(g)</v>
      </c>
      <c r="E448" s="69" t="str">
        <f>FoodDB!$D$1</f>
        <v xml:space="preserve"> Net
Carbs
(g)</v>
      </c>
      <c r="F448" s="69" t="str">
        <f>FoodDB!$E$1</f>
        <v>Protein
(g)</v>
      </c>
      <c r="G448" s="69" t="str">
        <f>FoodDB!$F$1</f>
        <v>Fat
(Cal)</v>
      </c>
      <c r="H448" s="69" t="str">
        <f>FoodDB!$G$1</f>
        <v>Carb
(Cal)</v>
      </c>
      <c r="I448" s="69" t="str">
        <f>FoodDB!$H$1</f>
        <v>Protein
(Cal)</v>
      </c>
      <c r="J448" s="69" t="str">
        <f>FoodDB!$I$1</f>
        <v>Total
Calories</v>
      </c>
      <c r="K448" s="69"/>
      <c r="L448" s="69" t="s">
        <v>82</v>
      </c>
      <c r="M448" s="69" t="s">
        <v>83</v>
      </c>
      <c r="N448" s="69" t="s">
        <v>84</v>
      </c>
      <c r="O448" s="69" t="s">
        <v>85</v>
      </c>
      <c r="P448" s="69" t="s">
        <v>86</v>
      </c>
      <c r="Q448" s="69" t="s">
        <v>87</v>
      </c>
      <c r="R448" s="69" t="s">
        <v>88</v>
      </c>
      <c r="S448" s="69" t="s">
        <v>89</v>
      </c>
    </row>
    <row r="449" spans="1:19" x14ac:dyDescent="0.25">
      <c r="A449" s="70">
        <f>A437+1</f>
        <v>43068</v>
      </c>
      <c r="B449" s="71" t="s">
        <v>95</v>
      </c>
      <c r="C449" s="72">
        <v>1</v>
      </c>
      <c r="D449" s="73">
        <f>$C449*VLOOKUP($B449,FoodDB!$A$2:$I$1024,3,0)</f>
        <v>0</v>
      </c>
      <c r="E449" s="73">
        <f>$C449*VLOOKUP($B449,FoodDB!$A$2:$I$1024,4,0)</f>
        <v>0</v>
      </c>
      <c r="F449" s="73">
        <f>$C449*VLOOKUP($B449,FoodDB!$A$2:$I$1024,5,0)</f>
        <v>0</v>
      </c>
      <c r="G449" s="73">
        <f>$C449*VLOOKUP($B449,FoodDB!$A$2:$I$1024,6,0)</f>
        <v>0</v>
      </c>
      <c r="H449" s="73">
        <f>$C449*VLOOKUP($B449,FoodDB!$A$2:$I$1024,7,0)</f>
        <v>0</v>
      </c>
      <c r="I449" s="73">
        <f>$C449*VLOOKUP($B449,FoodDB!$A$2:$I$1024,8,0)</f>
        <v>0</v>
      </c>
      <c r="J449" s="73">
        <f>$C449*VLOOKUP($B449,FoodDB!$A$2:$I$1024,9,0)</f>
        <v>0</v>
      </c>
      <c r="K449" s="73"/>
      <c r="L449" s="73">
        <f>SUM(G449:G455)</f>
        <v>0</v>
      </c>
      <c r="M449" s="73">
        <f>SUM(H449:H455)</f>
        <v>0</v>
      </c>
      <c r="N449" s="73">
        <f>SUM(I449:I455)</f>
        <v>0</v>
      </c>
      <c r="O449" s="73">
        <f>SUM(L449:N449)</f>
        <v>0</v>
      </c>
      <c r="P449" s="73">
        <f>VLOOKUP($A449,LossChart!$A$3:$AB$73,14,0)-L449</f>
        <v>649.75603123174096</v>
      </c>
      <c r="Q449" s="73">
        <f>VLOOKUP($A449,LossChart!$A$3:$AB$73,15,0)-M449</f>
        <v>80</v>
      </c>
      <c r="R449" s="73">
        <f>VLOOKUP($A449,LossChart!$A$3:$AB$73,16,0)-N449</f>
        <v>463.76562996293683</v>
      </c>
      <c r="S449" s="73">
        <f>VLOOKUP($A449,LossChart!$A$3:$AB$73,17,0)-O449</f>
        <v>1193.5216611946778</v>
      </c>
    </row>
    <row r="450" spans="1:19" x14ac:dyDescent="0.25">
      <c r="B450" s="71" t="s">
        <v>95</v>
      </c>
      <c r="C450" s="72">
        <v>1</v>
      </c>
      <c r="D450" s="73">
        <f>$C450*VLOOKUP($B450,FoodDB!$A$2:$I$1024,3,0)</f>
        <v>0</v>
      </c>
      <c r="E450" s="73">
        <f>$C450*VLOOKUP($B450,FoodDB!$A$2:$I$1024,4,0)</f>
        <v>0</v>
      </c>
      <c r="F450" s="73">
        <f>$C450*VLOOKUP($B450,FoodDB!$A$2:$I$1024,5,0)</f>
        <v>0</v>
      </c>
      <c r="G450" s="73">
        <f>$C450*VLOOKUP($B450,FoodDB!$A$2:$I$1024,6,0)</f>
        <v>0</v>
      </c>
      <c r="H450" s="73">
        <f>$C450*VLOOKUP($B450,FoodDB!$A$2:$I$1024,7,0)</f>
        <v>0</v>
      </c>
      <c r="I450" s="73">
        <f>$C450*VLOOKUP($B450,FoodDB!$A$2:$I$1024,8,0)</f>
        <v>0</v>
      </c>
      <c r="J450" s="73">
        <f>$C450*VLOOKUP($B450,FoodDB!$A$2:$I$1024,9,0)</f>
        <v>0</v>
      </c>
      <c r="K450" s="73"/>
      <c r="L450" s="73"/>
      <c r="M450" s="73"/>
      <c r="N450" s="73"/>
      <c r="O450" s="73"/>
      <c r="P450" s="73"/>
      <c r="Q450" s="73"/>
      <c r="R450" s="73"/>
      <c r="S450" s="73"/>
    </row>
    <row r="451" spans="1:19" x14ac:dyDescent="0.25">
      <c r="B451" s="71" t="s">
        <v>95</v>
      </c>
      <c r="C451" s="72">
        <v>1</v>
      </c>
      <c r="D451" s="73">
        <f>$C451*VLOOKUP($B451,FoodDB!$A$2:$I$1024,3,0)</f>
        <v>0</v>
      </c>
      <c r="E451" s="73">
        <f>$C451*VLOOKUP($B451,FoodDB!$A$2:$I$1024,4,0)</f>
        <v>0</v>
      </c>
      <c r="F451" s="73">
        <f>$C451*VLOOKUP($B451,FoodDB!$A$2:$I$1024,5,0)</f>
        <v>0</v>
      </c>
      <c r="G451" s="73">
        <f>$C451*VLOOKUP($B451,FoodDB!$A$2:$I$1024,6,0)</f>
        <v>0</v>
      </c>
      <c r="H451" s="73">
        <f>$C451*VLOOKUP($B451,FoodDB!$A$2:$I$1024,7,0)</f>
        <v>0</v>
      </c>
      <c r="I451" s="73">
        <f>$C451*VLOOKUP($B451,FoodDB!$A$2:$I$1024,8,0)</f>
        <v>0</v>
      </c>
      <c r="J451" s="73">
        <f>$C451*VLOOKUP($B451,FoodDB!$A$2:$I$1024,9,0)</f>
        <v>0</v>
      </c>
      <c r="K451" s="73"/>
      <c r="L451" s="73"/>
      <c r="M451" s="73"/>
      <c r="N451" s="73"/>
      <c r="O451" s="73"/>
      <c r="P451" s="73"/>
      <c r="Q451" s="73"/>
      <c r="R451" s="73"/>
      <c r="S451" s="73"/>
    </row>
    <row r="452" spans="1:19" x14ac:dyDescent="0.25">
      <c r="B452" s="71" t="s">
        <v>95</v>
      </c>
      <c r="C452" s="72">
        <v>1</v>
      </c>
      <c r="D452" s="73">
        <f>$C452*VLOOKUP($B452,FoodDB!$A$2:$I$1024,3,0)</f>
        <v>0</v>
      </c>
      <c r="E452" s="73">
        <f>$C452*VLOOKUP($B452,FoodDB!$A$2:$I$1024,4,0)</f>
        <v>0</v>
      </c>
      <c r="F452" s="73">
        <f>$C452*VLOOKUP($B452,FoodDB!$A$2:$I$1024,5,0)</f>
        <v>0</v>
      </c>
      <c r="G452" s="73">
        <f>$C452*VLOOKUP($B452,FoodDB!$A$2:$I$1024,6,0)</f>
        <v>0</v>
      </c>
      <c r="H452" s="73">
        <f>$C452*VLOOKUP($B452,FoodDB!$A$2:$I$1024,7,0)</f>
        <v>0</v>
      </c>
      <c r="I452" s="73">
        <f>$C452*VLOOKUP($B452,FoodDB!$A$2:$I$1024,8,0)</f>
        <v>0</v>
      </c>
      <c r="J452" s="73">
        <f>$C452*VLOOKUP($B452,FoodDB!$A$2:$I$1024,9,0)</f>
        <v>0</v>
      </c>
      <c r="K452" s="73"/>
      <c r="L452" s="73"/>
      <c r="M452" s="73"/>
      <c r="N452" s="73"/>
      <c r="O452" s="73"/>
      <c r="P452" s="73"/>
      <c r="Q452" s="73"/>
      <c r="R452" s="73"/>
      <c r="S452" s="73"/>
    </row>
    <row r="453" spans="1:19" x14ac:dyDescent="0.25">
      <c r="B453" s="71" t="s">
        <v>95</v>
      </c>
      <c r="C453" s="72">
        <v>1</v>
      </c>
      <c r="D453" s="73">
        <f>$C453*VLOOKUP($B453,FoodDB!$A$2:$I$1024,3,0)</f>
        <v>0</v>
      </c>
      <c r="E453" s="73">
        <f>$C453*VLOOKUP($B453,FoodDB!$A$2:$I$1024,4,0)</f>
        <v>0</v>
      </c>
      <c r="F453" s="73">
        <f>$C453*VLOOKUP($B453,FoodDB!$A$2:$I$1024,5,0)</f>
        <v>0</v>
      </c>
      <c r="G453" s="73">
        <f>$C453*VLOOKUP($B453,FoodDB!$A$2:$I$1024,6,0)</f>
        <v>0</v>
      </c>
      <c r="H453" s="73">
        <f>$C453*VLOOKUP($B453,FoodDB!$A$2:$I$1024,7,0)</f>
        <v>0</v>
      </c>
      <c r="I453" s="73">
        <f>$C453*VLOOKUP($B453,FoodDB!$A$2:$I$1024,8,0)</f>
        <v>0</v>
      </c>
      <c r="J453" s="73">
        <f>$C453*VLOOKUP($B453,FoodDB!$A$2:$I$1024,9,0)</f>
        <v>0</v>
      </c>
      <c r="K453" s="73"/>
      <c r="L453" s="73"/>
      <c r="M453" s="73"/>
      <c r="N453" s="73"/>
      <c r="O453" s="73"/>
      <c r="P453" s="73"/>
      <c r="Q453" s="73"/>
      <c r="R453" s="73"/>
      <c r="S453" s="73"/>
    </row>
    <row r="454" spans="1:19" x14ac:dyDescent="0.25">
      <c r="B454" s="71" t="s">
        <v>95</v>
      </c>
      <c r="C454" s="72">
        <v>1</v>
      </c>
      <c r="D454" s="73">
        <f>$C454*VLOOKUP($B454,FoodDB!$A$2:$I$1024,3,0)</f>
        <v>0</v>
      </c>
      <c r="E454" s="73">
        <f>$C454*VLOOKUP($B454,FoodDB!$A$2:$I$1024,4,0)</f>
        <v>0</v>
      </c>
      <c r="F454" s="73">
        <f>$C454*VLOOKUP($B454,FoodDB!$A$2:$I$1024,5,0)</f>
        <v>0</v>
      </c>
      <c r="G454" s="73">
        <f>$C454*VLOOKUP($B454,FoodDB!$A$2:$I$1024,6,0)</f>
        <v>0</v>
      </c>
      <c r="H454" s="73">
        <f>$C454*VLOOKUP($B454,FoodDB!$A$2:$I$1024,7,0)</f>
        <v>0</v>
      </c>
      <c r="I454" s="73">
        <f>$C454*VLOOKUP($B454,FoodDB!$A$2:$I$1024,8,0)</f>
        <v>0</v>
      </c>
      <c r="J454" s="73">
        <f>$C454*VLOOKUP($B454,FoodDB!$A$2:$I$1024,9,0)</f>
        <v>0</v>
      </c>
      <c r="K454" s="73"/>
      <c r="L454" s="73"/>
      <c r="M454" s="73"/>
      <c r="N454" s="73"/>
      <c r="O454" s="73"/>
      <c r="P454" s="73"/>
      <c r="Q454" s="73"/>
      <c r="R454" s="73"/>
      <c r="S454" s="73"/>
    </row>
    <row r="455" spans="1:19" x14ac:dyDescent="0.25">
      <c r="B455" s="71" t="s">
        <v>95</v>
      </c>
      <c r="C455" s="72">
        <v>1</v>
      </c>
      <c r="D455" s="73">
        <f>$C455*VLOOKUP($B455,FoodDB!$A$2:$I$1024,3,0)</f>
        <v>0</v>
      </c>
      <c r="E455" s="73">
        <f>$C455*VLOOKUP($B455,FoodDB!$A$2:$I$1024,4,0)</f>
        <v>0</v>
      </c>
      <c r="F455" s="73">
        <f>$C455*VLOOKUP($B455,FoodDB!$A$2:$I$1024,5,0)</f>
        <v>0</v>
      </c>
      <c r="G455" s="73">
        <f>$C455*VLOOKUP($B455,FoodDB!$A$2:$I$1024,6,0)</f>
        <v>0</v>
      </c>
      <c r="H455" s="73">
        <f>$C455*VLOOKUP($B455,FoodDB!$A$2:$I$1024,7,0)</f>
        <v>0</v>
      </c>
      <c r="I455" s="73">
        <f>$C455*VLOOKUP($B455,FoodDB!$A$2:$I$1024,8,0)</f>
        <v>0</v>
      </c>
      <c r="J455" s="73">
        <f>$C455*VLOOKUP($B455,FoodDB!$A$2:$I$1024,9,0)</f>
        <v>0</v>
      </c>
      <c r="K455" s="73"/>
      <c r="L455" s="73"/>
      <c r="M455" s="73"/>
      <c r="N455" s="73"/>
      <c r="O455" s="73"/>
      <c r="P455" s="73"/>
      <c r="Q455" s="73"/>
      <c r="R455" s="73"/>
      <c r="S455" s="73"/>
    </row>
    <row r="456" spans="1:19" x14ac:dyDescent="0.25">
      <c r="A456" t="s">
        <v>99</v>
      </c>
      <c r="D456" s="73"/>
      <c r="E456" s="73"/>
      <c r="F456" s="73"/>
      <c r="G456" s="73">
        <f>SUM(G449:G455)</f>
        <v>0</v>
      </c>
      <c r="H456" s="73">
        <f>SUM(H449:H455)</f>
        <v>0</v>
      </c>
      <c r="I456" s="73">
        <f>SUM(I449:I455)</f>
        <v>0</v>
      </c>
      <c r="J456" s="73">
        <f>SUM(G456:I456)</f>
        <v>0</v>
      </c>
      <c r="K456" s="73"/>
      <c r="L456" s="73"/>
      <c r="M456" s="73"/>
      <c r="N456" s="73"/>
      <c r="O456" s="73"/>
      <c r="P456" s="73"/>
      <c r="Q456" s="73"/>
      <c r="R456" s="73"/>
      <c r="S456" s="73"/>
    </row>
    <row r="457" spans="1:19" x14ac:dyDescent="0.25">
      <c r="A457" t="s">
        <v>100</v>
      </c>
      <c r="B457" t="s">
        <v>101</v>
      </c>
      <c r="D457" s="73"/>
      <c r="E457" s="73"/>
      <c r="F457" s="73"/>
      <c r="G457" s="73">
        <f>VLOOKUP($A449,LossChart!$A$3:$AB$73,14,0)</f>
        <v>649.75603123174096</v>
      </c>
      <c r="H457" s="73">
        <f>VLOOKUP($A449,LossChart!$A$3:$AB$73,15,0)</f>
        <v>80</v>
      </c>
      <c r="I457" s="73">
        <f>VLOOKUP($A449,LossChart!$A$3:$AB$73,16,0)</f>
        <v>463.76562996293683</v>
      </c>
      <c r="J457" s="73">
        <f>VLOOKUP($A449,LossChart!$A$3:$AB$73,17,0)</f>
        <v>1193.5216611946778</v>
      </c>
      <c r="K457" s="73"/>
      <c r="L457" s="73"/>
      <c r="M457" s="73"/>
      <c r="N457" s="73"/>
      <c r="O457" s="73"/>
      <c r="P457" s="73"/>
      <c r="Q457" s="73"/>
      <c r="R457" s="73"/>
      <c r="S457" s="73"/>
    </row>
    <row r="458" spans="1:19" x14ac:dyDescent="0.25">
      <c r="A458" t="s">
        <v>102</v>
      </c>
      <c r="D458" s="73"/>
      <c r="E458" s="73"/>
      <c r="F458" s="73"/>
      <c r="G458" s="73">
        <f>G457-G456</f>
        <v>649.75603123174096</v>
      </c>
      <c r="H458" s="73">
        <f>H457-H456</f>
        <v>80</v>
      </c>
      <c r="I458" s="73">
        <f>I457-I456</f>
        <v>463.76562996293683</v>
      </c>
      <c r="J458" s="73">
        <f>J457-J456</f>
        <v>1193.5216611946778</v>
      </c>
      <c r="K458" s="73"/>
      <c r="L458" s="73"/>
      <c r="M458" s="73"/>
      <c r="N458" s="73"/>
      <c r="O458" s="73"/>
      <c r="P458" s="73"/>
      <c r="Q458" s="73"/>
      <c r="R458" s="73"/>
      <c r="S458" s="73"/>
    </row>
    <row r="460" spans="1:19" ht="60" x14ac:dyDescent="0.25">
      <c r="A460" s="25" t="s">
        <v>63</v>
      </c>
      <c r="B460" s="25" t="s">
        <v>80</v>
      </c>
      <c r="C460" s="25" t="s">
        <v>81</v>
      </c>
      <c r="D460" s="69" t="str">
        <f>FoodDB!$C$1</f>
        <v>Fat
(g)</v>
      </c>
      <c r="E460" s="69" t="str">
        <f>FoodDB!$D$1</f>
        <v xml:space="preserve"> Net
Carbs
(g)</v>
      </c>
      <c r="F460" s="69" t="str">
        <f>FoodDB!$E$1</f>
        <v>Protein
(g)</v>
      </c>
      <c r="G460" s="69" t="str">
        <f>FoodDB!$F$1</f>
        <v>Fat
(Cal)</v>
      </c>
      <c r="H460" s="69" t="str">
        <f>FoodDB!$G$1</f>
        <v>Carb
(Cal)</v>
      </c>
      <c r="I460" s="69" t="str">
        <f>FoodDB!$H$1</f>
        <v>Protein
(Cal)</v>
      </c>
      <c r="J460" s="69" t="str">
        <f>FoodDB!$I$1</f>
        <v>Total
Calories</v>
      </c>
      <c r="K460" s="69"/>
      <c r="L460" s="69" t="s">
        <v>82</v>
      </c>
      <c r="M460" s="69" t="s">
        <v>83</v>
      </c>
      <c r="N460" s="69" t="s">
        <v>84</v>
      </c>
      <c r="O460" s="69" t="s">
        <v>85</v>
      </c>
      <c r="P460" s="69" t="s">
        <v>86</v>
      </c>
      <c r="Q460" s="69" t="s">
        <v>87</v>
      </c>
      <c r="R460" s="69" t="s">
        <v>88</v>
      </c>
      <c r="S460" s="69" t="s">
        <v>89</v>
      </c>
    </row>
    <row r="461" spans="1:19" x14ac:dyDescent="0.25">
      <c r="A461" s="70">
        <f>A449+1</f>
        <v>43069</v>
      </c>
      <c r="B461" s="71" t="s">
        <v>95</v>
      </c>
      <c r="C461" s="72">
        <v>1</v>
      </c>
      <c r="D461" s="73">
        <f>$C461*VLOOKUP($B461,FoodDB!$A$2:$I$1024,3,0)</f>
        <v>0</v>
      </c>
      <c r="E461" s="73">
        <f>$C461*VLOOKUP($B461,FoodDB!$A$2:$I$1024,4,0)</f>
        <v>0</v>
      </c>
      <c r="F461" s="73">
        <f>$C461*VLOOKUP($B461,FoodDB!$A$2:$I$1024,5,0)</f>
        <v>0</v>
      </c>
      <c r="G461" s="73">
        <f>$C461*VLOOKUP($B461,FoodDB!$A$2:$I$1024,6,0)</f>
        <v>0</v>
      </c>
      <c r="H461" s="73">
        <f>$C461*VLOOKUP($B461,FoodDB!$A$2:$I$1024,7,0)</f>
        <v>0</v>
      </c>
      <c r="I461" s="73">
        <f>$C461*VLOOKUP($B461,FoodDB!$A$2:$I$1024,8,0)</f>
        <v>0</v>
      </c>
      <c r="J461" s="73">
        <f>$C461*VLOOKUP($B461,FoodDB!$A$2:$I$1024,9,0)</f>
        <v>0</v>
      </c>
      <c r="K461" s="73"/>
      <c r="L461" s="73">
        <f>SUM(G461:G467)</f>
        <v>0</v>
      </c>
      <c r="M461" s="73">
        <f>SUM(H461:H467)</f>
        <v>0</v>
      </c>
      <c r="N461" s="73">
        <f>SUM(I461:I467)</f>
        <v>0</v>
      </c>
      <c r="O461" s="73">
        <f>SUM(L461:N461)</f>
        <v>0</v>
      </c>
      <c r="P461" s="73">
        <f>VLOOKUP($A461,LossChart!$A$3:$AB$73,14,0)-L461</f>
        <v>655.41482899005996</v>
      </c>
      <c r="Q461" s="73">
        <f>VLOOKUP($A461,LossChart!$A$3:$AB$73,15,0)-M461</f>
        <v>80</v>
      </c>
      <c r="R461" s="73">
        <f>VLOOKUP($A461,LossChart!$A$3:$AB$73,16,0)-N461</f>
        <v>463.76562996293683</v>
      </c>
      <c r="S461" s="73">
        <f>VLOOKUP($A461,LossChart!$A$3:$AB$73,17,0)-O461</f>
        <v>1199.1804589529968</v>
      </c>
    </row>
    <row r="462" spans="1:19" x14ac:dyDescent="0.25">
      <c r="B462" s="71" t="s">
        <v>95</v>
      </c>
      <c r="C462" s="72">
        <v>1</v>
      </c>
      <c r="D462" s="73">
        <f>$C462*VLOOKUP($B462,FoodDB!$A$2:$I$1024,3,0)</f>
        <v>0</v>
      </c>
      <c r="E462" s="73">
        <f>$C462*VLOOKUP($B462,FoodDB!$A$2:$I$1024,4,0)</f>
        <v>0</v>
      </c>
      <c r="F462" s="73">
        <f>$C462*VLOOKUP($B462,FoodDB!$A$2:$I$1024,5,0)</f>
        <v>0</v>
      </c>
      <c r="G462" s="73">
        <f>$C462*VLOOKUP($B462,FoodDB!$A$2:$I$1024,6,0)</f>
        <v>0</v>
      </c>
      <c r="H462" s="73">
        <f>$C462*VLOOKUP($B462,FoodDB!$A$2:$I$1024,7,0)</f>
        <v>0</v>
      </c>
      <c r="I462" s="73">
        <f>$C462*VLOOKUP($B462,FoodDB!$A$2:$I$1024,8,0)</f>
        <v>0</v>
      </c>
      <c r="J462" s="73">
        <f>$C462*VLOOKUP($B462,FoodDB!$A$2:$I$1024,9,0)</f>
        <v>0</v>
      </c>
      <c r="K462" s="73"/>
      <c r="L462" s="73"/>
      <c r="M462" s="73"/>
      <c r="N462" s="73"/>
      <c r="O462" s="73"/>
      <c r="P462" s="73"/>
      <c r="Q462" s="73"/>
      <c r="R462" s="73"/>
      <c r="S462" s="73"/>
    </row>
    <row r="463" spans="1:19" x14ac:dyDescent="0.25">
      <c r="B463" s="71" t="s">
        <v>95</v>
      </c>
      <c r="C463" s="72">
        <v>1</v>
      </c>
      <c r="D463" s="73">
        <f>$C463*VLOOKUP($B463,FoodDB!$A$2:$I$1024,3,0)</f>
        <v>0</v>
      </c>
      <c r="E463" s="73">
        <f>$C463*VLOOKUP($B463,FoodDB!$A$2:$I$1024,4,0)</f>
        <v>0</v>
      </c>
      <c r="F463" s="73">
        <f>$C463*VLOOKUP($B463,FoodDB!$A$2:$I$1024,5,0)</f>
        <v>0</v>
      </c>
      <c r="G463" s="73">
        <f>$C463*VLOOKUP($B463,FoodDB!$A$2:$I$1024,6,0)</f>
        <v>0</v>
      </c>
      <c r="H463" s="73">
        <f>$C463*VLOOKUP($B463,FoodDB!$A$2:$I$1024,7,0)</f>
        <v>0</v>
      </c>
      <c r="I463" s="73">
        <f>$C463*VLOOKUP($B463,FoodDB!$A$2:$I$1024,8,0)</f>
        <v>0</v>
      </c>
      <c r="J463" s="73">
        <f>$C463*VLOOKUP($B463,FoodDB!$A$2:$I$1024,9,0)</f>
        <v>0</v>
      </c>
      <c r="K463" s="73"/>
      <c r="L463" s="73"/>
      <c r="M463" s="73"/>
      <c r="N463" s="73"/>
      <c r="O463" s="73"/>
      <c r="P463" s="73"/>
      <c r="Q463" s="73"/>
      <c r="R463" s="73"/>
      <c r="S463" s="73"/>
    </row>
    <row r="464" spans="1:19" x14ac:dyDescent="0.25">
      <c r="B464" s="71" t="s">
        <v>95</v>
      </c>
      <c r="C464" s="72">
        <v>1</v>
      </c>
      <c r="D464" s="73">
        <f>$C464*VLOOKUP($B464,FoodDB!$A$2:$I$1024,3,0)</f>
        <v>0</v>
      </c>
      <c r="E464" s="73">
        <f>$C464*VLOOKUP($B464,FoodDB!$A$2:$I$1024,4,0)</f>
        <v>0</v>
      </c>
      <c r="F464" s="73">
        <f>$C464*VLOOKUP($B464,FoodDB!$A$2:$I$1024,5,0)</f>
        <v>0</v>
      </c>
      <c r="G464" s="73">
        <f>$C464*VLOOKUP($B464,FoodDB!$A$2:$I$1024,6,0)</f>
        <v>0</v>
      </c>
      <c r="H464" s="73">
        <f>$C464*VLOOKUP($B464,FoodDB!$A$2:$I$1024,7,0)</f>
        <v>0</v>
      </c>
      <c r="I464" s="73">
        <f>$C464*VLOOKUP($B464,FoodDB!$A$2:$I$1024,8,0)</f>
        <v>0</v>
      </c>
      <c r="J464" s="73">
        <f>$C464*VLOOKUP($B464,FoodDB!$A$2:$I$1024,9,0)</f>
        <v>0</v>
      </c>
      <c r="K464" s="73"/>
      <c r="L464" s="73"/>
      <c r="M464" s="73"/>
      <c r="N464" s="73"/>
      <c r="O464" s="73"/>
      <c r="P464" s="73"/>
      <c r="Q464" s="73"/>
      <c r="R464" s="73"/>
      <c r="S464" s="73"/>
    </row>
    <row r="465" spans="1:19" x14ac:dyDescent="0.25">
      <c r="B465" s="71" t="s">
        <v>95</v>
      </c>
      <c r="C465" s="72">
        <v>1</v>
      </c>
      <c r="D465" s="73">
        <f>$C465*VLOOKUP($B465,FoodDB!$A$2:$I$1024,3,0)</f>
        <v>0</v>
      </c>
      <c r="E465" s="73">
        <f>$C465*VLOOKUP($B465,FoodDB!$A$2:$I$1024,4,0)</f>
        <v>0</v>
      </c>
      <c r="F465" s="73">
        <f>$C465*VLOOKUP($B465,FoodDB!$A$2:$I$1024,5,0)</f>
        <v>0</v>
      </c>
      <c r="G465" s="73">
        <f>$C465*VLOOKUP($B465,FoodDB!$A$2:$I$1024,6,0)</f>
        <v>0</v>
      </c>
      <c r="H465" s="73">
        <f>$C465*VLOOKUP($B465,FoodDB!$A$2:$I$1024,7,0)</f>
        <v>0</v>
      </c>
      <c r="I465" s="73">
        <f>$C465*VLOOKUP($B465,FoodDB!$A$2:$I$1024,8,0)</f>
        <v>0</v>
      </c>
      <c r="J465" s="73">
        <f>$C465*VLOOKUP($B465,FoodDB!$A$2:$I$1024,9,0)</f>
        <v>0</v>
      </c>
      <c r="K465" s="73"/>
      <c r="L465" s="73"/>
      <c r="M465" s="73"/>
      <c r="N465" s="73"/>
      <c r="O465" s="73"/>
      <c r="P465" s="73"/>
      <c r="Q465" s="73"/>
      <c r="R465" s="73"/>
      <c r="S465" s="73"/>
    </row>
    <row r="466" spans="1:19" x14ac:dyDescent="0.25">
      <c r="B466" s="71" t="s">
        <v>95</v>
      </c>
      <c r="C466" s="72">
        <v>1</v>
      </c>
      <c r="D466" s="73">
        <f>$C466*VLOOKUP($B466,FoodDB!$A$2:$I$1024,3,0)</f>
        <v>0</v>
      </c>
      <c r="E466" s="73">
        <f>$C466*VLOOKUP($B466,FoodDB!$A$2:$I$1024,4,0)</f>
        <v>0</v>
      </c>
      <c r="F466" s="73">
        <f>$C466*VLOOKUP($B466,FoodDB!$A$2:$I$1024,5,0)</f>
        <v>0</v>
      </c>
      <c r="G466" s="73">
        <f>$C466*VLOOKUP($B466,FoodDB!$A$2:$I$1024,6,0)</f>
        <v>0</v>
      </c>
      <c r="H466" s="73">
        <f>$C466*VLOOKUP($B466,FoodDB!$A$2:$I$1024,7,0)</f>
        <v>0</v>
      </c>
      <c r="I466" s="73">
        <f>$C466*VLOOKUP($B466,FoodDB!$A$2:$I$1024,8,0)</f>
        <v>0</v>
      </c>
      <c r="J466" s="73">
        <f>$C466*VLOOKUP($B466,FoodDB!$A$2:$I$1024,9,0)</f>
        <v>0</v>
      </c>
      <c r="K466" s="73"/>
      <c r="L466" s="73"/>
      <c r="M466" s="73"/>
      <c r="N466" s="73"/>
      <c r="O466" s="73"/>
      <c r="P466" s="73"/>
      <c r="Q466" s="73"/>
      <c r="R466" s="73"/>
      <c r="S466" s="73"/>
    </row>
    <row r="467" spans="1:19" x14ac:dyDescent="0.25">
      <c r="B467" s="71" t="s">
        <v>95</v>
      </c>
      <c r="C467" s="72">
        <v>1</v>
      </c>
      <c r="D467" s="73">
        <f>$C467*VLOOKUP($B467,FoodDB!$A$2:$I$1024,3,0)</f>
        <v>0</v>
      </c>
      <c r="E467" s="73">
        <f>$C467*VLOOKUP($B467,FoodDB!$A$2:$I$1024,4,0)</f>
        <v>0</v>
      </c>
      <c r="F467" s="73">
        <f>$C467*VLOOKUP($B467,FoodDB!$A$2:$I$1024,5,0)</f>
        <v>0</v>
      </c>
      <c r="G467" s="73">
        <f>$C467*VLOOKUP($B467,FoodDB!$A$2:$I$1024,6,0)</f>
        <v>0</v>
      </c>
      <c r="H467" s="73">
        <f>$C467*VLOOKUP($B467,FoodDB!$A$2:$I$1024,7,0)</f>
        <v>0</v>
      </c>
      <c r="I467" s="73">
        <f>$C467*VLOOKUP($B467,FoodDB!$A$2:$I$1024,8,0)</f>
        <v>0</v>
      </c>
      <c r="J467" s="73">
        <f>$C467*VLOOKUP($B467,FoodDB!$A$2:$I$1024,9,0)</f>
        <v>0</v>
      </c>
      <c r="K467" s="73"/>
      <c r="L467" s="73"/>
      <c r="M467" s="73"/>
      <c r="N467" s="73"/>
      <c r="O467" s="73"/>
      <c r="P467" s="73"/>
      <c r="Q467" s="73"/>
      <c r="R467" s="73"/>
      <c r="S467" s="73"/>
    </row>
    <row r="468" spans="1:19" x14ac:dyDescent="0.25">
      <c r="A468" t="s">
        <v>99</v>
      </c>
      <c r="D468" s="73"/>
      <c r="E468" s="73"/>
      <c r="F468" s="73"/>
      <c r="G468" s="73">
        <f>SUM(G461:G467)</f>
        <v>0</v>
      </c>
      <c r="H468" s="73">
        <f>SUM(H461:H467)</f>
        <v>0</v>
      </c>
      <c r="I468" s="73">
        <f>SUM(I461:I467)</f>
        <v>0</v>
      </c>
      <c r="J468" s="73">
        <f>SUM(G468:I468)</f>
        <v>0</v>
      </c>
      <c r="K468" s="73"/>
      <c r="L468" s="73"/>
      <c r="M468" s="73"/>
      <c r="N468" s="73"/>
      <c r="O468" s="73"/>
      <c r="P468" s="73"/>
      <c r="Q468" s="73"/>
      <c r="R468" s="73"/>
      <c r="S468" s="73"/>
    </row>
    <row r="469" spans="1:19" x14ac:dyDescent="0.25">
      <c r="A469" t="s">
        <v>100</v>
      </c>
      <c r="B469" t="s">
        <v>101</v>
      </c>
      <c r="D469" s="73"/>
      <c r="E469" s="73"/>
      <c r="F469" s="73"/>
      <c r="G469" s="73">
        <f>VLOOKUP($A461,LossChart!$A$3:$AB$73,14,0)</f>
        <v>655.41482899005996</v>
      </c>
      <c r="H469" s="73">
        <f>VLOOKUP($A461,LossChart!$A$3:$AB$73,15,0)</f>
        <v>80</v>
      </c>
      <c r="I469" s="73">
        <f>VLOOKUP($A461,LossChart!$A$3:$AB$73,16,0)</f>
        <v>463.76562996293683</v>
      </c>
      <c r="J469" s="73">
        <f>VLOOKUP($A461,LossChart!$A$3:$AB$73,17,0)</f>
        <v>1199.1804589529968</v>
      </c>
      <c r="K469" s="73"/>
      <c r="L469" s="73"/>
      <c r="M469" s="73"/>
      <c r="N469" s="73"/>
      <c r="O469" s="73"/>
      <c r="P469" s="73"/>
      <c r="Q469" s="73"/>
      <c r="R469" s="73"/>
      <c r="S469" s="73"/>
    </row>
    <row r="470" spans="1:19" x14ac:dyDescent="0.25">
      <c r="A470" t="s">
        <v>102</v>
      </c>
      <c r="D470" s="73"/>
      <c r="E470" s="73"/>
      <c r="F470" s="73"/>
      <c r="G470" s="73">
        <f>G469-G468</f>
        <v>655.41482899005996</v>
      </c>
      <c r="H470" s="73">
        <f>H469-H468</f>
        <v>80</v>
      </c>
      <c r="I470" s="73">
        <f>I469-I468</f>
        <v>463.76562996293683</v>
      </c>
      <c r="J470" s="73">
        <f>J469-J468</f>
        <v>1199.1804589529968</v>
      </c>
      <c r="K470" s="73"/>
      <c r="L470" s="73"/>
      <c r="M470" s="73"/>
      <c r="N470" s="73"/>
      <c r="O470" s="73"/>
      <c r="P470" s="73"/>
      <c r="Q470" s="73"/>
      <c r="R470" s="73"/>
      <c r="S470" s="73"/>
    </row>
    <row r="472" spans="1:19" ht="60" x14ac:dyDescent="0.25">
      <c r="A472" s="25" t="s">
        <v>63</v>
      </c>
      <c r="B472" s="25" t="s">
        <v>80</v>
      </c>
      <c r="C472" s="25" t="s">
        <v>81</v>
      </c>
      <c r="D472" s="69" t="str">
        <f>FoodDB!$C$1</f>
        <v>Fat
(g)</v>
      </c>
      <c r="E472" s="69" t="str">
        <f>FoodDB!$D$1</f>
        <v xml:space="preserve"> Net
Carbs
(g)</v>
      </c>
      <c r="F472" s="69" t="str">
        <f>FoodDB!$E$1</f>
        <v>Protein
(g)</v>
      </c>
      <c r="G472" s="69" t="str">
        <f>FoodDB!$F$1</f>
        <v>Fat
(Cal)</v>
      </c>
      <c r="H472" s="69" t="str">
        <f>FoodDB!$G$1</f>
        <v>Carb
(Cal)</v>
      </c>
      <c r="I472" s="69" t="str">
        <f>FoodDB!$H$1</f>
        <v>Protein
(Cal)</v>
      </c>
      <c r="J472" s="69" t="str">
        <f>FoodDB!$I$1</f>
        <v>Total
Calories</v>
      </c>
      <c r="K472" s="69"/>
      <c r="L472" s="69" t="s">
        <v>82</v>
      </c>
      <c r="M472" s="69" t="s">
        <v>83</v>
      </c>
      <c r="N472" s="69" t="s">
        <v>84</v>
      </c>
      <c r="O472" s="69" t="s">
        <v>85</v>
      </c>
      <c r="P472" s="69" t="s">
        <v>86</v>
      </c>
      <c r="Q472" s="69" t="s">
        <v>87</v>
      </c>
      <c r="R472" s="69" t="s">
        <v>88</v>
      </c>
      <c r="S472" s="69" t="s">
        <v>89</v>
      </c>
    </row>
    <row r="473" spans="1:19" x14ac:dyDescent="0.25">
      <c r="A473" s="70">
        <f>A461+1</f>
        <v>43070</v>
      </c>
      <c r="B473" s="71" t="s">
        <v>95</v>
      </c>
      <c r="C473" s="72">
        <v>1</v>
      </c>
      <c r="D473" s="73">
        <f>$C473*VLOOKUP($B473,FoodDB!$A$2:$I$1024,3,0)</f>
        <v>0</v>
      </c>
      <c r="E473" s="73">
        <f>$C473*VLOOKUP($B473,FoodDB!$A$2:$I$1024,4,0)</f>
        <v>0</v>
      </c>
      <c r="F473" s="73">
        <f>$C473*VLOOKUP($B473,FoodDB!$A$2:$I$1024,5,0)</f>
        <v>0</v>
      </c>
      <c r="G473" s="73">
        <f>$C473*VLOOKUP($B473,FoodDB!$A$2:$I$1024,6,0)</f>
        <v>0</v>
      </c>
      <c r="H473" s="73">
        <f>$C473*VLOOKUP($B473,FoodDB!$A$2:$I$1024,7,0)</f>
        <v>0</v>
      </c>
      <c r="I473" s="73">
        <f>$C473*VLOOKUP($B473,FoodDB!$A$2:$I$1024,8,0)</f>
        <v>0</v>
      </c>
      <c r="J473" s="73">
        <f>$C473*VLOOKUP($B473,FoodDB!$A$2:$I$1024,9,0)</f>
        <v>0</v>
      </c>
      <c r="K473" s="73"/>
      <c r="L473" s="73">
        <f>SUM(G473:G479)</f>
        <v>0</v>
      </c>
      <c r="M473" s="73">
        <f>SUM(H473:H479)</f>
        <v>0</v>
      </c>
      <c r="N473" s="73">
        <f>SUM(I473:I479)</f>
        <v>0</v>
      </c>
      <c r="O473" s="73">
        <f>SUM(L473:N473)</f>
        <v>0</v>
      </c>
      <c r="P473" s="73">
        <f>VLOOKUP($A473,LossChart!$A$3:$AB$73,14,0)-L473</f>
        <v>661.0235059682343</v>
      </c>
      <c r="Q473" s="73">
        <f>VLOOKUP($A473,LossChart!$A$3:$AB$73,15,0)-M473</f>
        <v>80</v>
      </c>
      <c r="R473" s="73">
        <f>VLOOKUP($A473,LossChart!$A$3:$AB$73,16,0)-N473</f>
        <v>463.76562996293683</v>
      </c>
      <c r="S473" s="73">
        <f>VLOOKUP($A473,LossChart!$A$3:$AB$73,17,0)-O473</f>
        <v>1204.7891359311711</v>
      </c>
    </row>
    <row r="474" spans="1:19" x14ac:dyDescent="0.25">
      <c r="B474" s="71" t="s">
        <v>95</v>
      </c>
      <c r="C474" s="72">
        <v>1</v>
      </c>
      <c r="D474" s="73">
        <f>$C474*VLOOKUP($B474,FoodDB!$A$2:$I$1024,3,0)</f>
        <v>0</v>
      </c>
      <c r="E474" s="73">
        <f>$C474*VLOOKUP($B474,FoodDB!$A$2:$I$1024,4,0)</f>
        <v>0</v>
      </c>
      <c r="F474" s="73">
        <f>$C474*VLOOKUP($B474,FoodDB!$A$2:$I$1024,5,0)</f>
        <v>0</v>
      </c>
      <c r="G474" s="73">
        <f>$C474*VLOOKUP($B474,FoodDB!$A$2:$I$1024,6,0)</f>
        <v>0</v>
      </c>
      <c r="H474" s="73">
        <f>$C474*VLOOKUP($B474,FoodDB!$A$2:$I$1024,7,0)</f>
        <v>0</v>
      </c>
      <c r="I474" s="73">
        <f>$C474*VLOOKUP($B474,FoodDB!$A$2:$I$1024,8,0)</f>
        <v>0</v>
      </c>
      <c r="J474" s="73">
        <f>$C474*VLOOKUP($B474,FoodDB!$A$2:$I$1024,9,0)</f>
        <v>0</v>
      </c>
      <c r="K474" s="73"/>
      <c r="L474" s="73"/>
      <c r="M474" s="73"/>
      <c r="N474" s="73"/>
      <c r="O474" s="73"/>
      <c r="P474" s="73"/>
      <c r="Q474" s="73"/>
      <c r="R474" s="73"/>
      <c r="S474" s="73"/>
    </row>
    <row r="475" spans="1:19" x14ac:dyDescent="0.25">
      <c r="B475" s="71" t="s">
        <v>95</v>
      </c>
      <c r="C475" s="72">
        <v>1</v>
      </c>
      <c r="D475" s="73">
        <f>$C475*VLOOKUP($B475,FoodDB!$A$2:$I$1024,3,0)</f>
        <v>0</v>
      </c>
      <c r="E475" s="73">
        <f>$C475*VLOOKUP($B475,FoodDB!$A$2:$I$1024,4,0)</f>
        <v>0</v>
      </c>
      <c r="F475" s="73">
        <f>$C475*VLOOKUP($B475,FoodDB!$A$2:$I$1024,5,0)</f>
        <v>0</v>
      </c>
      <c r="G475" s="73">
        <f>$C475*VLOOKUP($B475,FoodDB!$A$2:$I$1024,6,0)</f>
        <v>0</v>
      </c>
      <c r="H475" s="73">
        <f>$C475*VLOOKUP($B475,FoodDB!$A$2:$I$1024,7,0)</f>
        <v>0</v>
      </c>
      <c r="I475" s="73">
        <f>$C475*VLOOKUP($B475,FoodDB!$A$2:$I$1024,8,0)</f>
        <v>0</v>
      </c>
      <c r="J475" s="73">
        <f>$C475*VLOOKUP($B475,FoodDB!$A$2:$I$1024,9,0)</f>
        <v>0</v>
      </c>
      <c r="K475" s="73"/>
      <c r="L475" s="73"/>
      <c r="M475" s="73"/>
      <c r="N475" s="73"/>
      <c r="O475" s="73"/>
      <c r="P475" s="73"/>
      <c r="Q475" s="73"/>
      <c r="R475" s="73"/>
      <c r="S475" s="73"/>
    </row>
    <row r="476" spans="1:19" x14ac:dyDescent="0.25">
      <c r="B476" s="71" t="s">
        <v>95</v>
      </c>
      <c r="C476" s="72">
        <v>1</v>
      </c>
      <c r="D476" s="73">
        <f>$C476*VLOOKUP($B476,FoodDB!$A$2:$I$1024,3,0)</f>
        <v>0</v>
      </c>
      <c r="E476" s="73">
        <f>$C476*VLOOKUP($B476,FoodDB!$A$2:$I$1024,4,0)</f>
        <v>0</v>
      </c>
      <c r="F476" s="73">
        <f>$C476*VLOOKUP($B476,FoodDB!$A$2:$I$1024,5,0)</f>
        <v>0</v>
      </c>
      <c r="G476" s="73">
        <f>$C476*VLOOKUP($B476,FoodDB!$A$2:$I$1024,6,0)</f>
        <v>0</v>
      </c>
      <c r="H476" s="73">
        <f>$C476*VLOOKUP($B476,FoodDB!$A$2:$I$1024,7,0)</f>
        <v>0</v>
      </c>
      <c r="I476" s="73">
        <f>$C476*VLOOKUP($B476,FoodDB!$A$2:$I$1024,8,0)</f>
        <v>0</v>
      </c>
      <c r="J476" s="73">
        <f>$C476*VLOOKUP($B476,FoodDB!$A$2:$I$1024,9,0)</f>
        <v>0</v>
      </c>
      <c r="K476" s="73"/>
      <c r="L476" s="73"/>
      <c r="M476" s="73"/>
      <c r="N476" s="73"/>
      <c r="O476" s="73"/>
      <c r="P476" s="73"/>
      <c r="Q476" s="73"/>
      <c r="R476" s="73"/>
      <c r="S476" s="73"/>
    </row>
    <row r="477" spans="1:19" x14ac:dyDescent="0.25">
      <c r="B477" s="71" t="s">
        <v>95</v>
      </c>
      <c r="C477" s="72">
        <v>1</v>
      </c>
      <c r="D477" s="73">
        <f>$C477*VLOOKUP($B477,FoodDB!$A$2:$I$1024,3,0)</f>
        <v>0</v>
      </c>
      <c r="E477" s="73">
        <f>$C477*VLOOKUP($B477,FoodDB!$A$2:$I$1024,4,0)</f>
        <v>0</v>
      </c>
      <c r="F477" s="73">
        <f>$C477*VLOOKUP($B477,FoodDB!$A$2:$I$1024,5,0)</f>
        <v>0</v>
      </c>
      <c r="G477" s="73">
        <f>$C477*VLOOKUP($B477,FoodDB!$A$2:$I$1024,6,0)</f>
        <v>0</v>
      </c>
      <c r="H477" s="73">
        <f>$C477*VLOOKUP($B477,FoodDB!$A$2:$I$1024,7,0)</f>
        <v>0</v>
      </c>
      <c r="I477" s="73">
        <f>$C477*VLOOKUP($B477,FoodDB!$A$2:$I$1024,8,0)</f>
        <v>0</v>
      </c>
      <c r="J477" s="73">
        <f>$C477*VLOOKUP($B477,FoodDB!$A$2:$I$1024,9,0)</f>
        <v>0</v>
      </c>
      <c r="K477" s="73"/>
      <c r="L477" s="73"/>
      <c r="M477" s="73"/>
      <c r="N477" s="73"/>
      <c r="O477" s="73"/>
      <c r="P477" s="73"/>
      <c r="Q477" s="73"/>
      <c r="R477" s="73"/>
      <c r="S477" s="73"/>
    </row>
    <row r="478" spans="1:19" x14ac:dyDescent="0.25">
      <c r="B478" s="71" t="s">
        <v>95</v>
      </c>
      <c r="C478" s="72">
        <v>1</v>
      </c>
      <c r="D478" s="73">
        <f>$C478*VLOOKUP($B478,FoodDB!$A$2:$I$1024,3,0)</f>
        <v>0</v>
      </c>
      <c r="E478" s="73">
        <f>$C478*VLOOKUP($B478,FoodDB!$A$2:$I$1024,4,0)</f>
        <v>0</v>
      </c>
      <c r="F478" s="73">
        <f>$C478*VLOOKUP($B478,FoodDB!$A$2:$I$1024,5,0)</f>
        <v>0</v>
      </c>
      <c r="G478" s="73">
        <f>$C478*VLOOKUP($B478,FoodDB!$A$2:$I$1024,6,0)</f>
        <v>0</v>
      </c>
      <c r="H478" s="73">
        <f>$C478*VLOOKUP($B478,FoodDB!$A$2:$I$1024,7,0)</f>
        <v>0</v>
      </c>
      <c r="I478" s="73">
        <f>$C478*VLOOKUP($B478,FoodDB!$A$2:$I$1024,8,0)</f>
        <v>0</v>
      </c>
      <c r="J478" s="73">
        <f>$C478*VLOOKUP($B478,FoodDB!$A$2:$I$1024,9,0)</f>
        <v>0</v>
      </c>
      <c r="K478" s="73"/>
      <c r="L478" s="73"/>
      <c r="M478" s="73"/>
      <c r="N478" s="73"/>
      <c r="O478" s="73"/>
      <c r="P478" s="73"/>
      <c r="Q478" s="73"/>
      <c r="R478" s="73"/>
      <c r="S478" s="73"/>
    </row>
    <row r="479" spans="1:19" x14ac:dyDescent="0.25">
      <c r="B479" s="71" t="s">
        <v>95</v>
      </c>
      <c r="C479" s="72">
        <v>1</v>
      </c>
      <c r="D479" s="73">
        <f>$C479*VLOOKUP($B479,FoodDB!$A$2:$I$1024,3,0)</f>
        <v>0</v>
      </c>
      <c r="E479" s="73">
        <f>$C479*VLOOKUP($B479,FoodDB!$A$2:$I$1024,4,0)</f>
        <v>0</v>
      </c>
      <c r="F479" s="73">
        <f>$C479*VLOOKUP($B479,FoodDB!$A$2:$I$1024,5,0)</f>
        <v>0</v>
      </c>
      <c r="G479" s="73">
        <f>$C479*VLOOKUP($B479,FoodDB!$A$2:$I$1024,6,0)</f>
        <v>0</v>
      </c>
      <c r="H479" s="73">
        <f>$C479*VLOOKUP($B479,FoodDB!$A$2:$I$1024,7,0)</f>
        <v>0</v>
      </c>
      <c r="I479" s="73">
        <f>$C479*VLOOKUP($B479,FoodDB!$A$2:$I$1024,8,0)</f>
        <v>0</v>
      </c>
      <c r="J479" s="73">
        <f>$C479*VLOOKUP($B479,FoodDB!$A$2:$I$1024,9,0)</f>
        <v>0</v>
      </c>
      <c r="K479" s="73"/>
      <c r="L479" s="73"/>
      <c r="M479" s="73"/>
      <c r="N479" s="73"/>
      <c r="O479" s="73"/>
      <c r="P479" s="73"/>
      <c r="Q479" s="73"/>
      <c r="R479" s="73"/>
      <c r="S479" s="73"/>
    </row>
    <row r="480" spans="1:19" x14ac:dyDescent="0.25">
      <c r="A480" t="s">
        <v>99</v>
      </c>
      <c r="D480" s="73"/>
      <c r="E480" s="73"/>
      <c r="F480" s="73"/>
      <c r="G480" s="73">
        <f>SUM(G473:G479)</f>
        <v>0</v>
      </c>
      <c r="H480" s="73">
        <f>SUM(H473:H479)</f>
        <v>0</v>
      </c>
      <c r="I480" s="73">
        <f>SUM(I473:I479)</f>
        <v>0</v>
      </c>
      <c r="J480" s="73">
        <f>SUM(G480:I480)</f>
        <v>0</v>
      </c>
      <c r="K480" s="73"/>
      <c r="L480" s="73"/>
      <c r="M480" s="73"/>
      <c r="N480" s="73"/>
      <c r="O480" s="73"/>
      <c r="P480" s="73"/>
      <c r="Q480" s="73"/>
      <c r="R480" s="73"/>
      <c r="S480" s="73"/>
    </row>
    <row r="481" spans="1:19" x14ac:dyDescent="0.25">
      <c r="A481" t="s">
        <v>100</v>
      </c>
      <c r="B481" t="s">
        <v>101</v>
      </c>
      <c r="D481" s="73"/>
      <c r="E481" s="73"/>
      <c r="F481" s="73"/>
      <c r="G481" s="73">
        <f>VLOOKUP($A473,LossChart!$A$3:$AB$73,14,0)</f>
        <v>661.0235059682343</v>
      </c>
      <c r="H481" s="73">
        <f>VLOOKUP($A473,LossChart!$A$3:$AB$73,15,0)</f>
        <v>80</v>
      </c>
      <c r="I481" s="73">
        <f>VLOOKUP($A473,LossChart!$A$3:$AB$73,16,0)</f>
        <v>463.76562996293683</v>
      </c>
      <c r="J481" s="73">
        <f>VLOOKUP($A473,LossChart!$A$3:$AB$73,17,0)</f>
        <v>1204.7891359311711</v>
      </c>
      <c r="K481" s="73"/>
      <c r="L481" s="73"/>
      <c r="M481" s="73"/>
      <c r="N481" s="73"/>
      <c r="O481" s="73"/>
      <c r="P481" s="73"/>
      <c r="Q481" s="73"/>
      <c r="R481" s="73"/>
      <c r="S481" s="73"/>
    </row>
    <row r="482" spans="1:19" x14ac:dyDescent="0.25">
      <c r="A482" t="s">
        <v>102</v>
      </c>
      <c r="D482" s="73"/>
      <c r="E482" s="73"/>
      <c r="F482" s="73"/>
      <c r="G482" s="73">
        <f>G481-G480</f>
        <v>661.0235059682343</v>
      </c>
      <c r="H482" s="73">
        <f>H481-H480</f>
        <v>80</v>
      </c>
      <c r="I482" s="73">
        <f>I481-I480</f>
        <v>463.76562996293683</v>
      </c>
      <c r="J482" s="73">
        <f>J481-J480</f>
        <v>1204.7891359311711</v>
      </c>
      <c r="K482" s="73"/>
      <c r="L482" s="73"/>
      <c r="M482" s="73"/>
      <c r="N482" s="73"/>
      <c r="O482" s="73"/>
      <c r="P482" s="73"/>
      <c r="Q482" s="73"/>
      <c r="R482" s="73"/>
      <c r="S482" s="73"/>
    </row>
    <row r="484" spans="1:19" ht="60" x14ac:dyDescent="0.25">
      <c r="A484" s="25" t="s">
        <v>63</v>
      </c>
      <c r="B484" s="25" t="s">
        <v>80</v>
      </c>
      <c r="C484" s="25" t="s">
        <v>81</v>
      </c>
      <c r="D484" s="69" t="str">
        <f>FoodDB!$C$1</f>
        <v>Fat
(g)</v>
      </c>
      <c r="E484" s="69" t="str">
        <f>FoodDB!$D$1</f>
        <v xml:space="preserve"> Net
Carbs
(g)</v>
      </c>
      <c r="F484" s="69" t="str">
        <f>FoodDB!$E$1</f>
        <v>Protein
(g)</v>
      </c>
      <c r="G484" s="69" t="str">
        <f>FoodDB!$F$1</f>
        <v>Fat
(Cal)</v>
      </c>
      <c r="H484" s="69" t="str">
        <f>FoodDB!$G$1</f>
        <v>Carb
(Cal)</v>
      </c>
      <c r="I484" s="69" t="str">
        <f>FoodDB!$H$1</f>
        <v>Protein
(Cal)</v>
      </c>
      <c r="J484" s="69" t="str">
        <f>FoodDB!$I$1</f>
        <v>Total
Calories</v>
      </c>
      <c r="K484" s="69"/>
      <c r="L484" s="69" t="s">
        <v>82</v>
      </c>
      <c r="M484" s="69" t="s">
        <v>83</v>
      </c>
      <c r="N484" s="69" t="s">
        <v>84</v>
      </c>
      <c r="O484" s="69" t="s">
        <v>85</v>
      </c>
      <c r="P484" s="69" t="s">
        <v>86</v>
      </c>
      <c r="Q484" s="69" t="s">
        <v>87</v>
      </c>
      <c r="R484" s="69" t="s">
        <v>88</v>
      </c>
      <c r="S484" s="69" t="s">
        <v>89</v>
      </c>
    </row>
    <row r="485" spans="1:19" x14ac:dyDescent="0.25">
      <c r="A485" s="70">
        <f>A473+1</f>
        <v>43071</v>
      </c>
      <c r="B485" s="71" t="s">
        <v>95</v>
      </c>
      <c r="C485" s="72">
        <v>1</v>
      </c>
      <c r="D485" s="73">
        <f>$C485*VLOOKUP($B485,FoodDB!$A$2:$I$1024,3,0)</f>
        <v>0</v>
      </c>
      <c r="E485" s="73">
        <f>$C485*VLOOKUP($B485,FoodDB!$A$2:$I$1024,4,0)</f>
        <v>0</v>
      </c>
      <c r="F485" s="73">
        <f>$C485*VLOOKUP($B485,FoodDB!$A$2:$I$1024,5,0)</f>
        <v>0</v>
      </c>
      <c r="G485" s="73">
        <f>$C485*VLOOKUP($B485,FoodDB!$A$2:$I$1024,6,0)</f>
        <v>0</v>
      </c>
      <c r="H485" s="73">
        <f>$C485*VLOOKUP($B485,FoodDB!$A$2:$I$1024,7,0)</f>
        <v>0</v>
      </c>
      <c r="I485" s="73">
        <f>$C485*VLOOKUP($B485,FoodDB!$A$2:$I$1024,8,0)</f>
        <v>0</v>
      </c>
      <c r="J485" s="73">
        <f>$C485*VLOOKUP($B485,FoodDB!$A$2:$I$1024,9,0)</f>
        <v>0</v>
      </c>
      <c r="K485" s="73"/>
      <c r="L485" s="73">
        <f>SUM(G485:G491)</f>
        <v>0</v>
      </c>
      <c r="M485" s="73">
        <f>SUM(H485:H491)</f>
        <v>0</v>
      </c>
      <c r="N485" s="73">
        <f>SUM(I485:I491)</f>
        <v>0</v>
      </c>
      <c r="O485" s="73">
        <f>SUM(L485:N485)</f>
        <v>0</v>
      </c>
      <c r="P485" s="73">
        <f>VLOOKUP($A485,LossChart!$A$3:$AB$73,14,0)-L485</f>
        <v>666.58250609317338</v>
      </c>
      <c r="Q485" s="73">
        <f>VLOOKUP($A485,LossChart!$A$3:$AB$73,15,0)-M485</f>
        <v>80</v>
      </c>
      <c r="R485" s="73">
        <f>VLOOKUP($A485,LossChart!$A$3:$AB$73,16,0)-N485</f>
        <v>463.76562996293683</v>
      </c>
      <c r="S485" s="73">
        <f>VLOOKUP($A485,LossChart!$A$3:$AB$73,17,0)-O485</f>
        <v>1210.3481360561102</v>
      </c>
    </row>
    <row r="486" spans="1:19" x14ac:dyDescent="0.25">
      <c r="B486" s="71" t="s">
        <v>95</v>
      </c>
      <c r="C486" s="72">
        <v>1</v>
      </c>
      <c r="D486" s="73">
        <f>$C486*VLOOKUP($B486,FoodDB!$A$2:$I$1024,3,0)</f>
        <v>0</v>
      </c>
      <c r="E486" s="73">
        <f>$C486*VLOOKUP($B486,FoodDB!$A$2:$I$1024,4,0)</f>
        <v>0</v>
      </c>
      <c r="F486" s="73">
        <f>$C486*VLOOKUP($B486,FoodDB!$A$2:$I$1024,5,0)</f>
        <v>0</v>
      </c>
      <c r="G486" s="73">
        <f>$C486*VLOOKUP($B486,FoodDB!$A$2:$I$1024,6,0)</f>
        <v>0</v>
      </c>
      <c r="H486" s="73">
        <f>$C486*VLOOKUP($B486,FoodDB!$A$2:$I$1024,7,0)</f>
        <v>0</v>
      </c>
      <c r="I486" s="73">
        <f>$C486*VLOOKUP($B486,FoodDB!$A$2:$I$1024,8,0)</f>
        <v>0</v>
      </c>
      <c r="J486" s="73">
        <f>$C486*VLOOKUP($B486,FoodDB!$A$2:$I$1024,9,0)</f>
        <v>0</v>
      </c>
      <c r="K486" s="73"/>
      <c r="L486" s="73"/>
      <c r="M486" s="73"/>
      <c r="N486" s="73"/>
      <c r="O486" s="73"/>
      <c r="P486" s="73"/>
      <c r="Q486" s="73"/>
      <c r="R486" s="73"/>
      <c r="S486" s="73"/>
    </row>
    <row r="487" spans="1:19" x14ac:dyDescent="0.25">
      <c r="B487" s="71" t="s">
        <v>95</v>
      </c>
      <c r="C487" s="72">
        <v>1</v>
      </c>
      <c r="D487" s="73">
        <f>$C487*VLOOKUP($B487,FoodDB!$A$2:$I$1024,3,0)</f>
        <v>0</v>
      </c>
      <c r="E487" s="73">
        <f>$C487*VLOOKUP($B487,FoodDB!$A$2:$I$1024,4,0)</f>
        <v>0</v>
      </c>
      <c r="F487" s="73">
        <f>$C487*VLOOKUP($B487,FoodDB!$A$2:$I$1024,5,0)</f>
        <v>0</v>
      </c>
      <c r="G487" s="73">
        <f>$C487*VLOOKUP($B487,FoodDB!$A$2:$I$1024,6,0)</f>
        <v>0</v>
      </c>
      <c r="H487" s="73">
        <f>$C487*VLOOKUP($B487,FoodDB!$A$2:$I$1024,7,0)</f>
        <v>0</v>
      </c>
      <c r="I487" s="73">
        <f>$C487*VLOOKUP($B487,FoodDB!$A$2:$I$1024,8,0)</f>
        <v>0</v>
      </c>
      <c r="J487" s="73">
        <f>$C487*VLOOKUP($B487,FoodDB!$A$2:$I$1024,9,0)</f>
        <v>0</v>
      </c>
      <c r="K487" s="73"/>
      <c r="L487" s="73"/>
      <c r="M487" s="73"/>
      <c r="N487" s="73"/>
      <c r="O487" s="73"/>
      <c r="P487" s="73"/>
      <c r="Q487" s="73"/>
      <c r="R487" s="73"/>
      <c r="S487" s="73"/>
    </row>
    <row r="488" spans="1:19" x14ac:dyDescent="0.25">
      <c r="B488" s="71" t="s">
        <v>95</v>
      </c>
      <c r="C488" s="72">
        <v>1</v>
      </c>
      <c r="D488" s="73">
        <f>$C488*VLOOKUP($B488,FoodDB!$A$2:$I$1024,3,0)</f>
        <v>0</v>
      </c>
      <c r="E488" s="73">
        <f>$C488*VLOOKUP($B488,FoodDB!$A$2:$I$1024,4,0)</f>
        <v>0</v>
      </c>
      <c r="F488" s="73">
        <f>$C488*VLOOKUP($B488,FoodDB!$A$2:$I$1024,5,0)</f>
        <v>0</v>
      </c>
      <c r="G488" s="73">
        <f>$C488*VLOOKUP($B488,FoodDB!$A$2:$I$1024,6,0)</f>
        <v>0</v>
      </c>
      <c r="H488" s="73">
        <f>$C488*VLOOKUP($B488,FoodDB!$A$2:$I$1024,7,0)</f>
        <v>0</v>
      </c>
      <c r="I488" s="73">
        <f>$C488*VLOOKUP($B488,FoodDB!$A$2:$I$1024,8,0)</f>
        <v>0</v>
      </c>
      <c r="J488" s="73">
        <f>$C488*VLOOKUP($B488,FoodDB!$A$2:$I$1024,9,0)</f>
        <v>0</v>
      </c>
      <c r="K488" s="73"/>
      <c r="L488" s="73"/>
      <c r="M488" s="73"/>
      <c r="N488" s="73"/>
      <c r="O488" s="73"/>
      <c r="P488" s="73"/>
      <c r="Q488" s="73"/>
      <c r="R488" s="73"/>
      <c r="S488" s="73"/>
    </row>
    <row r="489" spans="1:19" x14ac:dyDescent="0.25">
      <c r="B489" s="71" t="s">
        <v>95</v>
      </c>
      <c r="C489" s="72">
        <v>1</v>
      </c>
      <c r="D489" s="73">
        <f>$C489*VLOOKUP($B489,FoodDB!$A$2:$I$1024,3,0)</f>
        <v>0</v>
      </c>
      <c r="E489" s="73">
        <f>$C489*VLOOKUP($B489,FoodDB!$A$2:$I$1024,4,0)</f>
        <v>0</v>
      </c>
      <c r="F489" s="73">
        <f>$C489*VLOOKUP($B489,FoodDB!$A$2:$I$1024,5,0)</f>
        <v>0</v>
      </c>
      <c r="G489" s="73">
        <f>$C489*VLOOKUP($B489,FoodDB!$A$2:$I$1024,6,0)</f>
        <v>0</v>
      </c>
      <c r="H489" s="73">
        <f>$C489*VLOOKUP($B489,FoodDB!$A$2:$I$1024,7,0)</f>
        <v>0</v>
      </c>
      <c r="I489" s="73">
        <f>$C489*VLOOKUP($B489,FoodDB!$A$2:$I$1024,8,0)</f>
        <v>0</v>
      </c>
      <c r="J489" s="73">
        <f>$C489*VLOOKUP($B489,FoodDB!$A$2:$I$1024,9,0)</f>
        <v>0</v>
      </c>
      <c r="K489" s="73"/>
      <c r="L489" s="73"/>
      <c r="M489" s="73"/>
      <c r="N489" s="73"/>
      <c r="O489" s="73"/>
      <c r="P489" s="73"/>
      <c r="Q489" s="73"/>
      <c r="R489" s="73"/>
      <c r="S489" s="73"/>
    </row>
    <row r="490" spans="1:19" x14ac:dyDescent="0.25">
      <c r="B490" s="71" t="s">
        <v>95</v>
      </c>
      <c r="C490" s="72">
        <v>1</v>
      </c>
      <c r="D490" s="73">
        <f>$C490*VLOOKUP($B490,FoodDB!$A$2:$I$1024,3,0)</f>
        <v>0</v>
      </c>
      <c r="E490" s="73">
        <f>$C490*VLOOKUP($B490,FoodDB!$A$2:$I$1024,4,0)</f>
        <v>0</v>
      </c>
      <c r="F490" s="73">
        <f>$C490*VLOOKUP($B490,FoodDB!$A$2:$I$1024,5,0)</f>
        <v>0</v>
      </c>
      <c r="G490" s="73">
        <f>$C490*VLOOKUP($B490,FoodDB!$A$2:$I$1024,6,0)</f>
        <v>0</v>
      </c>
      <c r="H490" s="73">
        <f>$C490*VLOOKUP($B490,FoodDB!$A$2:$I$1024,7,0)</f>
        <v>0</v>
      </c>
      <c r="I490" s="73">
        <f>$C490*VLOOKUP($B490,FoodDB!$A$2:$I$1024,8,0)</f>
        <v>0</v>
      </c>
      <c r="J490" s="73">
        <f>$C490*VLOOKUP($B490,FoodDB!$A$2:$I$1024,9,0)</f>
        <v>0</v>
      </c>
      <c r="K490" s="73"/>
      <c r="L490" s="73"/>
      <c r="M490" s="73"/>
      <c r="N490" s="73"/>
      <c r="O490" s="73"/>
      <c r="P490" s="73"/>
      <c r="Q490" s="73"/>
      <c r="R490" s="73"/>
      <c r="S490" s="73"/>
    </row>
    <row r="491" spans="1:19" x14ac:dyDescent="0.25">
      <c r="B491" s="71" t="s">
        <v>95</v>
      </c>
      <c r="C491" s="72">
        <v>1</v>
      </c>
      <c r="D491" s="73">
        <f>$C491*VLOOKUP($B491,FoodDB!$A$2:$I$1024,3,0)</f>
        <v>0</v>
      </c>
      <c r="E491" s="73">
        <f>$C491*VLOOKUP($B491,FoodDB!$A$2:$I$1024,4,0)</f>
        <v>0</v>
      </c>
      <c r="F491" s="73">
        <f>$C491*VLOOKUP($B491,FoodDB!$A$2:$I$1024,5,0)</f>
        <v>0</v>
      </c>
      <c r="G491" s="73">
        <f>$C491*VLOOKUP($B491,FoodDB!$A$2:$I$1024,6,0)</f>
        <v>0</v>
      </c>
      <c r="H491" s="73">
        <f>$C491*VLOOKUP($B491,FoodDB!$A$2:$I$1024,7,0)</f>
        <v>0</v>
      </c>
      <c r="I491" s="73">
        <f>$C491*VLOOKUP($B491,FoodDB!$A$2:$I$1024,8,0)</f>
        <v>0</v>
      </c>
      <c r="J491" s="73">
        <f>$C491*VLOOKUP($B491,FoodDB!$A$2:$I$1024,9,0)</f>
        <v>0</v>
      </c>
      <c r="K491" s="73"/>
      <c r="L491" s="73"/>
      <c r="M491" s="73"/>
      <c r="N491" s="73"/>
      <c r="O491" s="73"/>
      <c r="P491" s="73"/>
      <c r="Q491" s="73"/>
      <c r="R491" s="73"/>
      <c r="S491" s="73"/>
    </row>
    <row r="492" spans="1:19" x14ac:dyDescent="0.25">
      <c r="A492" t="s">
        <v>99</v>
      </c>
      <c r="D492" s="73"/>
      <c r="E492" s="73"/>
      <c r="F492" s="73"/>
      <c r="G492" s="73">
        <f>SUM(G485:G491)</f>
        <v>0</v>
      </c>
      <c r="H492" s="73">
        <f>SUM(H485:H491)</f>
        <v>0</v>
      </c>
      <c r="I492" s="73">
        <f>SUM(I485:I491)</f>
        <v>0</v>
      </c>
      <c r="J492" s="73">
        <f>SUM(G492:I492)</f>
        <v>0</v>
      </c>
      <c r="K492" s="73"/>
      <c r="L492" s="73"/>
      <c r="M492" s="73"/>
      <c r="N492" s="73"/>
      <c r="O492" s="73"/>
      <c r="P492" s="73"/>
      <c r="Q492" s="73"/>
      <c r="R492" s="73"/>
      <c r="S492" s="73"/>
    </row>
    <row r="493" spans="1:19" x14ac:dyDescent="0.25">
      <c r="A493" t="s">
        <v>100</v>
      </c>
      <c r="B493" t="s">
        <v>101</v>
      </c>
      <c r="D493" s="73"/>
      <c r="E493" s="73"/>
      <c r="F493" s="73"/>
      <c r="G493" s="73">
        <f>VLOOKUP($A485,LossChart!$A$3:$AB$73,14,0)</f>
        <v>666.58250609317338</v>
      </c>
      <c r="H493" s="73">
        <f>VLOOKUP($A485,LossChart!$A$3:$AB$73,15,0)</f>
        <v>80</v>
      </c>
      <c r="I493" s="73">
        <f>VLOOKUP($A485,LossChart!$A$3:$AB$73,16,0)</f>
        <v>463.76562996293683</v>
      </c>
      <c r="J493" s="73">
        <f>VLOOKUP($A485,LossChart!$A$3:$AB$73,17,0)</f>
        <v>1210.3481360561102</v>
      </c>
      <c r="K493" s="73"/>
      <c r="L493" s="73"/>
      <c r="M493" s="73"/>
      <c r="N493" s="73"/>
      <c r="O493" s="73"/>
      <c r="P493" s="73"/>
      <c r="Q493" s="73"/>
      <c r="R493" s="73"/>
      <c r="S493" s="73"/>
    </row>
    <row r="494" spans="1:19" x14ac:dyDescent="0.25">
      <c r="A494" t="s">
        <v>102</v>
      </c>
      <c r="D494" s="73"/>
      <c r="E494" s="73"/>
      <c r="F494" s="73"/>
      <c r="G494" s="73">
        <f>G493-G492</f>
        <v>666.58250609317338</v>
      </c>
      <c r="H494" s="73">
        <f>H493-H492</f>
        <v>80</v>
      </c>
      <c r="I494" s="73">
        <f>I493-I492</f>
        <v>463.76562996293683</v>
      </c>
      <c r="J494" s="73">
        <f>J493-J492</f>
        <v>1210.3481360561102</v>
      </c>
      <c r="K494" s="73"/>
      <c r="L494" s="73"/>
      <c r="M494" s="73"/>
      <c r="N494" s="73"/>
      <c r="O494" s="73"/>
      <c r="P494" s="73"/>
      <c r="Q494" s="73"/>
      <c r="R494" s="73"/>
      <c r="S494" s="73"/>
    </row>
    <row r="496" spans="1:19" ht="60" x14ac:dyDescent="0.25">
      <c r="A496" s="25" t="s">
        <v>63</v>
      </c>
      <c r="B496" s="25" t="s">
        <v>80</v>
      </c>
      <c r="C496" s="25" t="s">
        <v>81</v>
      </c>
      <c r="D496" s="69" t="str">
        <f>FoodDB!$C$1</f>
        <v>Fat
(g)</v>
      </c>
      <c r="E496" s="69" t="str">
        <f>FoodDB!$D$1</f>
        <v xml:space="preserve"> Net
Carbs
(g)</v>
      </c>
      <c r="F496" s="69" t="str">
        <f>FoodDB!$E$1</f>
        <v>Protein
(g)</v>
      </c>
      <c r="G496" s="69" t="str">
        <f>FoodDB!$F$1</f>
        <v>Fat
(Cal)</v>
      </c>
      <c r="H496" s="69" t="str">
        <f>FoodDB!$G$1</f>
        <v>Carb
(Cal)</v>
      </c>
      <c r="I496" s="69" t="str">
        <f>FoodDB!$H$1</f>
        <v>Protein
(Cal)</v>
      </c>
      <c r="J496" s="69" t="str">
        <f>FoodDB!$I$1</f>
        <v>Total
Calories</v>
      </c>
      <c r="K496" s="69"/>
      <c r="L496" s="69" t="s">
        <v>82</v>
      </c>
      <c r="M496" s="69" t="s">
        <v>83</v>
      </c>
      <c r="N496" s="69" t="s">
        <v>84</v>
      </c>
      <c r="O496" s="69" t="s">
        <v>85</v>
      </c>
      <c r="P496" s="69" t="s">
        <v>86</v>
      </c>
      <c r="Q496" s="69" t="s">
        <v>87</v>
      </c>
      <c r="R496" s="69" t="s">
        <v>88</v>
      </c>
      <c r="S496" s="69" t="s">
        <v>89</v>
      </c>
    </row>
    <row r="497" spans="1:19" x14ac:dyDescent="0.25">
      <c r="A497" s="70">
        <f>A485+1</f>
        <v>43072</v>
      </c>
      <c r="B497" s="71" t="s">
        <v>95</v>
      </c>
      <c r="C497" s="72">
        <v>1</v>
      </c>
      <c r="D497" s="73">
        <f>$C497*VLOOKUP($B497,FoodDB!$A$2:$I$1024,3,0)</f>
        <v>0</v>
      </c>
      <c r="E497" s="73">
        <f>$C497*VLOOKUP($B497,FoodDB!$A$2:$I$1024,4,0)</f>
        <v>0</v>
      </c>
      <c r="F497" s="73">
        <f>$C497*VLOOKUP($B497,FoodDB!$A$2:$I$1024,5,0)</f>
        <v>0</v>
      </c>
      <c r="G497" s="73">
        <f>$C497*VLOOKUP($B497,FoodDB!$A$2:$I$1024,6,0)</f>
        <v>0</v>
      </c>
      <c r="H497" s="73">
        <f>$C497*VLOOKUP($B497,FoodDB!$A$2:$I$1024,7,0)</f>
        <v>0</v>
      </c>
      <c r="I497" s="73">
        <f>$C497*VLOOKUP($B497,FoodDB!$A$2:$I$1024,8,0)</f>
        <v>0</v>
      </c>
      <c r="J497" s="73">
        <f>$C497*VLOOKUP($B497,FoodDB!$A$2:$I$1024,9,0)</f>
        <v>0</v>
      </c>
      <c r="K497" s="73"/>
      <c r="L497" s="73">
        <f>SUM(G497:G503)</f>
        <v>0</v>
      </c>
      <c r="M497" s="73">
        <f>SUM(H497:H503)</f>
        <v>0</v>
      </c>
      <c r="N497" s="73">
        <f>SUM(I497:I503)</f>
        <v>0</v>
      </c>
      <c r="O497" s="73">
        <f>SUM(L497:N497)</f>
        <v>0</v>
      </c>
      <c r="P497" s="73">
        <f>VLOOKUP($A497,LossChart!$A$3:$AB$73,14,0)-L497</f>
        <v>672.09226935986248</v>
      </c>
      <c r="Q497" s="73">
        <f>VLOOKUP($A497,LossChart!$A$3:$AB$73,15,0)-M497</f>
        <v>80</v>
      </c>
      <c r="R497" s="73">
        <f>VLOOKUP($A497,LossChart!$A$3:$AB$73,16,0)-N497</f>
        <v>463.76562996293683</v>
      </c>
      <c r="S497" s="73">
        <f>VLOOKUP($A497,LossChart!$A$3:$AB$73,17,0)-O497</f>
        <v>1215.8578993227993</v>
      </c>
    </row>
    <row r="498" spans="1:19" x14ac:dyDescent="0.25">
      <c r="B498" s="71" t="s">
        <v>95</v>
      </c>
      <c r="C498" s="72">
        <v>1</v>
      </c>
      <c r="D498" s="73">
        <f>$C498*VLOOKUP($B498,FoodDB!$A$2:$I$1024,3,0)</f>
        <v>0</v>
      </c>
      <c r="E498" s="73">
        <f>$C498*VLOOKUP($B498,FoodDB!$A$2:$I$1024,4,0)</f>
        <v>0</v>
      </c>
      <c r="F498" s="73">
        <f>$C498*VLOOKUP($B498,FoodDB!$A$2:$I$1024,5,0)</f>
        <v>0</v>
      </c>
      <c r="G498" s="73">
        <f>$C498*VLOOKUP($B498,FoodDB!$A$2:$I$1024,6,0)</f>
        <v>0</v>
      </c>
      <c r="H498" s="73">
        <f>$C498*VLOOKUP($B498,FoodDB!$A$2:$I$1024,7,0)</f>
        <v>0</v>
      </c>
      <c r="I498" s="73">
        <f>$C498*VLOOKUP($B498,FoodDB!$A$2:$I$1024,8,0)</f>
        <v>0</v>
      </c>
      <c r="J498" s="73">
        <f>$C498*VLOOKUP($B498,FoodDB!$A$2:$I$1024,9,0)</f>
        <v>0</v>
      </c>
      <c r="K498" s="73"/>
      <c r="L498" s="73"/>
      <c r="M498" s="73"/>
      <c r="N498" s="73"/>
      <c r="O498" s="73"/>
      <c r="P498" s="73"/>
      <c r="Q498" s="73"/>
      <c r="R498" s="73"/>
      <c r="S498" s="73"/>
    </row>
    <row r="499" spans="1:19" x14ac:dyDescent="0.25">
      <c r="B499" s="71" t="s">
        <v>95</v>
      </c>
      <c r="C499" s="72">
        <v>1</v>
      </c>
      <c r="D499" s="73">
        <f>$C499*VLOOKUP($B499,FoodDB!$A$2:$I$1024,3,0)</f>
        <v>0</v>
      </c>
      <c r="E499" s="73">
        <f>$C499*VLOOKUP($B499,FoodDB!$A$2:$I$1024,4,0)</f>
        <v>0</v>
      </c>
      <c r="F499" s="73">
        <f>$C499*VLOOKUP($B499,FoodDB!$A$2:$I$1024,5,0)</f>
        <v>0</v>
      </c>
      <c r="G499" s="73">
        <f>$C499*VLOOKUP($B499,FoodDB!$A$2:$I$1024,6,0)</f>
        <v>0</v>
      </c>
      <c r="H499" s="73">
        <f>$C499*VLOOKUP($B499,FoodDB!$A$2:$I$1024,7,0)</f>
        <v>0</v>
      </c>
      <c r="I499" s="73">
        <f>$C499*VLOOKUP($B499,FoodDB!$A$2:$I$1024,8,0)</f>
        <v>0</v>
      </c>
      <c r="J499" s="73">
        <f>$C499*VLOOKUP($B499,FoodDB!$A$2:$I$1024,9,0)</f>
        <v>0</v>
      </c>
      <c r="K499" s="73"/>
      <c r="L499" s="73"/>
      <c r="M499" s="73"/>
      <c r="N499" s="73"/>
      <c r="O499" s="73"/>
      <c r="P499" s="73"/>
      <c r="Q499" s="73"/>
      <c r="R499" s="73"/>
      <c r="S499" s="73"/>
    </row>
    <row r="500" spans="1:19" x14ac:dyDescent="0.25">
      <c r="B500" s="71" t="s">
        <v>95</v>
      </c>
      <c r="C500" s="72">
        <v>1</v>
      </c>
      <c r="D500" s="73">
        <f>$C500*VLOOKUP($B500,FoodDB!$A$2:$I$1024,3,0)</f>
        <v>0</v>
      </c>
      <c r="E500" s="73">
        <f>$C500*VLOOKUP($B500,FoodDB!$A$2:$I$1024,4,0)</f>
        <v>0</v>
      </c>
      <c r="F500" s="73">
        <f>$C500*VLOOKUP($B500,FoodDB!$A$2:$I$1024,5,0)</f>
        <v>0</v>
      </c>
      <c r="G500" s="73">
        <f>$C500*VLOOKUP($B500,FoodDB!$A$2:$I$1024,6,0)</f>
        <v>0</v>
      </c>
      <c r="H500" s="73">
        <f>$C500*VLOOKUP($B500,FoodDB!$A$2:$I$1024,7,0)</f>
        <v>0</v>
      </c>
      <c r="I500" s="73">
        <f>$C500*VLOOKUP($B500,FoodDB!$A$2:$I$1024,8,0)</f>
        <v>0</v>
      </c>
      <c r="J500" s="73">
        <f>$C500*VLOOKUP($B500,FoodDB!$A$2:$I$1024,9,0)</f>
        <v>0</v>
      </c>
      <c r="K500" s="73"/>
      <c r="L500" s="73"/>
      <c r="M500" s="73"/>
      <c r="N500" s="73"/>
      <c r="O500" s="73"/>
      <c r="P500" s="73"/>
      <c r="Q500" s="73"/>
      <c r="R500" s="73"/>
      <c r="S500" s="73"/>
    </row>
    <row r="501" spans="1:19" x14ac:dyDescent="0.25">
      <c r="B501" s="71" t="s">
        <v>95</v>
      </c>
      <c r="C501" s="72">
        <v>1</v>
      </c>
      <c r="D501" s="73">
        <f>$C501*VLOOKUP($B501,FoodDB!$A$2:$I$1024,3,0)</f>
        <v>0</v>
      </c>
      <c r="E501" s="73">
        <f>$C501*VLOOKUP($B501,FoodDB!$A$2:$I$1024,4,0)</f>
        <v>0</v>
      </c>
      <c r="F501" s="73">
        <f>$C501*VLOOKUP($B501,FoodDB!$A$2:$I$1024,5,0)</f>
        <v>0</v>
      </c>
      <c r="G501" s="73">
        <f>$C501*VLOOKUP($B501,FoodDB!$A$2:$I$1024,6,0)</f>
        <v>0</v>
      </c>
      <c r="H501" s="73">
        <f>$C501*VLOOKUP($B501,FoodDB!$A$2:$I$1024,7,0)</f>
        <v>0</v>
      </c>
      <c r="I501" s="73">
        <f>$C501*VLOOKUP($B501,FoodDB!$A$2:$I$1024,8,0)</f>
        <v>0</v>
      </c>
      <c r="J501" s="73">
        <f>$C501*VLOOKUP($B501,FoodDB!$A$2:$I$1024,9,0)</f>
        <v>0</v>
      </c>
      <c r="K501" s="73"/>
      <c r="L501" s="73"/>
      <c r="M501" s="73"/>
      <c r="N501" s="73"/>
      <c r="O501" s="73"/>
      <c r="P501" s="73"/>
      <c r="Q501" s="73"/>
      <c r="R501" s="73"/>
      <c r="S501" s="73"/>
    </row>
    <row r="502" spans="1:19" x14ac:dyDescent="0.25">
      <c r="B502" s="71" t="s">
        <v>95</v>
      </c>
      <c r="C502" s="72">
        <v>1</v>
      </c>
      <c r="D502" s="73">
        <f>$C502*VLOOKUP($B502,FoodDB!$A$2:$I$1024,3,0)</f>
        <v>0</v>
      </c>
      <c r="E502" s="73">
        <f>$C502*VLOOKUP($B502,FoodDB!$A$2:$I$1024,4,0)</f>
        <v>0</v>
      </c>
      <c r="F502" s="73">
        <f>$C502*VLOOKUP($B502,FoodDB!$A$2:$I$1024,5,0)</f>
        <v>0</v>
      </c>
      <c r="G502" s="73">
        <f>$C502*VLOOKUP($B502,FoodDB!$A$2:$I$1024,6,0)</f>
        <v>0</v>
      </c>
      <c r="H502" s="73">
        <f>$C502*VLOOKUP($B502,FoodDB!$A$2:$I$1024,7,0)</f>
        <v>0</v>
      </c>
      <c r="I502" s="73">
        <f>$C502*VLOOKUP($B502,FoodDB!$A$2:$I$1024,8,0)</f>
        <v>0</v>
      </c>
      <c r="J502" s="73">
        <f>$C502*VLOOKUP($B502,FoodDB!$A$2:$I$1024,9,0)</f>
        <v>0</v>
      </c>
      <c r="K502" s="73"/>
      <c r="L502" s="73"/>
      <c r="M502" s="73"/>
      <c r="N502" s="73"/>
      <c r="O502" s="73"/>
      <c r="P502" s="73"/>
      <c r="Q502" s="73"/>
      <c r="R502" s="73"/>
      <c r="S502" s="73"/>
    </row>
    <row r="503" spans="1:19" x14ac:dyDescent="0.25">
      <c r="B503" s="71" t="s">
        <v>95</v>
      </c>
      <c r="C503" s="72">
        <v>1</v>
      </c>
      <c r="D503" s="73">
        <f>$C503*VLOOKUP($B503,FoodDB!$A$2:$I$1024,3,0)</f>
        <v>0</v>
      </c>
      <c r="E503" s="73">
        <f>$C503*VLOOKUP($B503,FoodDB!$A$2:$I$1024,4,0)</f>
        <v>0</v>
      </c>
      <c r="F503" s="73">
        <f>$C503*VLOOKUP($B503,FoodDB!$A$2:$I$1024,5,0)</f>
        <v>0</v>
      </c>
      <c r="G503" s="73">
        <f>$C503*VLOOKUP($B503,FoodDB!$A$2:$I$1024,6,0)</f>
        <v>0</v>
      </c>
      <c r="H503" s="73">
        <f>$C503*VLOOKUP($B503,FoodDB!$A$2:$I$1024,7,0)</f>
        <v>0</v>
      </c>
      <c r="I503" s="73">
        <f>$C503*VLOOKUP($B503,FoodDB!$A$2:$I$1024,8,0)</f>
        <v>0</v>
      </c>
      <c r="J503" s="73">
        <f>$C503*VLOOKUP($B503,FoodDB!$A$2:$I$1024,9,0)</f>
        <v>0</v>
      </c>
      <c r="K503" s="73"/>
      <c r="L503" s="73"/>
      <c r="M503" s="73"/>
      <c r="N503" s="73"/>
      <c r="O503" s="73"/>
      <c r="P503" s="73"/>
      <c r="Q503" s="73"/>
      <c r="R503" s="73"/>
      <c r="S503" s="73"/>
    </row>
    <row r="504" spans="1:19" x14ac:dyDescent="0.25">
      <c r="A504" t="s">
        <v>99</v>
      </c>
      <c r="D504" s="73"/>
      <c r="E504" s="73"/>
      <c r="F504" s="73"/>
      <c r="G504" s="73">
        <f>SUM(G497:G503)</f>
        <v>0</v>
      </c>
      <c r="H504" s="73">
        <f>SUM(H497:H503)</f>
        <v>0</v>
      </c>
      <c r="I504" s="73">
        <f>SUM(I497:I503)</f>
        <v>0</v>
      </c>
      <c r="J504" s="73">
        <f>SUM(G504:I504)</f>
        <v>0</v>
      </c>
      <c r="K504" s="73"/>
      <c r="L504" s="73"/>
      <c r="M504" s="73"/>
      <c r="N504" s="73"/>
      <c r="O504" s="73"/>
      <c r="P504" s="73"/>
      <c r="Q504" s="73"/>
      <c r="R504" s="73"/>
      <c r="S504" s="73"/>
    </row>
    <row r="505" spans="1:19" x14ac:dyDescent="0.25">
      <c r="A505" t="s">
        <v>100</v>
      </c>
      <c r="B505" t="s">
        <v>101</v>
      </c>
      <c r="D505" s="73"/>
      <c r="E505" s="73"/>
      <c r="F505" s="73"/>
      <c r="G505" s="73">
        <f>VLOOKUP($A497,LossChart!$A$3:$AB$73,14,0)</f>
        <v>672.09226935986248</v>
      </c>
      <c r="H505" s="73">
        <f>VLOOKUP($A497,LossChart!$A$3:$AB$73,15,0)</f>
        <v>80</v>
      </c>
      <c r="I505" s="73">
        <f>VLOOKUP($A497,LossChart!$A$3:$AB$73,16,0)</f>
        <v>463.76562996293683</v>
      </c>
      <c r="J505" s="73">
        <f>VLOOKUP($A497,LossChart!$A$3:$AB$73,17,0)</f>
        <v>1215.8578993227993</v>
      </c>
      <c r="K505" s="73"/>
      <c r="L505" s="73"/>
      <c r="M505" s="73"/>
      <c r="N505" s="73"/>
      <c r="O505" s="73"/>
      <c r="P505" s="73"/>
      <c r="Q505" s="73"/>
      <c r="R505" s="73"/>
      <c r="S505" s="73"/>
    </row>
    <row r="506" spans="1:19" x14ac:dyDescent="0.25">
      <c r="A506" t="s">
        <v>102</v>
      </c>
      <c r="D506" s="73"/>
      <c r="E506" s="73"/>
      <c r="F506" s="73"/>
      <c r="G506" s="73">
        <f>G505-G504</f>
        <v>672.09226935986248</v>
      </c>
      <c r="H506" s="73">
        <f>H505-H504</f>
        <v>80</v>
      </c>
      <c r="I506" s="73">
        <f>I505-I504</f>
        <v>463.76562996293683</v>
      </c>
      <c r="J506" s="73">
        <f>J505-J504</f>
        <v>1215.8578993227993</v>
      </c>
      <c r="K506" s="73"/>
      <c r="L506" s="73"/>
      <c r="M506" s="73"/>
      <c r="N506" s="73"/>
      <c r="O506" s="73"/>
      <c r="P506" s="73"/>
      <c r="Q506" s="73"/>
      <c r="R506" s="73"/>
      <c r="S506" s="73"/>
    </row>
    <row r="508" spans="1:19" ht="60" x14ac:dyDescent="0.25">
      <c r="A508" s="25" t="s">
        <v>63</v>
      </c>
      <c r="B508" s="25" t="s">
        <v>80</v>
      </c>
      <c r="C508" s="25" t="s">
        <v>81</v>
      </c>
      <c r="D508" s="69" t="str">
        <f>FoodDB!$C$1</f>
        <v>Fat
(g)</v>
      </c>
      <c r="E508" s="69" t="str">
        <f>FoodDB!$D$1</f>
        <v xml:space="preserve"> Net
Carbs
(g)</v>
      </c>
      <c r="F508" s="69" t="str">
        <f>FoodDB!$E$1</f>
        <v>Protein
(g)</v>
      </c>
      <c r="G508" s="69" t="str">
        <f>FoodDB!$F$1</f>
        <v>Fat
(Cal)</v>
      </c>
      <c r="H508" s="69" t="str">
        <f>FoodDB!$G$1</f>
        <v>Carb
(Cal)</v>
      </c>
      <c r="I508" s="69" t="str">
        <f>FoodDB!$H$1</f>
        <v>Protein
(Cal)</v>
      </c>
      <c r="J508" s="69" t="str">
        <f>FoodDB!$I$1</f>
        <v>Total
Calories</v>
      </c>
      <c r="K508" s="69"/>
      <c r="L508" s="69" t="s">
        <v>82</v>
      </c>
      <c r="M508" s="69" t="s">
        <v>83</v>
      </c>
      <c r="N508" s="69" t="s">
        <v>84</v>
      </c>
      <c r="O508" s="69" t="s">
        <v>85</v>
      </c>
      <c r="P508" s="69" t="s">
        <v>86</v>
      </c>
      <c r="Q508" s="69" t="s">
        <v>87</v>
      </c>
      <c r="R508" s="69" t="s">
        <v>88</v>
      </c>
      <c r="S508" s="69" t="s">
        <v>89</v>
      </c>
    </row>
    <row r="509" spans="1:19" x14ac:dyDescent="0.25">
      <c r="A509" s="70">
        <f>A497+1</f>
        <v>43073</v>
      </c>
      <c r="B509" s="71" t="s">
        <v>95</v>
      </c>
      <c r="C509" s="72">
        <v>1</v>
      </c>
      <c r="D509" s="73">
        <f>$C509*VLOOKUP($B509,FoodDB!$A$2:$I$1024,3,0)</f>
        <v>0</v>
      </c>
      <c r="E509" s="73">
        <f>$C509*VLOOKUP($B509,FoodDB!$A$2:$I$1024,4,0)</f>
        <v>0</v>
      </c>
      <c r="F509" s="73">
        <f>$C509*VLOOKUP($B509,FoodDB!$A$2:$I$1024,5,0)</f>
        <v>0</v>
      </c>
      <c r="G509" s="73">
        <f>$C509*VLOOKUP($B509,FoodDB!$A$2:$I$1024,6,0)</f>
        <v>0</v>
      </c>
      <c r="H509" s="73">
        <f>$C509*VLOOKUP($B509,FoodDB!$A$2:$I$1024,7,0)</f>
        <v>0</v>
      </c>
      <c r="I509" s="73">
        <f>$C509*VLOOKUP($B509,FoodDB!$A$2:$I$1024,8,0)</f>
        <v>0</v>
      </c>
      <c r="J509" s="73">
        <f>$C509*VLOOKUP($B509,FoodDB!$A$2:$I$1024,9,0)</f>
        <v>0</v>
      </c>
      <c r="K509" s="73"/>
      <c r="L509" s="73">
        <f>SUM(G509:G515)</f>
        <v>0</v>
      </c>
      <c r="M509" s="73">
        <f>SUM(H509:H515)</f>
        <v>0</v>
      </c>
      <c r="N509" s="73">
        <f>SUM(I509:I515)</f>
        <v>0</v>
      </c>
      <c r="O509" s="73">
        <f>SUM(L509:N509)</f>
        <v>0</v>
      </c>
      <c r="P509" s="73">
        <f>VLOOKUP($A509,LossChart!$A$3:$AB$73,14,0)-L509</f>
        <v>677.55323186618966</v>
      </c>
      <c r="Q509" s="73">
        <f>VLOOKUP($A509,LossChart!$A$3:$AB$73,15,0)-M509</f>
        <v>80</v>
      </c>
      <c r="R509" s="73">
        <f>VLOOKUP($A509,LossChart!$A$3:$AB$73,16,0)-N509</f>
        <v>463.76562996293683</v>
      </c>
      <c r="S509" s="73">
        <f>VLOOKUP($A509,LossChart!$A$3:$AB$73,17,0)-O509</f>
        <v>1221.3188618291265</v>
      </c>
    </row>
    <row r="510" spans="1:19" x14ac:dyDescent="0.25">
      <c r="B510" s="71" t="s">
        <v>95</v>
      </c>
      <c r="C510" s="72">
        <v>1</v>
      </c>
      <c r="D510" s="73">
        <f>$C510*VLOOKUP($B510,FoodDB!$A$2:$I$1024,3,0)</f>
        <v>0</v>
      </c>
      <c r="E510" s="73">
        <f>$C510*VLOOKUP($B510,FoodDB!$A$2:$I$1024,4,0)</f>
        <v>0</v>
      </c>
      <c r="F510" s="73">
        <f>$C510*VLOOKUP($B510,FoodDB!$A$2:$I$1024,5,0)</f>
        <v>0</v>
      </c>
      <c r="G510" s="73">
        <f>$C510*VLOOKUP($B510,FoodDB!$A$2:$I$1024,6,0)</f>
        <v>0</v>
      </c>
      <c r="H510" s="73">
        <f>$C510*VLOOKUP($B510,FoodDB!$A$2:$I$1024,7,0)</f>
        <v>0</v>
      </c>
      <c r="I510" s="73">
        <f>$C510*VLOOKUP($B510,FoodDB!$A$2:$I$1024,8,0)</f>
        <v>0</v>
      </c>
      <c r="J510" s="73">
        <f>$C510*VLOOKUP($B510,FoodDB!$A$2:$I$1024,9,0)</f>
        <v>0</v>
      </c>
      <c r="K510" s="73"/>
      <c r="L510" s="73"/>
      <c r="M510" s="73"/>
      <c r="N510" s="73"/>
      <c r="O510" s="73"/>
      <c r="P510" s="73"/>
      <c r="Q510" s="73"/>
      <c r="R510" s="73"/>
      <c r="S510" s="73"/>
    </row>
    <row r="511" spans="1:19" x14ac:dyDescent="0.25">
      <c r="B511" s="71" t="s">
        <v>95</v>
      </c>
      <c r="C511" s="72">
        <v>1</v>
      </c>
      <c r="D511" s="73">
        <f>$C511*VLOOKUP($B511,FoodDB!$A$2:$I$1024,3,0)</f>
        <v>0</v>
      </c>
      <c r="E511" s="73">
        <f>$C511*VLOOKUP($B511,FoodDB!$A$2:$I$1024,4,0)</f>
        <v>0</v>
      </c>
      <c r="F511" s="73">
        <f>$C511*VLOOKUP($B511,FoodDB!$A$2:$I$1024,5,0)</f>
        <v>0</v>
      </c>
      <c r="G511" s="73">
        <f>$C511*VLOOKUP($B511,FoodDB!$A$2:$I$1024,6,0)</f>
        <v>0</v>
      </c>
      <c r="H511" s="73">
        <f>$C511*VLOOKUP($B511,FoodDB!$A$2:$I$1024,7,0)</f>
        <v>0</v>
      </c>
      <c r="I511" s="73">
        <f>$C511*VLOOKUP($B511,FoodDB!$A$2:$I$1024,8,0)</f>
        <v>0</v>
      </c>
      <c r="J511" s="73">
        <f>$C511*VLOOKUP($B511,FoodDB!$A$2:$I$1024,9,0)</f>
        <v>0</v>
      </c>
      <c r="K511" s="73"/>
      <c r="L511" s="73"/>
      <c r="M511" s="73"/>
      <c r="N511" s="73"/>
      <c r="O511" s="73"/>
      <c r="P511" s="73"/>
      <c r="Q511" s="73"/>
      <c r="R511" s="73"/>
      <c r="S511" s="73"/>
    </row>
    <row r="512" spans="1:19" x14ac:dyDescent="0.25">
      <c r="B512" s="71" t="s">
        <v>95</v>
      </c>
      <c r="C512" s="72">
        <v>1</v>
      </c>
      <c r="D512" s="73">
        <f>$C512*VLOOKUP($B512,FoodDB!$A$2:$I$1024,3,0)</f>
        <v>0</v>
      </c>
      <c r="E512" s="73">
        <f>$C512*VLOOKUP($B512,FoodDB!$A$2:$I$1024,4,0)</f>
        <v>0</v>
      </c>
      <c r="F512" s="73">
        <f>$C512*VLOOKUP($B512,FoodDB!$A$2:$I$1024,5,0)</f>
        <v>0</v>
      </c>
      <c r="G512" s="73">
        <f>$C512*VLOOKUP($B512,FoodDB!$A$2:$I$1024,6,0)</f>
        <v>0</v>
      </c>
      <c r="H512" s="73">
        <f>$C512*VLOOKUP($B512,FoodDB!$A$2:$I$1024,7,0)</f>
        <v>0</v>
      </c>
      <c r="I512" s="73">
        <f>$C512*VLOOKUP($B512,FoodDB!$A$2:$I$1024,8,0)</f>
        <v>0</v>
      </c>
      <c r="J512" s="73">
        <f>$C512*VLOOKUP($B512,FoodDB!$A$2:$I$1024,9,0)</f>
        <v>0</v>
      </c>
      <c r="K512" s="73"/>
      <c r="L512" s="73"/>
      <c r="M512" s="73"/>
      <c r="N512" s="73"/>
      <c r="O512" s="73"/>
      <c r="P512" s="73"/>
      <c r="Q512" s="73"/>
      <c r="R512" s="73"/>
      <c r="S512" s="73"/>
    </row>
    <row r="513" spans="1:19" x14ac:dyDescent="0.25">
      <c r="B513" s="71" t="s">
        <v>95</v>
      </c>
      <c r="C513" s="72">
        <v>1</v>
      </c>
      <c r="D513" s="73">
        <f>$C513*VLOOKUP($B513,FoodDB!$A$2:$I$1024,3,0)</f>
        <v>0</v>
      </c>
      <c r="E513" s="73">
        <f>$C513*VLOOKUP($B513,FoodDB!$A$2:$I$1024,4,0)</f>
        <v>0</v>
      </c>
      <c r="F513" s="73">
        <f>$C513*VLOOKUP($B513,FoodDB!$A$2:$I$1024,5,0)</f>
        <v>0</v>
      </c>
      <c r="G513" s="73">
        <f>$C513*VLOOKUP($B513,FoodDB!$A$2:$I$1024,6,0)</f>
        <v>0</v>
      </c>
      <c r="H513" s="73">
        <f>$C513*VLOOKUP($B513,FoodDB!$A$2:$I$1024,7,0)</f>
        <v>0</v>
      </c>
      <c r="I513" s="73">
        <f>$C513*VLOOKUP($B513,FoodDB!$A$2:$I$1024,8,0)</f>
        <v>0</v>
      </c>
      <c r="J513" s="73">
        <f>$C513*VLOOKUP($B513,FoodDB!$A$2:$I$1024,9,0)</f>
        <v>0</v>
      </c>
      <c r="K513" s="73"/>
      <c r="L513" s="73"/>
      <c r="M513" s="73"/>
      <c r="N513" s="73"/>
      <c r="O513" s="73"/>
      <c r="P513" s="73"/>
      <c r="Q513" s="73"/>
      <c r="R513" s="73"/>
      <c r="S513" s="73"/>
    </row>
    <row r="514" spans="1:19" x14ac:dyDescent="0.25">
      <c r="B514" s="71" t="s">
        <v>95</v>
      </c>
      <c r="C514" s="72">
        <v>1</v>
      </c>
      <c r="D514" s="73">
        <f>$C514*VLOOKUP($B514,FoodDB!$A$2:$I$1024,3,0)</f>
        <v>0</v>
      </c>
      <c r="E514" s="73">
        <f>$C514*VLOOKUP($B514,FoodDB!$A$2:$I$1024,4,0)</f>
        <v>0</v>
      </c>
      <c r="F514" s="73">
        <f>$C514*VLOOKUP($B514,FoodDB!$A$2:$I$1024,5,0)</f>
        <v>0</v>
      </c>
      <c r="G514" s="73">
        <f>$C514*VLOOKUP($B514,FoodDB!$A$2:$I$1024,6,0)</f>
        <v>0</v>
      </c>
      <c r="H514" s="73">
        <f>$C514*VLOOKUP($B514,FoodDB!$A$2:$I$1024,7,0)</f>
        <v>0</v>
      </c>
      <c r="I514" s="73">
        <f>$C514*VLOOKUP($B514,FoodDB!$A$2:$I$1024,8,0)</f>
        <v>0</v>
      </c>
      <c r="J514" s="73">
        <f>$C514*VLOOKUP($B514,FoodDB!$A$2:$I$1024,9,0)</f>
        <v>0</v>
      </c>
      <c r="K514" s="73"/>
      <c r="L514" s="73"/>
      <c r="M514" s="73"/>
      <c r="N514" s="73"/>
      <c r="O514" s="73"/>
      <c r="P514" s="73"/>
      <c r="Q514" s="73"/>
      <c r="R514" s="73"/>
      <c r="S514" s="73"/>
    </row>
    <row r="515" spans="1:19" x14ac:dyDescent="0.25">
      <c r="B515" s="71" t="s">
        <v>95</v>
      </c>
      <c r="C515" s="72">
        <v>1</v>
      </c>
      <c r="D515" s="73">
        <f>$C515*VLOOKUP($B515,FoodDB!$A$2:$I$1024,3,0)</f>
        <v>0</v>
      </c>
      <c r="E515" s="73">
        <f>$C515*VLOOKUP($B515,FoodDB!$A$2:$I$1024,4,0)</f>
        <v>0</v>
      </c>
      <c r="F515" s="73">
        <f>$C515*VLOOKUP($B515,FoodDB!$A$2:$I$1024,5,0)</f>
        <v>0</v>
      </c>
      <c r="G515" s="73">
        <f>$C515*VLOOKUP($B515,FoodDB!$A$2:$I$1024,6,0)</f>
        <v>0</v>
      </c>
      <c r="H515" s="73">
        <f>$C515*VLOOKUP($B515,FoodDB!$A$2:$I$1024,7,0)</f>
        <v>0</v>
      </c>
      <c r="I515" s="73">
        <f>$C515*VLOOKUP($B515,FoodDB!$A$2:$I$1024,8,0)</f>
        <v>0</v>
      </c>
      <c r="J515" s="73">
        <f>$C515*VLOOKUP($B515,FoodDB!$A$2:$I$1024,9,0)</f>
        <v>0</v>
      </c>
      <c r="K515" s="73"/>
      <c r="L515" s="73"/>
      <c r="M515" s="73"/>
      <c r="N515" s="73"/>
      <c r="O515" s="73"/>
      <c r="P515" s="73"/>
      <c r="Q515" s="73"/>
      <c r="R515" s="73"/>
      <c r="S515" s="73"/>
    </row>
    <row r="516" spans="1:19" x14ac:dyDescent="0.25">
      <c r="A516" t="s">
        <v>99</v>
      </c>
      <c r="D516" s="73"/>
      <c r="E516" s="73"/>
      <c r="F516" s="73"/>
      <c r="G516" s="73">
        <f>SUM(G509:G515)</f>
        <v>0</v>
      </c>
      <c r="H516" s="73">
        <f>SUM(H509:H515)</f>
        <v>0</v>
      </c>
      <c r="I516" s="73">
        <f>SUM(I509:I515)</f>
        <v>0</v>
      </c>
      <c r="J516" s="73">
        <f>SUM(G516:I516)</f>
        <v>0</v>
      </c>
      <c r="K516" s="73"/>
      <c r="L516" s="73"/>
      <c r="M516" s="73"/>
      <c r="N516" s="73"/>
      <c r="O516" s="73"/>
      <c r="P516" s="73"/>
      <c r="Q516" s="73"/>
      <c r="R516" s="73"/>
      <c r="S516" s="73"/>
    </row>
    <row r="517" spans="1:19" x14ac:dyDescent="0.25">
      <c r="A517" t="s">
        <v>100</v>
      </c>
      <c r="B517" t="s">
        <v>101</v>
      </c>
      <c r="D517" s="73"/>
      <c r="E517" s="73"/>
      <c r="F517" s="73"/>
      <c r="G517" s="73">
        <f>VLOOKUP($A509,LossChart!$A$3:$AB$73,14,0)</f>
        <v>677.55323186618966</v>
      </c>
      <c r="H517" s="73">
        <f>VLOOKUP($A509,LossChart!$A$3:$AB$73,15,0)</f>
        <v>80</v>
      </c>
      <c r="I517" s="73">
        <f>VLOOKUP($A509,LossChart!$A$3:$AB$73,16,0)</f>
        <v>463.76562996293683</v>
      </c>
      <c r="J517" s="73">
        <f>VLOOKUP($A509,LossChart!$A$3:$AB$73,17,0)</f>
        <v>1221.3188618291265</v>
      </c>
      <c r="K517" s="73"/>
      <c r="L517" s="73"/>
      <c r="M517" s="73"/>
      <c r="N517" s="73"/>
      <c r="O517" s="73"/>
      <c r="P517" s="73"/>
      <c r="Q517" s="73"/>
      <c r="R517" s="73"/>
      <c r="S517" s="73"/>
    </row>
    <row r="518" spans="1:19" x14ac:dyDescent="0.25">
      <c r="A518" t="s">
        <v>102</v>
      </c>
      <c r="D518" s="73"/>
      <c r="E518" s="73"/>
      <c r="F518" s="73"/>
      <c r="G518" s="73">
        <f>G517-G516</f>
        <v>677.55323186618966</v>
      </c>
      <c r="H518" s="73">
        <f>H517-H516</f>
        <v>80</v>
      </c>
      <c r="I518" s="73">
        <f>I517-I516</f>
        <v>463.76562996293683</v>
      </c>
      <c r="J518" s="73">
        <f>J517-J516</f>
        <v>1221.3188618291265</v>
      </c>
      <c r="K518" s="73"/>
      <c r="L518" s="73"/>
      <c r="M518" s="73"/>
      <c r="N518" s="73"/>
      <c r="O518" s="73"/>
      <c r="P518" s="73"/>
      <c r="Q518" s="73"/>
      <c r="R518" s="73"/>
      <c r="S518" s="73"/>
    </row>
    <row r="520" spans="1:19" ht="60" x14ac:dyDescent="0.25">
      <c r="A520" s="25" t="s">
        <v>63</v>
      </c>
      <c r="B520" s="25" t="s">
        <v>80</v>
      </c>
      <c r="C520" s="25" t="s">
        <v>81</v>
      </c>
      <c r="D520" s="69" t="str">
        <f>FoodDB!$C$1</f>
        <v>Fat
(g)</v>
      </c>
      <c r="E520" s="69" t="str">
        <f>FoodDB!$D$1</f>
        <v xml:space="preserve"> Net
Carbs
(g)</v>
      </c>
      <c r="F520" s="69" t="str">
        <f>FoodDB!$E$1</f>
        <v>Protein
(g)</v>
      </c>
      <c r="G520" s="69" t="str">
        <f>FoodDB!$F$1</f>
        <v>Fat
(Cal)</v>
      </c>
      <c r="H520" s="69" t="str">
        <f>FoodDB!$G$1</f>
        <v>Carb
(Cal)</v>
      </c>
      <c r="I520" s="69" t="str">
        <f>FoodDB!$H$1</f>
        <v>Protein
(Cal)</v>
      </c>
      <c r="J520" s="69" t="str">
        <f>FoodDB!$I$1</f>
        <v>Total
Calories</v>
      </c>
      <c r="K520" s="69"/>
      <c r="L520" s="69" t="s">
        <v>82</v>
      </c>
      <c r="M520" s="69" t="s">
        <v>83</v>
      </c>
      <c r="N520" s="69" t="s">
        <v>84</v>
      </c>
      <c r="O520" s="69" t="s">
        <v>85</v>
      </c>
      <c r="P520" s="69" t="s">
        <v>86</v>
      </c>
      <c r="Q520" s="69" t="s">
        <v>87</v>
      </c>
      <c r="R520" s="69" t="s">
        <v>88</v>
      </c>
      <c r="S520" s="69" t="s">
        <v>89</v>
      </c>
    </row>
    <row r="521" spans="1:19" x14ac:dyDescent="0.25">
      <c r="A521" s="70">
        <f>A509+1</f>
        <v>43074</v>
      </c>
      <c r="B521" s="71" t="s">
        <v>95</v>
      </c>
      <c r="C521" s="72">
        <v>1</v>
      </c>
      <c r="D521" s="73">
        <f>$C521*VLOOKUP($B521,FoodDB!$A$2:$I$1024,3,0)</f>
        <v>0</v>
      </c>
      <c r="E521" s="73">
        <f>$C521*VLOOKUP($B521,FoodDB!$A$2:$I$1024,4,0)</f>
        <v>0</v>
      </c>
      <c r="F521" s="73">
        <f>$C521*VLOOKUP($B521,FoodDB!$A$2:$I$1024,5,0)</f>
        <v>0</v>
      </c>
      <c r="G521" s="73">
        <f>$C521*VLOOKUP($B521,FoodDB!$A$2:$I$1024,6,0)</f>
        <v>0</v>
      </c>
      <c r="H521" s="73">
        <f>$C521*VLOOKUP($B521,FoodDB!$A$2:$I$1024,7,0)</f>
        <v>0</v>
      </c>
      <c r="I521" s="73">
        <f>$C521*VLOOKUP($B521,FoodDB!$A$2:$I$1024,8,0)</f>
        <v>0</v>
      </c>
      <c r="J521" s="73">
        <f>$C521*VLOOKUP($B521,FoodDB!$A$2:$I$1024,9,0)</f>
        <v>0</v>
      </c>
      <c r="K521" s="73"/>
      <c r="L521" s="73">
        <f>SUM(G521:G527)</f>
        <v>0</v>
      </c>
      <c r="M521" s="73">
        <f>SUM(H521:H527)</f>
        <v>0</v>
      </c>
      <c r="N521" s="73">
        <f>SUM(I521:I527)</f>
        <v>0</v>
      </c>
      <c r="O521" s="73">
        <f>SUM(L521:N521)</f>
        <v>0</v>
      </c>
      <c r="P521" s="73">
        <f>VLOOKUP($A521,LossChart!$A$3:$AB$73,14,0)-L521</f>
        <v>682.96582584746125</v>
      </c>
      <c r="Q521" s="73">
        <f>VLOOKUP($A521,LossChart!$A$3:$AB$73,15,0)-M521</f>
        <v>80</v>
      </c>
      <c r="R521" s="73">
        <f>VLOOKUP($A521,LossChart!$A$3:$AB$73,16,0)-N521</f>
        <v>463.76562996293683</v>
      </c>
      <c r="S521" s="73">
        <f>VLOOKUP($A521,LossChart!$A$3:$AB$73,17,0)-O521</f>
        <v>1226.7314558103981</v>
      </c>
    </row>
    <row r="522" spans="1:19" x14ac:dyDescent="0.25">
      <c r="B522" s="71" t="s">
        <v>95</v>
      </c>
      <c r="C522" s="72">
        <v>1</v>
      </c>
      <c r="D522" s="73">
        <f>$C522*VLOOKUP($B522,FoodDB!$A$2:$I$1024,3,0)</f>
        <v>0</v>
      </c>
      <c r="E522" s="73">
        <f>$C522*VLOOKUP($B522,FoodDB!$A$2:$I$1024,4,0)</f>
        <v>0</v>
      </c>
      <c r="F522" s="73">
        <f>$C522*VLOOKUP($B522,FoodDB!$A$2:$I$1024,5,0)</f>
        <v>0</v>
      </c>
      <c r="G522" s="73">
        <f>$C522*VLOOKUP($B522,FoodDB!$A$2:$I$1024,6,0)</f>
        <v>0</v>
      </c>
      <c r="H522" s="73">
        <f>$C522*VLOOKUP($B522,FoodDB!$A$2:$I$1024,7,0)</f>
        <v>0</v>
      </c>
      <c r="I522" s="73">
        <f>$C522*VLOOKUP($B522,FoodDB!$A$2:$I$1024,8,0)</f>
        <v>0</v>
      </c>
      <c r="J522" s="73">
        <f>$C522*VLOOKUP($B522,FoodDB!$A$2:$I$1024,9,0)</f>
        <v>0</v>
      </c>
      <c r="K522" s="73"/>
      <c r="L522" s="73"/>
      <c r="M522" s="73"/>
      <c r="N522" s="73"/>
      <c r="O522" s="73"/>
      <c r="P522" s="73"/>
      <c r="Q522" s="73"/>
      <c r="R522" s="73"/>
      <c r="S522" s="73"/>
    </row>
    <row r="523" spans="1:19" x14ac:dyDescent="0.25">
      <c r="B523" s="71" t="s">
        <v>95</v>
      </c>
      <c r="C523" s="72">
        <v>1</v>
      </c>
      <c r="D523" s="73">
        <f>$C523*VLOOKUP($B523,FoodDB!$A$2:$I$1024,3,0)</f>
        <v>0</v>
      </c>
      <c r="E523" s="73">
        <f>$C523*VLOOKUP($B523,FoodDB!$A$2:$I$1024,4,0)</f>
        <v>0</v>
      </c>
      <c r="F523" s="73">
        <f>$C523*VLOOKUP($B523,FoodDB!$A$2:$I$1024,5,0)</f>
        <v>0</v>
      </c>
      <c r="G523" s="73">
        <f>$C523*VLOOKUP($B523,FoodDB!$A$2:$I$1024,6,0)</f>
        <v>0</v>
      </c>
      <c r="H523" s="73">
        <f>$C523*VLOOKUP($B523,FoodDB!$A$2:$I$1024,7,0)</f>
        <v>0</v>
      </c>
      <c r="I523" s="73">
        <f>$C523*VLOOKUP($B523,FoodDB!$A$2:$I$1024,8,0)</f>
        <v>0</v>
      </c>
      <c r="J523" s="73">
        <f>$C523*VLOOKUP($B523,FoodDB!$A$2:$I$1024,9,0)</f>
        <v>0</v>
      </c>
      <c r="K523" s="73"/>
      <c r="L523" s="73"/>
      <c r="M523" s="73"/>
      <c r="N523" s="73"/>
      <c r="O523" s="73"/>
      <c r="P523" s="73"/>
      <c r="Q523" s="73"/>
      <c r="R523" s="73"/>
      <c r="S523" s="73"/>
    </row>
    <row r="524" spans="1:19" x14ac:dyDescent="0.25">
      <c r="B524" s="71" t="s">
        <v>95</v>
      </c>
      <c r="C524" s="72">
        <v>1</v>
      </c>
      <c r="D524" s="73">
        <f>$C524*VLOOKUP($B524,FoodDB!$A$2:$I$1024,3,0)</f>
        <v>0</v>
      </c>
      <c r="E524" s="73">
        <f>$C524*VLOOKUP($B524,FoodDB!$A$2:$I$1024,4,0)</f>
        <v>0</v>
      </c>
      <c r="F524" s="73">
        <f>$C524*VLOOKUP($B524,FoodDB!$A$2:$I$1024,5,0)</f>
        <v>0</v>
      </c>
      <c r="G524" s="73">
        <f>$C524*VLOOKUP($B524,FoodDB!$A$2:$I$1024,6,0)</f>
        <v>0</v>
      </c>
      <c r="H524" s="73">
        <f>$C524*VLOOKUP($B524,FoodDB!$A$2:$I$1024,7,0)</f>
        <v>0</v>
      </c>
      <c r="I524" s="73">
        <f>$C524*VLOOKUP($B524,FoodDB!$A$2:$I$1024,8,0)</f>
        <v>0</v>
      </c>
      <c r="J524" s="73">
        <f>$C524*VLOOKUP($B524,FoodDB!$A$2:$I$1024,9,0)</f>
        <v>0</v>
      </c>
      <c r="K524" s="73"/>
      <c r="L524" s="73"/>
      <c r="M524" s="73"/>
      <c r="N524" s="73"/>
      <c r="O524" s="73"/>
      <c r="P524" s="73"/>
      <c r="Q524" s="73"/>
      <c r="R524" s="73"/>
      <c r="S524" s="73"/>
    </row>
    <row r="525" spans="1:19" x14ac:dyDescent="0.25">
      <c r="B525" s="71" t="s">
        <v>95</v>
      </c>
      <c r="C525" s="72">
        <v>1</v>
      </c>
      <c r="D525" s="73">
        <f>$C525*VLOOKUP($B525,FoodDB!$A$2:$I$1024,3,0)</f>
        <v>0</v>
      </c>
      <c r="E525" s="73">
        <f>$C525*VLOOKUP($B525,FoodDB!$A$2:$I$1024,4,0)</f>
        <v>0</v>
      </c>
      <c r="F525" s="73">
        <f>$C525*VLOOKUP($B525,FoodDB!$A$2:$I$1024,5,0)</f>
        <v>0</v>
      </c>
      <c r="G525" s="73">
        <f>$C525*VLOOKUP($B525,FoodDB!$A$2:$I$1024,6,0)</f>
        <v>0</v>
      </c>
      <c r="H525" s="73">
        <f>$C525*VLOOKUP($B525,FoodDB!$A$2:$I$1024,7,0)</f>
        <v>0</v>
      </c>
      <c r="I525" s="73">
        <f>$C525*VLOOKUP($B525,FoodDB!$A$2:$I$1024,8,0)</f>
        <v>0</v>
      </c>
      <c r="J525" s="73">
        <f>$C525*VLOOKUP($B525,FoodDB!$A$2:$I$1024,9,0)</f>
        <v>0</v>
      </c>
      <c r="K525" s="73"/>
      <c r="L525" s="73"/>
      <c r="M525" s="73"/>
      <c r="N525" s="73"/>
      <c r="O525" s="73"/>
      <c r="P525" s="73"/>
      <c r="Q525" s="73"/>
      <c r="R525" s="73"/>
      <c r="S525" s="73"/>
    </row>
    <row r="526" spans="1:19" x14ac:dyDescent="0.25">
      <c r="B526" s="71" t="s">
        <v>95</v>
      </c>
      <c r="C526" s="72">
        <v>1</v>
      </c>
      <c r="D526" s="73">
        <f>$C526*VLOOKUP($B526,FoodDB!$A$2:$I$1024,3,0)</f>
        <v>0</v>
      </c>
      <c r="E526" s="73">
        <f>$C526*VLOOKUP($B526,FoodDB!$A$2:$I$1024,4,0)</f>
        <v>0</v>
      </c>
      <c r="F526" s="73">
        <f>$C526*VLOOKUP($B526,FoodDB!$A$2:$I$1024,5,0)</f>
        <v>0</v>
      </c>
      <c r="G526" s="73">
        <f>$C526*VLOOKUP($B526,FoodDB!$A$2:$I$1024,6,0)</f>
        <v>0</v>
      </c>
      <c r="H526" s="73">
        <f>$C526*VLOOKUP($B526,FoodDB!$A$2:$I$1024,7,0)</f>
        <v>0</v>
      </c>
      <c r="I526" s="73">
        <f>$C526*VLOOKUP($B526,FoodDB!$A$2:$I$1024,8,0)</f>
        <v>0</v>
      </c>
      <c r="J526" s="73">
        <f>$C526*VLOOKUP($B526,FoodDB!$A$2:$I$1024,9,0)</f>
        <v>0</v>
      </c>
      <c r="K526" s="73"/>
      <c r="L526" s="73"/>
      <c r="M526" s="73"/>
      <c r="N526" s="73"/>
      <c r="O526" s="73"/>
      <c r="P526" s="73"/>
      <c r="Q526" s="73"/>
      <c r="R526" s="73"/>
      <c r="S526" s="73"/>
    </row>
    <row r="527" spans="1:19" x14ac:dyDescent="0.25">
      <c r="B527" s="71" t="s">
        <v>95</v>
      </c>
      <c r="C527" s="72">
        <v>1</v>
      </c>
      <c r="D527" s="73">
        <f>$C527*VLOOKUP($B527,FoodDB!$A$2:$I$1024,3,0)</f>
        <v>0</v>
      </c>
      <c r="E527" s="73">
        <f>$C527*VLOOKUP($B527,FoodDB!$A$2:$I$1024,4,0)</f>
        <v>0</v>
      </c>
      <c r="F527" s="73">
        <f>$C527*VLOOKUP($B527,FoodDB!$A$2:$I$1024,5,0)</f>
        <v>0</v>
      </c>
      <c r="G527" s="73">
        <f>$C527*VLOOKUP($B527,FoodDB!$A$2:$I$1024,6,0)</f>
        <v>0</v>
      </c>
      <c r="H527" s="73">
        <f>$C527*VLOOKUP($B527,FoodDB!$A$2:$I$1024,7,0)</f>
        <v>0</v>
      </c>
      <c r="I527" s="73">
        <f>$C527*VLOOKUP($B527,FoodDB!$A$2:$I$1024,8,0)</f>
        <v>0</v>
      </c>
      <c r="J527" s="73">
        <f>$C527*VLOOKUP($B527,FoodDB!$A$2:$I$1024,9,0)</f>
        <v>0</v>
      </c>
      <c r="K527" s="73"/>
      <c r="L527" s="73"/>
      <c r="M527" s="73"/>
      <c r="N527" s="73"/>
      <c r="O527" s="73"/>
      <c r="P527" s="73"/>
      <c r="Q527" s="73"/>
      <c r="R527" s="73"/>
      <c r="S527" s="73"/>
    </row>
    <row r="528" spans="1:19" x14ac:dyDescent="0.25">
      <c r="A528" t="s">
        <v>99</v>
      </c>
      <c r="D528" s="73"/>
      <c r="E528" s="73"/>
      <c r="F528" s="73"/>
      <c r="G528" s="73">
        <f>SUM(G521:G527)</f>
        <v>0</v>
      </c>
      <c r="H528" s="73">
        <f>SUM(H521:H527)</f>
        <v>0</v>
      </c>
      <c r="I528" s="73">
        <f>SUM(I521:I527)</f>
        <v>0</v>
      </c>
      <c r="J528" s="73">
        <f>SUM(G528:I528)</f>
        <v>0</v>
      </c>
      <c r="K528" s="73"/>
      <c r="L528" s="73"/>
      <c r="M528" s="73"/>
      <c r="N528" s="73"/>
      <c r="O528" s="73"/>
      <c r="P528" s="73"/>
      <c r="Q528" s="73"/>
      <c r="R528" s="73"/>
      <c r="S528" s="73"/>
    </row>
    <row r="529" spans="1:19" x14ac:dyDescent="0.25">
      <c r="A529" t="s">
        <v>100</v>
      </c>
      <c r="B529" t="s">
        <v>101</v>
      </c>
      <c r="D529" s="73"/>
      <c r="E529" s="73"/>
      <c r="F529" s="73"/>
      <c r="G529" s="73">
        <f>VLOOKUP($A521,LossChart!$A$3:$AB$73,14,0)</f>
        <v>682.96582584746125</v>
      </c>
      <c r="H529" s="73">
        <f>VLOOKUP($A521,LossChart!$A$3:$AB$73,15,0)</f>
        <v>80</v>
      </c>
      <c r="I529" s="73">
        <f>VLOOKUP($A521,LossChart!$A$3:$AB$73,16,0)</f>
        <v>463.76562996293683</v>
      </c>
      <c r="J529" s="73">
        <f>VLOOKUP($A521,LossChart!$A$3:$AB$73,17,0)</f>
        <v>1226.7314558103981</v>
      </c>
      <c r="K529" s="73"/>
      <c r="L529" s="73"/>
      <c r="M529" s="73"/>
      <c r="N529" s="73"/>
      <c r="O529" s="73"/>
      <c r="P529" s="73"/>
      <c r="Q529" s="73"/>
      <c r="R529" s="73"/>
      <c r="S529" s="73"/>
    </row>
    <row r="530" spans="1:19" x14ac:dyDescent="0.25">
      <c r="A530" t="s">
        <v>102</v>
      </c>
      <c r="D530" s="73"/>
      <c r="E530" s="73"/>
      <c r="F530" s="73"/>
      <c r="G530" s="73">
        <f>G529-G528</f>
        <v>682.96582584746125</v>
      </c>
      <c r="H530" s="73">
        <f>H529-H528</f>
        <v>80</v>
      </c>
      <c r="I530" s="73">
        <f>I529-I528</f>
        <v>463.76562996293683</v>
      </c>
      <c r="J530" s="73">
        <f>J529-J528</f>
        <v>1226.7314558103981</v>
      </c>
      <c r="K530" s="73"/>
      <c r="L530" s="73"/>
      <c r="M530" s="73"/>
      <c r="N530" s="73"/>
      <c r="O530" s="73"/>
      <c r="P530" s="73"/>
      <c r="Q530" s="73"/>
      <c r="R530" s="73"/>
      <c r="S530" s="73"/>
    </row>
    <row r="532" spans="1:19" ht="60" x14ac:dyDescent="0.25">
      <c r="A532" s="25" t="s">
        <v>63</v>
      </c>
      <c r="B532" s="25" t="s">
        <v>80</v>
      </c>
      <c r="C532" s="25" t="s">
        <v>81</v>
      </c>
      <c r="D532" s="69" t="str">
        <f>FoodDB!$C$1</f>
        <v>Fat
(g)</v>
      </c>
      <c r="E532" s="69" t="str">
        <f>FoodDB!$D$1</f>
        <v xml:space="preserve"> Net
Carbs
(g)</v>
      </c>
      <c r="F532" s="69" t="str">
        <f>FoodDB!$E$1</f>
        <v>Protein
(g)</v>
      </c>
      <c r="G532" s="69" t="str">
        <f>FoodDB!$F$1</f>
        <v>Fat
(Cal)</v>
      </c>
      <c r="H532" s="69" t="str">
        <f>FoodDB!$G$1</f>
        <v>Carb
(Cal)</v>
      </c>
      <c r="I532" s="69" t="str">
        <f>FoodDB!$H$1</f>
        <v>Protein
(Cal)</v>
      </c>
      <c r="J532" s="69" t="str">
        <f>FoodDB!$I$1</f>
        <v>Total
Calories</v>
      </c>
      <c r="K532" s="69"/>
      <c r="L532" s="69" t="s">
        <v>82</v>
      </c>
      <c r="M532" s="69" t="s">
        <v>83</v>
      </c>
      <c r="N532" s="69" t="s">
        <v>84</v>
      </c>
      <c r="O532" s="69" t="s">
        <v>85</v>
      </c>
      <c r="P532" s="69" t="s">
        <v>86</v>
      </c>
      <c r="Q532" s="69" t="s">
        <v>87</v>
      </c>
      <c r="R532" s="69" t="s">
        <v>88</v>
      </c>
      <c r="S532" s="69" t="s">
        <v>89</v>
      </c>
    </row>
    <row r="533" spans="1:19" x14ac:dyDescent="0.25">
      <c r="A533" s="70">
        <f>A521+1</f>
        <v>43075</v>
      </c>
      <c r="B533" s="71" t="s">
        <v>95</v>
      </c>
      <c r="C533" s="72">
        <v>1</v>
      </c>
      <c r="D533" s="73">
        <f>$C533*VLOOKUP($B533,FoodDB!$A$2:$I$1024,3,0)</f>
        <v>0</v>
      </c>
      <c r="E533" s="73">
        <f>$C533*VLOOKUP($B533,FoodDB!$A$2:$I$1024,4,0)</f>
        <v>0</v>
      </c>
      <c r="F533" s="73">
        <f>$C533*VLOOKUP($B533,FoodDB!$A$2:$I$1024,5,0)</f>
        <v>0</v>
      </c>
      <c r="G533" s="73">
        <f>$C533*VLOOKUP($B533,FoodDB!$A$2:$I$1024,6,0)</f>
        <v>0</v>
      </c>
      <c r="H533" s="73">
        <f>$C533*VLOOKUP($B533,FoodDB!$A$2:$I$1024,7,0)</f>
        <v>0</v>
      </c>
      <c r="I533" s="73">
        <f>$C533*VLOOKUP($B533,FoodDB!$A$2:$I$1024,8,0)</f>
        <v>0</v>
      </c>
      <c r="J533" s="73">
        <f>$C533*VLOOKUP($B533,FoodDB!$A$2:$I$1024,9,0)</f>
        <v>0</v>
      </c>
      <c r="K533" s="73"/>
      <c r="L533" s="73">
        <f>SUM(G533:G539)</f>
        <v>0</v>
      </c>
      <c r="M533" s="73">
        <f>SUM(H533:H539)</f>
        <v>0</v>
      </c>
      <c r="N533" s="73">
        <f>SUM(I533:I539)</f>
        <v>0</v>
      </c>
      <c r="O533" s="73">
        <f>SUM(L533:N533)</f>
        <v>0</v>
      </c>
      <c r="P533" s="73">
        <f>VLOOKUP($A533,LossChart!$A$3:$AB$73,14,0)-L533</f>
        <v>688.33047971061251</v>
      </c>
      <c r="Q533" s="73">
        <f>VLOOKUP($A533,LossChart!$A$3:$AB$73,15,0)-M533</f>
        <v>80</v>
      </c>
      <c r="R533" s="73">
        <f>VLOOKUP($A533,LossChart!$A$3:$AB$73,16,0)-N533</f>
        <v>463.76562996293683</v>
      </c>
      <c r="S533" s="73">
        <f>VLOOKUP($A533,LossChart!$A$3:$AB$73,17,0)-O533</f>
        <v>1232.0961096735493</v>
      </c>
    </row>
    <row r="534" spans="1:19" x14ac:dyDescent="0.25">
      <c r="B534" s="71" t="s">
        <v>95</v>
      </c>
      <c r="C534" s="72">
        <v>1</v>
      </c>
      <c r="D534" s="73">
        <f>$C534*VLOOKUP($B534,FoodDB!$A$2:$I$1024,3,0)</f>
        <v>0</v>
      </c>
      <c r="E534" s="73">
        <f>$C534*VLOOKUP($B534,FoodDB!$A$2:$I$1024,4,0)</f>
        <v>0</v>
      </c>
      <c r="F534" s="73">
        <f>$C534*VLOOKUP($B534,FoodDB!$A$2:$I$1024,5,0)</f>
        <v>0</v>
      </c>
      <c r="G534" s="73">
        <f>$C534*VLOOKUP($B534,FoodDB!$A$2:$I$1024,6,0)</f>
        <v>0</v>
      </c>
      <c r="H534" s="73">
        <f>$C534*VLOOKUP($B534,FoodDB!$A$2:$I$1024,7,0)</f>
        <v>0</v>
      </c>
      <c r="I534" s="73">
        <f>$C534*VLOOKUP($B534,FoodDB!$A$2:$I$1024,8,0)</f>
        <v>0</v>
      </c>
      <c r="J534" s="73">
        <f>$C534*VLOOKUP($B534,FoodDB!$A$2:$I$1024,9,0)</f>
        <v>0</v>
      </c>
      <c r="K534" s="73"/>
      <c r="L534" s="73"/>
      <c r="M534" s="73"/>
      <c r="N534" s="73"/>
      <c r="O534" s="73"/>
      <c r="P534" s="73"/>
      <c r="Q534" s="73"/>
      <c r="R534" s="73"/>
      <c r="S534" s="73"/>
    </row>
    <row r="535" spans="1:19" x14ac:dyDescent="0.25">
      <c r="B535" s="71" t="s">
        <v>95</v>
      </c>
      <c r="C535" s="72">
        <v>1</v>
      </c>
      <c r="D535" s="73">
        <f>$C535*VLOOKUP($B535,FoodDB!$A$2:$I$1024,3,0)</f>
        <v>0</v>
      </c>
      <c r="E535" s="73">
        <f>$C535*VLOOKUP($B535,FoodDB!$A$2:$I$1024,4,0)</f>
        <v>0</v>
      </c>
      <c r="F535" s="73">
        <f>$C535*VLOOKUP($B535,FoodDB!$A$2:$I$1024,5,0)</f>
        <v>0</v>
      </c>
      <c r="G535" s="73">
        <f>$C535*VLOOKUP($B535,FoodDB!$A$2:$I$1024,6,0)</f>
        <v>0</v>
      </c>
      <c r="H535" s="73">
        <f>$C535*VLOOKUP($B535,FoodDB!$A$2:$I$1024,7,0)</f>
        <v>0</v>
      </c>
      <c r="I535" s="73">
        <f>$C535*VLOOKUP($B535,FoodDB!$A$2:$I$1024,8,0)</f>
        <v>0</v>
      </c>
      <c r="J535" s="73">
        <f>$C535*VLOOKUP($B535,FoodDB!$A$2:$I$1024,9,0)</f>
        <v>0</v>
      </c>
      <c r="K535" s="73"/>
      <c r="L535" s="73"/>
      <c r="M535" s="73"/>
      <c r="N535" s="73"/>
      <c r="O535" s="73"/>
      <c r="P535" s="73"/>
      <c r="Q535" s="73"/>
      <c r="R535" s="73"/>
      <c r="S535" s="73"/>
    </row>
    <row r="536" spans="1:19" x14ac:dyDescent="0.25">
      <c r="B536" s="71" t="s">
        <v>95</v>
      </c>
      <c r="C536" s="72">
        <v>1</v>
      </c>
      <c r="D536" s="73">
        <f>$C536*VLOOKUP($B536,FoodDB!$A$2:$I$1024,3,0)</f>
        <v>0</v>
      </c>
      <c r="E536" s="73">
        <f>$C536*VLOOKUP($B536,FoodDB!$A$2:$I$1024,4,0)</f>
        <v>0</v>
      </c>
      <c r="F536" s="73">
        <f>$C536*VLOOKUP($B536,FoodDB!$A$2:$I$1024,5,0)</f>
        <v>0</v>
      </c>
      <c r="G536" s="73">
        <f>$C536*VLOOKUP($B536,FoodDB!$A$2:$I$1024,6,0)</f>
        <v>0</v>
      </c>
      <c r="H536" s="73">
        <f>$C536*VLOOKUP($B536,FoodDB!$A$2:$I$1024,7,0)</f>
        <v>0</v>
      </c>
      <c r="I536" s="73">
        <f>$C536*VLOOKUP($B536,FoodDB!$A$2:$I$1024,8,0)</f>
        <v>0</v>
      </c>
      <c r="J536" s="73">
        <f>$C536*VLOOKUP($B536,FoodDB!$A$2:$I$1024,9,0)</f>
        <v>0</v>
      </c>
      <c r="K536" s="73"/>
      <c r="L536" s="73"/>
      <c r="M536" s="73"/>
      <c r="N536" s="73"/>
      <c r="O536" s="73"/>
      <c r="P536" s="73"/>
      <c r="Q536" s="73"/>
      <c r="R536" s="73"/>
      <c r="S536" s="73"/>
    </row>
    <row r="537" spans="1:19" x14ac:dyDescent="0.25">
      <c r="B537" s="71" t="s">
        <v>95</v>
      </c>
      <c r="C537" s="72">
        <v>1</v>
      </c>
      <c r="D537" s="73">
        <f>$C537*VLOOKUP($B537,FoodDB!$A$2:$I$1024,3,0)</f>
        <v>0</v>
      </c>
      <c r="E537" s="73">
        <f>$C537*VLOOKUP($B537,FoodDB!$A$2:$I$1024,4,0)</f>
        <v>0</v>
      </c>
      <c r="F537" s="73">
        <f>$C537*VLOOKUP($B537,FoodDB!$A$2:$I$1024,5,0)</f>
        <v>0</v>
      </c>
      <c r="G537" s="73">
        <f>$C537*VLOOKUP($B537,FoodDB!$A$2:$I$1024,6,0)</f>
        <v>0</v>
      </c>
      <c r="H537" s="73">
        <f>$C537*VLOOKUP($B537,FoodDB!$A$2:$I$1024,7,0)</f>
        <v>0</v>
      </c>
      <c r="I537" s="73">
        <f>$C537*VLOOKUP($B537,FoodDB!$A$2:$I$1024,8,0)</f>
        <v>0</v>
      </c>
      <c r="J537" s="73">
        <f>$C537*VLOOKUP($B537,FoodDB!$A$2:$I$1024,9,0)</f>
        <v>0</v>
      </c>
      <c r="K537" s="73"/>
      <c r="L537" s="73"/>
      <c r="M537" s="73"/>
      <c r="N537" s="73"/>
      <c r="O537" s="73"/>
      <c r="P537" s="73"/>
      <c r="Q537" s="73"/>
      <c r="R537" s="73"/>
      <c r="S537" s="73"/>
    </row>
    <row r="538" spans="1:19" x14ac:dyDescent="0.25">
      <c r="B538" s="71" t="s">
        <v>95</v>
      </c>
      <c r="C538" s="72">
        <v>1</v>
      </c>
      <c r="D538" s="73">
        <f>$C538*VLOOKUP($B538,FoodDB!$A$2:$I$1024,3,0)</f>
        <v>0</v>
      </c>
      <c r="E538" s="73">
        <f>$C538*VLOOKUP($B538,FoodDB!$A$2:$I$1024,4,0)</f>
        <v>0</v>
      </c>
      <c r="F538" s="73">
        <f>$C538*VLOOKUP($B538,FoodDB!$A$2:$I$1024,5,0)</f>
        <v>0</v>
      </c>
      <c r="G538" s="73">
        <f>$C538*VLOOKUP($B538,FoodDB!$A$2:$I$1024,6,0)</f>
        <v>0</v>
      </c>
      <c r="H538" s="73">
        <f>$C538*VLOOKUP($B538,FoodDB!$A$2:$I$1024,7,0)</f>
        <v>0</v>
      </c>
      <c r="I538" s="73">
        <f>$C538*VLOOKUP($B538,FoodDB!$A$2:$I$1024,8,0)</f>
        <v>0</v>
      </c>
      <c r="J538" s="73">
        <f>$C538*VLOOKUP($B538,FoodDB!$A$2:$I$1024,9,0)</f>
        <v>0</v>
      </c>
      <c r="K538" s="73"/>
      <c r="L538" s="73"/>
      <c r="M538" s="73"/>
      <c r="N538" s="73"/>
      <c r="O538" s="73"/>
      <c r="P538" s="73"/>
      <c r="Q538" s="73"/>
      <c r="R538" s="73"/>
      <c r="S538" s="73"/>
    </row>
    <row r="539" spans="1:19" x14ac:dyDescent="0.25">
      <c r="B539" s="71" t="s">
        <v>95</v>
      </c>
      <c r="C539" s="72">
        <v>1</v>
      </c>
      <c r="D539" s="73">
        <f>$C539*VLOOKUP($B539,FoodDB!$A$2:$I$1024,3,0)</f>
        <v>0</v>
      </c>
      <c r="E539" s="73">
        <f>$C539*VLOOKUP($B539,FoodDB!$A$2:$I$1024,4,0)</f>
        <v>0</v>
      </c>
      <c r="F539" s="73">
        <f>$C539*VLOOKUP($B539,FoodDB!$A$2:$I$1024,5,0)</f>
        <v>0</v>
      </c>
      <c r="G539" s="73">
        <f>$C539*VLOOKUP($B539,FoodDB!$A$2:$I$1024,6,0)</f>
        <v>0</v>
      </c>
      <c r="H539" s="73">
        <f>$C539*VLOOKUP($B539,FoodDB!$A$2:$I$1024,7,0)</f>
        <v>0</v>
      </c>
      <c r="I539" s="73">
        <f>$C539*VLOOKUP($B539,FoodDB!$A$2:$I$1024,8,0)</f>
        <v>0</v>
      </c>
      <c r="J539" s="73">
        <f>$C539*VLOOKUP($B539,FoodDB!$A$2:$I$1024,9,0)</f>
        <v>0</v>
      </c>
      <c r="K539" s="73"/>
      <c r="L539" s="73"/>
      <c r="M539" s="73"/>
      <c r="N539" s="73"/>
      <c r="O539" s="73"/>
      <c r="P539" s="73"/>
      <c r="Q539" s="73"/>
      <c r="R539" s="73"/>
      <c r="S539" s="73"/>
    </row>
    <row r="540" spans="1:19" x14ac:dyDescent="0.25">
      <c r="A540" t="s">
        <v>99</v>
      </c>
      <c r="D540" s="73"/>
      <c r="E540" s="73"/>
      <c r="F540" s="73"/>
      <c r="G540" s="73">
        <f>SUM(G533:G539)</f>
        <v>0</v>
      </c>
      <c r="H540" s="73">
        <f>SUM(H533:H539)</f>
        <v>0</v>
      </c>
      <c r="I540" s="73">
        <f>SUM(I533:I539)</f>
        <v>0</v>
      </c>
      <c r="J540" s="73">
        <f>SUM(G540:I540)</f>
        <v>0</v>
      </c>
      <c r="K540" s="73"/>
      <c r="L540" s="73"/>
      <c r="M540" s="73"/>
      <c r="N540" s="73"/>
      <c r="O540" s="73"/>
      <c r="P540" s="73"/>
      <c r="Q540" s="73"/>
      <c r="R540" s="73"/>
      <c r="S540" s="73"/>
    </row>
    <row r="541" spans="1:19" x14ac:dyDescent="0.25">
      <c r="A541" t="s">
        <v>100</v>
      </c>
      <c r="B541" t="s">
        <v>101</v>
      </c>
      <c r="D541" s="73"/>
      <c r="E541" s="73"/>
      <c r="F541" s="73"/>
      <c r="G541" s="73">
        <f>VLOOKUP($A533,LossChart!$A$3:$AB$73,14,0)</f>
        <v>688.33047971061251</v>
      </c>
      <c r="H541" s="73">
        <f>VLOOKUP($A533,LossChart!$A$3:$AB$73,15,0)</f>
        <v>80</v>
      </c>
      <c r="I541" s="73">
        <f>VLOOKUP($A533,LossChart!$A$3:$AB$73,16,0)</f>
        <v>463.76562996293683</v>
      </c>
      <c r="J541" s="73">
        <f>VLOOKUP($A533,LossChart!$A$3:$AB$73,17,0)</f>
        <v>1232.0961096735493</v>
      </c>
      <c r="K541" s="73"/>
      <c r="L541" s="73"/>
      <c r="M541" s="73"/>
      <c r="N541" s="73"/>
      <c r="O541" s="73"/>
      <c r="P541" s="73"/>
      <c r="Q541" s="73"/>
      <c r="R541" s="73"/>
      <c r="S541" s="73"/>
    </row>
    <row r="542" spans="1:19" x14ac:dyDescent="0.25">
      <c r="A542" t="s">
        <v>102</v>
      </c>
      <c r="D542" s="73"/>
      <c r="E542" s="73"/>
      <c r="F542" s="73"/>
      <c r="G542" s="73">
        <f>G541-G540</f>
        <v>688.33047971061251</v>
      </c>
      <c r="H542" s="73">
        <f>H541-H540</f>
        <v>80</v>
      </c>
      <c r="I542" s="73">
        <f>I541-I540</f>
        <v>463.76562996293683</v>
      </c>
      <c r="J542" s="73">
        <f>J541-J540</f>
        <v>1232.0961096735493</v>
      </c>
      <c r="K542" s="73"/>
      <c r="L542" s="73"/>
      <c r="M542" s="73"/>
      <c r="N542" s="73"/>
      <c r="O542" s="73"/>
      <c r="P542" s="73"/>
      <c r="Q542" s="73"/>
      <c r="R542" s="73"/>
      <c r="S542" s="73"/>
    </row>
    <row r="544" spans="1:19" ht="60" x14ac:dyDescent="0.25">
      <c r="A544" s="25" t="s">
        <v>63</v>
      </c>
      <c r="B544" s="25" t="s">
        <v>80</v>
      </c>
      <c r="C544" s="25" t="s">
        <v>81</v>
      </c>
      <c r="D544" s="69" t="str">
        <f>FoodDB!$C$1</f>
        <v>Fat
(g)</v>
      </c>
      <c r="E544" s="69" t="str">
        <f>FoodDB!$D$1</f>
        <v xml:space="preserve"> Net
Carbs
(g)</v>
      </c>
      <c r="F544" s="69" t="str">
        <f>FoodDB!$E$1</f>
        <v>Protein
(g)</v>
      </c>
      <c r="G544" s="69" t="str">
        <f>FoodDB!$F$1</f>
        <v>Fat
(Cal)</v>
      </c>
      <c r="H544" s="69" t="str">
        <f>FoodDB!$G$1</f>
        <v>Carb
(Cal)</v>
      </c>
      <c r="I544" s="69" t="str">
        <f>FoodDB!$H$1</f>
        <v>Protein
(Cal)</v>
      </c>
      <c r="J544" s="69" t="str">
        <f>FoodDB!$I$1</f>
        <v>Total
Calories</v>
      </c>
      <c r="K544" s="69"/>
      <c r="L544" s="69" t="s">
        <v>82</v>
      </c>
      <c r="M544" s="69" t="s">
        <v>83</v>
      </c>
      <c r="N544" s="69" t="s">
        <v>84</v>
      </c>
      <c r="O544" s="69" t="s">
        <v>85</v>
      </c>
      <c r="P544" s="69" t="s">
        <v>86</v>
      </c>
      <c r="Q544" s="69" t="s">
        <v>87</v>
      </c>
      <c r="R544" s="69" t="s">
        <v>88</v>
      </c>
      <c r="S544" s="69" t="s">
        <v>89</v>
      </c>
    </row>
    <row r="545" spans="1:19" x14ac:dyDescent="0.25">
      <c r="A545" s="70">
        <f>A533+1</f>
        <v>43076</v>
      </c>
      <c r="B545" s="71" t="s">
        <v>95</v>
      </c>
      <c r="C545" s="72">
        <v>1</v>
      </c>
      <c r="D545" s="73">
        <f>$C545*VLOOKUP($B545,FoodDB!$A$2:$I$1024,3,0)</f>
        <v>0</v>
      </c>
      <c r="E545" s="73">
        <f>$C545*VLOOKUP($B545,FoodDB!$A$2:$I$1024,4,0)</f>
        <v>0</v>
      </c>
      <c r="F545" s="73">
        <f>$C545*VLOOKUP($B545,FoodDB!$A$2:$I$1024,5,0)</f>
        <v>0</v>
      </c>
      <c r="G545" s="73">
        <f>$C545*VLOOKUP($B545,FoodDB!$A$2:$I$1024,6,0)</f>
        <v>0</v>
      </c>
      <c r="H545" s="73">
        <f>$C545*VLOOKUP($B545,FoodDB!$A$2:$I$1024,7,0)</f>
        <v>0</v>
      </c>
      <c r="I545" s="73">
        <f>$C545*VLOOKUP($B545,FoodDB!$A$2:$I$1024,8,0)</f>
        <v>0</v>
      </c>
      <c r="J545" s="73">
        <f>$C545*VLOOKUP($B545,FoodDB!$A$2:$I$1024,9,0)</f>
        <v>0</v>
      </c>
      <c r="K545" s="73"/>
      <c r="L545" s="73">
        <f>SUM(G545:G551)</f>
        <v>0</v>
      </c>
      <c r="M545" s="73">
        <f>SUM(H545:H551)</f>
        <v>0</v>
      </c>
      <c r="N545" s="73">
        <f>SUM(I545:I551)</f>
        <v>0</v>
      </c>
      <c r="O545" s="73">
        <f>SUM(L545:N545)</f>
        <v>0</v>
      </c>
      <c r="P545" s="73">
        <f>VLOOKUP($A545,LossChart!$A$3:$AB$73,14,0)-L545</f>
        <v>693.64761806811907</v>
      </c>
      <c r="Q545" s="73">
        <f>VLOOKUP($A545,LossChart!$A$3:$AB$73,15,0)-M545</f>
        <v>80</v>
      </c>
      <c r="R545" s="73">
        <f>VLOOKUP($A545,LossChart!$A$3:$AB$73,16,0)-N545</f>
        <v>463.76562996293683</v>
      </c>
      <c r="S545" s="73">
        <f>VLOOKUP($A545,LossChart!$A$3:$AB$73,17,0)-O545</f>
        <v>1237.4132480310559</v>
      </c>
    </row>
    <row r="546" spans="1:19" x14ac:dyDescent="0.25">
      <c r="B546" s="71" t="s">
        <v>95</v>
      </c>
      <c r="C546" s="72">
        <v>1</v>
      </c>
      <c r="D546" s="73">
        <f>$C546*VLOOKUP($B546,FoodDB!$A$2:$I$1024,3,0)</f>
        <v>0</v>
      </c>
      <c r="E546" s="73">
        <f>$C546*VLOOKUP($B546,FoodDB!$A$2:$I$1024,4,0)</f>
        <v>0</v>
      </c>
      <c r="F546" s="73">
        <f>$C546*VLOOKUP($B546,FoodDB!$A$2:$I$1024,5,0)</f>
        <v>0</v>
      </c>
      <c r="G546" s="73">
        <f>$C546*VLOOKUP($B546,FoodDB!$A$2:$I$1024,6,0)</f>
        <v>0</v>
      </c>
      <c r="H546" s="73">
        <f>$C546*VLOOKUP($B546,FoodDB!$A$2:$I$1024,7,0)</f>
        <v>0</v>
      </c>
      <c r="I546" s="73">
        <f>$C546*VLOOKUP($B546,FoodDB!$A$2:$I$1024,8,0)</f>
        <v>0</v>
      </c>
      <c r="J546" s="73">
        <f>$C546*VLOOKUP($B546,FoodDB!$A$2:$I$1024,9,0)</f>
        <v>0</v>
      </c>
      <c r="K546" s="73"/>
      <c r="L546" s="73"/>
      <c r="M546" s="73"/>
      <c r="N546" s="73"/>
      <c r="O546" s="73"/>
      <c r="P546" s="73"/>
      <c r="Q546" s="73"/>
      <c r="R546" s="73"/>
      <c r="S546" s="73"/>
    </row>
    <row r="547" spans="1:19" x14ac:dyDescent="0.25">
      <c r="B547" s="71" t="s">
        <v>95</v>
      </c>
      <c r="C547" s="72">
        <v>1</v>
      </c>
      <c r="D547" s="73">
        <f>$C547*VLOOKUP($B547,FoodDB!$A$2:$I$1024,3,0)</f>
        <v>0</v>
      </c>
      <c r="E547" s="73">
        <f>$C547*VLOOKUP($B547,FoodDB!$A$2:$I$1024,4,0)</f>
        <v>0</v>
      </c>
      <c r="F547" s="73">
        <f>$C547*VLOOKUP($B547,FoodDB!$A$2:$I$1024,5,0)</f>
        <v>0</v>
      </c>
      <c r="G547" s="73">
        <f>$C547*VLOOKUP($B547,FoodDB!$A$2:$I$1024,6,0)</f>
        <v>0</v>
      </c>
      <c r="H547" s="73">
        <f>$C547*VLOOKUP($B547,FoodDB!$A$2:$I$1024,7,0)</f>
        <v>0</v>
      </c>
      <c r="I547" s="73">
        <f>$C547*VLOOKUP($B547,FoodDB!$A$2:$I$1024,8,0)</f>
        <v>0</v>
      </c>
      <c r="J547" s="73">
        <f>$C547*VLOOKUP($B547,FoodDB!$A$2:$I$1024,9,0)</f>
        <v>0</v>
      </c>
      <c r="K547" s="73"/>
      <c r="L547" s="73"/>
      <c r="M547" s="73"/>
      <c r="N547" s="73"/>
      <c r="O547" s="73"/>
      <c r="P547" s="73"/>
      <c r="Q547" s="73"/>
      <c r="R547" s="73"/>
      <c r="S547" s="73"/>
    </row>
    <row r="548" spans="1:19" x14ac:dyDescent="0.25">
      <c r="B548" s="71" t="s">
        <v>95</v>
      </c>
      <c r="C548" s="72">
        <v>1</v>
      </c>
      <c r="D548" s="73">
        <f>$C548*VLOOKUP($B548,FoodDB!$A$2:$I$1024,3,0)</f>
        <v>0</v>
      </c>
      <c r="E548" s="73">
        <f>$C548*VLOOKUP($B548,FoodDB!$A$2:$I$1024,4,0)</f>
        <v>0</v>
      </c>
      <c r="F548" s="73">
        <f>$C548*VLOOKUP($B548,FoodDB!$A$2:$I$1024,5,0)</f>
        <v>0</v>
      </c>
      <c r="G548" s="73">
        <f>$C548*VLOOKUP($B548,FoodDB!$A$2:$I$1024,6,0)</f>
        <v>0</v>
      </c>
      <c r="H548" s="73">
        <f>$C548*VLOOKUP($B548,FoodDB!$A$2:$I$1024,7,0)</f>
        <v>0</v>
      </c>
      <c r="I548" s="73">
        <f>$C548*VLOOKUP($B548,FoodDB!$A$2:$I$1024,8,0)</f>
        <v>0</v>
      </c>
      <c r="J548" s="73">
        <f>$C548*VLOOKUP($B548,FoodDB!$A$2:$I$1024,9,0)</f>
        <v>0</v>
      </c>
      <c r="K548" s="73"/>
      <c r="L548" s="73"/>
      <c r="M548" s="73"/>
      <c r="N548" s="73"/>
      <c r="O548" s="73"/>
      <c r="P548" s="73"/>
      <c r="Q548" s="73"/>
      <c r="R548" s="73"/>
      <c r="S548" s="73"/>
    </row>
    <row r="549" spans="1:19" x14ac:dyDescent="0.25">
      <c r="B549" s="71" t="s">
        <v>95</v>
      </c>
      <c r="C549" s="72">
        <v>1</v>
      </c>
      <c r="D549" s="73">
        <f>$C549*VLOOKUP($B549,FoodDB!$A$2:$I$1024,3,0)</f>
        <v>0</v>
      </c>
      <c r="E549" s="73">
        <f>$C549*VLOOKUP($B549,FoodDB!$A$2:$I$1024,4,0)</f>
        <v>0</v>
      </c>
      <c r="F549" s="73">
        <f>$C549*VLOOKUP($B549,FoodDB!$A$2:$I$1024,5,0)</f>
        <v>0</v>
      </c>
      <c r="G549" s="73">
        <f>$C549*VLOOKUP($B549,FoodDB!$A$2:$I$1024,6,0)</f>
        <v>0</v>
      </c>
      <c r="H549" s="73">
        <f>$C549*VLOOKUP($B549,FoodDB!$A$2:$I$1024,7,0)</f>
        <v>0</v>
      </c>
      <c r="I549" s="73">
        <f>$C549*VLOOKUP($B549,FoodDB!$A$2:$I$1024,8,0)</f>
        <v>0</v>
      </c>
      <c r="J549" s="73">
        <f>$C549*VLOOKUP($B549,FoodDB!$A$2:$I$1024,9,0)</f>
        <v>0</v>
      </c>
      <c r="K549" s="73"/>
      <c r="L549" s="73"/>
      <c r="M549" s="73"/>
      <c r="N549" s="73"/>
      <c r="O549" s="73"/>
      <c r="P549" s="73"/>
      <c r="Q549" s="73"/>
      <c r="R549" s="73"/>
      <c r="S549" s="73"/>
    </row>
    <row r="550" spans="1:19" x14ac:dyDescent="0.25">
      <c r="B550" s="71" t="s">
        <v>95</v>
      </c>
      <c r="C550" s="72">
        <v>1</v>
      </c>
      <c r="D550" s="73">
        <f>$C550*VLOOKUP($B550,FoodDB!$A$2:$I$1024,3,0)</f>
        <v>0</v>
      </c>
      <c r="E550" s="73">
        <f>$C550*VLOOKUP($B550,FoodDB!$A$2:$I$1024,4,0)</f>
        <v>0</v>
      </c>
      <c r="F550" s="73">
        <f>$C550*VLOOKUP($B550,FoodDB!$A$2:$I$1024,5,0)</f>
        <v>0</v>
      </c>
      <c r="G550" s="73">
        <f>$C550*VLOOKUP($B550,FoodDB!$A$2:$I$1024,6,0)</f>
        <v>0</v>
      </c>
      <c r="H550" s="73">
        <f>$C550*VLOOKUP($B550,FoodDB!$A$2:$I$1024,7,0)</f>
        <v>0</v>
      </c>
      <c r="I550" s="73">
        <f>$C550*VLOOKUP($B550,FoodDB!$A$2:$I$1024,8,0)</f>
        <v>0</v>
      </c>
      <c r="J550" s="73">
        <f>$C550*VLOOKUP($B550,FoodDB!$A$2:$I$1024,9,0)</f>
        <v>0</v>
      </c>
      <c r="K550" s="73"/>
      <c r="L550" s="73"/>
      <c r="M550" s="73"/>
      <c r="N550" s="73"/>
      <c r="O550" s="73"/>
      <c r="P550" s="73"/>
      <c r="Q550" s="73"/>
      <c r="R550" s="73"/>
      <c r="S550" s="73"/>
    </row>
    <row r="551" spans="1:19" x14ac:dyDescent="0.25">
      <c r="B551" s="71" t="s">
        <v>95</v>
      </c>
      <c r="C551" s="72">
        <v>1</v>
      </c>
      <c r="D551" s="73">
        <f>$C551*VLOOKUP($B551,FoodDB!$A$2:$I$1024,3,0)</f>
        <v>0</v>
      </c>
      <c r="E551" s="73">
        <f>$C551*VLOOKUP($B551,FoodDB!$A$2:$I$1024,4,0)</f>
        <v>0</v>
      </c>
      <c r="F551" s="73">
        <f>$C551*VLOOKUP($B551,FoodDB!$A$2:$I$1024,5,0)</f>
        <v>0</v>
      </c>
      <c r="G551" s="73">
        <f>$C551*VLOOKUP($B551,FoodDB!$A$2:$I$1024,6,0)</f>
        <v>0</v>
      </c>
      <c r="H551" s="73">
        <f>$C551*VLOOKUP($B551,FoodDB!$A$2:$I$1024,7,0)</f>
        <v>0</v>
      </c>
      <c r="I551" s="73">
        <f>$C551*VLOOKUP($B551,FoodDB!$A$2:$I$1024,8,0)</f>
        <v>0</v>
      </c>
      <c r="J551" s="73">
        <f>$C551*VLOOKUP($B551,FoodDB!$A$2:$I$1024,9,0)</f>
        <v>0</v>
      </c>
      <c r="K551" s="73"/>
      <c r="L551" s="73"/>
      <c r="M551" s="73"/>
      <c r="N551" s="73"/>
      <c r="O551" s="73"/>
      <c r="P551" s="73"/>
      <c r="Q551" s="73"/>
      <c r="R551" s="73"/>
      <c r="S551" s="73"/>
    </row>
    <row r="552" spans="1:19" x14ac:dyDescent="0.25">
      <c r="A552" t="s">
        <v>99</v>
      </c>
      <c r="D552" s="73"/>
      <c r="E552" s="73"/>
      <c r="F552" s="73"/>
      <c r="G552" s="73">
        <f>SUM(G545:G551)</f>
        <v>0</v>
      </c>
      <c r="H552" s="73">
        <f>SUM(H545:H551)</f>
        <v>0</v>
      </c>
      <c r="I552" s="73">
        <f>SUM(I545:I551)</f>
        <v>0</v>
      </c>
      <c r="J552" s="73">
        <f>SUM(G552:I552)</f>
        <v>0</v>
      </c>
      <c r="K552" s="73"/>
      <c r="L552" s="73"/>
      <c r="M552" s="73"/>
      <c r="N552" s="73"/>
      <c r="O552" s="73"/>
      <c r="P552" s="73"/>
      <c r="Q552" s="73"/>
      <c r="R552" s="73"/>
      <c r="S552" s="73"/>
    </row>
    <row r="553" spans="1:19" x14ac:dyDescent="0.25">
      <c r="A553" t="s">
        <v>100</v>
      </c>
      <c r="B553" t="s">
        <v>101</v>
      </c>
      <c r="D553" s="73"/>
      <c r="E553" s="73"/>
      <c r="F553" s="73"/>
      <c r="G553" s="73">
        <f>VLOOKUP($A545,LossChart!$A$3:$AB$73,14,0)</f>
        <v>693.64761806811907</v>
      </c>
      <c r="H553" s="73">
        <f>VLOOKUP($A545,LossChart!$A$3:$AB$73,15,0)</f>
        <v>80</v>
      </c>
      <c r="I553" s="73">
        <f>VLOOKUP($A545,LossChart!$A$3:$AB$73,16,0)</f>
        <v>463.76562996293683</v>
      </c>
      <c r="J553" s="73">
        <f>VLOOKUP($A545,LossChart!$A$3:$AB$73,17,0)</f>
        <v>1237.4132480310559</v>
      </c>
      <c r="K553" s="73"/>
      <c r="L553" s="73"/>
      <c r="M553" s="73"/>
      <c r="N553" s="73"/>
      <c r="O553" s="73"/>
      <c r="P553" s="73"/>
      <c r="Q553" s="73"/>
      <c r="R553" s="73"/>
      <c r="S553" s="73"/>
    </row>
    <row r="554" spans="1:19" x14ac:dyDescent="0.25">
      <c r="A554" t="s">
        <v>102</v>
      </c>
      <c r="D554" s="73"/>
      <c r="E554" s="73"/>
      <c r="F554" s="73"/>
      <c r="G554" s="73">
        <f>G553-G552</f>
        <v>693.64761806811907</v>
      </c>
      <c r="H554" s="73">
        <f>H553-H552</f>
        <v>80</v>
      </c>
      <c r="I554" s="73">
        <f>I553-I552</f>
        <v>463.76562996293683</v>
      </c>
      <c r="J554" s="73">
        <f>J553-J552</f>
        <v>1237.4132480310559</v>
      </c>
      <c r="K554" s="73"/>
      <c r="L554" s="73"/>
      <c r="M554" s="73"/>
      <c r="N554" s="73"/>
      <c r="O554" s="73"/>
      <c r="P554" s="73"/>
      <c r="Q554" s="73"/>
      <c r="R554" s="73"/>
      <c r="S554" s="73"/>
    </row>
    <row r="556" spans="1:19" ht="60" x14ac:dyDescent="0.25">
      <c r="A556" s="25" t="s">
        <v>63</v>
      </c>
      <c r="B556" s="25" t="s">
        <v>80</v>
      </c>
      <c r="C556" s="25" t="s">
        <v>81</v>
      </c>
      <c r="D556" s="69" t="str">
        <f>FoodDB!$C$1</f>
        <v>Fat
(g)</v>
      </c>
      <c r="E556" s="69" t="str">
        <f>FoodDB!$D$1</f>
        <v xml:space="preserve"> Net
Carbs
(g)</v>
      </c>
      <c r="F556" s="69" t="str">
        <f>FoodDB!$E$1</f>
        <v>Protein
(g)</v>
      </c>
      <c r="G556" s="69" t="str">
        <f>FoodDB!$F$1</f>
        <v>Fat
(Cal)</v>
      </c>
      <c r="H556" s="69" t="str">
        <f>FoodDB!$G$1</f>
        <v>Carb
(Cal)</v>
      </c>
      <c r="I556" s="69" t="str">
        <f>FoodDB!$H$1</f>
        <v>Protein
(Cal)</v>
      </c>
      <c r="J556" s="69" t="str">
        <f>FoodDB!$I$1</f>
        <v>Total
Calories</v>
      </c>
      <c r="K556" s="69"/>
      <c r="L556" s="69" t="s">
        <v>82</v>
      </c>
      <c r="M556" s="69" t="s">
        <v>83</v>
      </c>
      <c r="N556" s="69" t="s">
        <v>84</v>
      </c>
      <c r="O556" s="69" t="s">
        <v>85</v>
      </c>
      <c r="P556" s="69" t="s">
        <v>86</v>
      </c>
      <c r="Q556" s="69" t="s">
        <v>87</v>
      </c>
      <c r="R556" s="69" t="s">
        <v>88</v>
      </c>
      <c r="S556" s="69" t="s">
        <v>89</v>
      </c>
    </row>
    <row r="557" spans="1:19" x14ac:dyDescent="0.25">
      <c r="A557" s="70">
        <f>A545+1</f>
        <v>43077</v>
      </c>
      <c r="B557" s="71" t="s">
        <v>95</v>
      </c>
      <c r="C557" s="72">
        <v>1</v>
      </c>
      <c r="D557" s="73">
        <f>$C557*VLOOKUP($B557,FoodDB!$A$2:$I$1024,3,0)</f>
        <v>0</v>
      </c>
      <c r="E557" s="73">
        <f>$C557*VLOOKUP($B557,FoodDB!$A$2:$I$1024,4,0)</f>
        <v>0</v>
      </c>
      <c r="F557" s="73">
        <f>$C557*VLOOKUP($B557,FoodDB!$A$2:$I$1024,5,0)</f>
        <v>0</v>
      </c>
      <c r="G557" s="73">
        <f>$C557*VLOOKUP($B557,FoodDB!$A$2:$I$1024,6,0)</f>
        <v>0</v>
      </c>
      <c r="H557" s="73">
        <f>$C557*VLOOKUP($B557,FoodDB!$A$2:$I$1024,7,0)</f>
        <v>0</v>
      </c>
      <c r="I557" s="73">
        <f>$C557*VLOOKUP($B557,FoodDB!$A$2:$I$1024,8,0)</f>
        <v>0</v>
      </c>
      <c r="J557" s="73">
        <f>$C557*VLOOKUP($B557,FoodDB!$A$2:$I$1024,9,0)</f>
        <v>0</v>
      </c>
      <c r="K557" s="73"/>
      <c r="L557" s="73">
        <f>SUM(G557:G563)</f>
        <v>0</v>
      </c>
      <c r="M557" s="73">
        <f>SUM(H557:H563)</f>
        <v>0</v>
      </c>
      <c r="N557" s="73">
        <f>SUM(I557:I563)</f>
        <v>0</v>
      </c>
      <c r="O557" s="73">
        <f>SUM(L557:N557)</f>
        <v>0</v>
      </c>
      <c r="P557" s="73">
        <f>VLOOKUP($A557,LossChart!$A$3:$AB$73,14,0)-L557</f>
        <v>698.91766177160184</v>
      </c>
      <c r="Q557" s="73">
        <f>VLOOKUP($A557,LossChart!$A$3:$AB$73,15,0)-M557</f>
        <v>80</v>
      </c>
      <c r="R557" s="73">
        <f>VLOOKUP($A557,LossChart!$A$3:$AB$73,16,0)-N557</f>
        <v>463.76562996293683</v>
      </c>
      <c r="S557" s="73">
        <f>VLOOKUP($A557,LossChart!$A$3:$AB$73,17,0)-O557</f>
        <v>1242.6832917345387</v>
      </c>
    </row>
    <row r="558" spans="1:19" x14ac:dyDescent="0.25">
      <c r="B558" s="71" t="s">
        <v>95</v>
      </c>
      <c r="C558" s="72">
        <v>1</v>
      </c>
      <c r="D558" s="73">
        <f>$C558*VLOOKUP($B558,FoodDB!$A$2:$I$1024,3,0)</f>
        <v>0</v>
      </c>
      <c r="E558" s="73">
        <f>$C558*VLOOKUP($B558,FoodDB!$A$2:$I$1024,4,0)</f>
        <v>0</v>
      </c>
      <c r="F558" s="73">
        <f>$C558*VLOOKUP($B558,FoodDB!$A$2:$I$1024,5,0)</f>
        <v>0</v>
      </c>
      <c r="G558" s="73">
        <f>$C558*VLOOKUP($B558,FoodDB!$A$2:$I$1024,6,0)</f>
        <v>0</v>
      </c>
      <c r="H558" s="73">
        <f>$C558*VLOOKUP($B558,FoodDB!$A$2:$I$1024,7,0)</f>
        <v>0</v>
      </c>
      <c r="I558" s="73">
        <f>$C558*VLOOKUP($B558,FoodDB!$A$2:$I$1024,8,0)</f>
        <v>0</v>
      </c>
      <c r="J558" s="73">
        <f>$C558*VLOOKUP($B558,FoodDB!$A$2:$I$1024,9,0)</f>
        <v>0</v>
      </c>
      <c r="K558" s="73"/>
      <c r="L558" s="73"/>
      <c r="M558" s="73"/>
      <c r="N558" s="73"/>
      <c r="O558" s="73"/>
      <c r="P558" s="73"/>
      <c r="Q558" s="73"/>
      <c r="R558" s="73"/>
      <c r="S558" s="73"/>
    </row>
    <row r="559" spans="1:19" x14ac:dyDescent="0.25">
      <c r="B559" s="71" t="s">
        <v>95</v>
      </c>
      <c r="C559" s="72">
        <v>1</v>
      </c>
      <c r="D559" s="73">
        <f>$C559*VLOOKUP($B559,FoodDB!$A$2:$I$1024,3,0)</f>
        <v>0</v>
      </c>
      <c r="E559" s="73">
        <f>$C559*VLOOKUP($B559,FoodDB!$A$2:$I$1024,4,0)</f>
        <v>0</v>
      </c>
      <c r="F559" s="73">
        <f>$C559*VLOOKUP($B559,FoodDB!$A$2:$I$1024,5,0)</f>
        <v>0</v>
      </c>
      <c r="G559" s="73">
        <f>$C559*VLOOKUP($B559,FoodDB!$A$2:$I$1024,6,0)</f>
        <v>0</v>
      </c>
      <c r="H559" s="73">
        <f>$C559*VLOOKUP($B559,FoodDB!$A$2:$I$1024,7,0)</f>
        <v>0</v>
      </c>
      <c r="I559" s="73">
        <f>$C559*VLOOKUP($B559,FoodDB!$A$2:$I$1024,8,0)</f>
        <v>0</v>
      </c>
      <c r="J559" s="73">
        <f>$C559*VLOOKUP($B559,FoodDB!$A$2:$I$1024,9,0)</f>
        <v>0</v>
      </c>
      <c r="K559" s="73"/>
      <c r="L559" s="73"/>
      <c r="M559" s="73"/>
      <c r="N559" s="73"/>
      <c r="O559" s="73"/>
      <c r="P559" s="73"/>
      <c r="Q559" s="73"/>
      <c r="R559" s="73"/>
      <c r="S559" s="73"/>
    </row>
    <row r="560" spans="1:19" x14ac:dyDescent="0.25">
      <c r="B560" s="71" t="s">
        <v>95</v>
      </c>
      <c r="C560" s="72">
        <v>1</v>
      </c>
      <c r="D560" s="73">
        <f>$C560*VLOOKUP($B560,FoodDB!$A$2:$I$1024,3,0)</f>
        <v>0</v>
      </c>
      <c r="E560" s="73">
        <f>$C560*VLOOKUP($B560,FoodDB!$A$2:$I$1024,4,0)</f>
        <v>0</v>
      </c>
      <c r="F560" s="73">
        <f>$C560*VLOOKUP($B560,FoodDB!$A$2:$I$1024,5,0)</f>
        <v>0</v>
      </c>
      <c r="G560" s="73">
        <f>$C560*VLOOKUP($B560,FoodDB!$A$2:$I$1024,6,0)</f>
        <v>0</v>
      </c>
      <c r="H560" s="73">
        <f>$C560*VLOOKUP($B560,FoodDB!$A$2:$I$1024,7,0)</f>
        <v>0</v>
      </c>
      <c r="I560" s="73">
        <f>$C560*VLOOKUP($B560,FoodDB!$A$2:$I$1024,8,0)</f>
        <v>0</v>
      </c>
      <c r="J560" s="73">
        <f>$C560*VLOOKUP($B560,FoodDB!$A$2:$I$1024,9,0)</f>
        <v>0</v>
      </c>
      <c r="K560" s="73"/>
      <c r="L560" s="73"/>
      <c r="M560" s="73"/>
      <c r="N560" s="73"/>
      <c r="O560" s="73"/>
      <c r="P560" s="73"/>
      <c r="Q560" s="73"/>
      <c r="R560" s="73"/>
      <c r="S560" s="73"/>
    </row>
    <row r="561" spans="1:19" x14ac:dyDescent="0.25">
      <c r="B561" s="71" t="s">
        <v>95</v>
      </c>
      <c r="C561" s="72">
        <v>1</v>
      </c>
      <c r="D561" s="73">
        <f>$C561*VLOOKUP($B561,FoodDB!$A$2:$I$1024,3,0)</f>
        <v>0</v>
      </c>
      <c r="E561" s="73">
        <f>$C561*VLOOKUP($B561,FoodDB!$A$2:$I$1024,4,0)</f>
        <v>0</v>
      </c>
      <c r="F561" s="73">
        <f>$C561*VLOOKUP($B561,FoodDB!$A$2:$I$1024,5,0)</f>
        <v>0</v>
      </c>
      <c r="G561" s="73">
        <f>$C561*VLOOKUP($B561,FoodDB!$A$2:$I$1024,6,0)</f>
        <v>0</v>
      </c>
      <c r="H561" s="73">
        <f>$C561*VLOOKUP($B561,FoodDB!$A$2:$I$1024,7,0)</f>
        <v>0</v>
      </c>
      <c r="I561" s="73">
        <f>$C561*VLOOKUP($B561,FoodDB!$A$2:$I$1024,8,0)</f>
        <v>0</v>
      </c>
      <c r="J561" s="73">
        <f>$C561*VLOOKUP($B561,FoodDB!$A$2:$I$1024,9,0)</f>
        <v>0</v>
      </c>
      <c r="K561" s="73"/>
      <c r="L561" s="73"/>
      <c r="M561" s="73"/>
      <c r="N561" s="73"/>
      <c r="O561" s="73"/>
      <c r="P561" s="73"/>
      <c r="Q561" s="73"/>
      <c r="R561" s="73"/>
      <c r="S561" s="73"/>
    </row>
    <row r="562" spans="1:19" x14ac:dyDescent="0.25">
      <c r="B562" s="71" t="s">
        <v>95</v>
      </c>
      <c r="C562" s="72">
        <v>1</v>
      </c>
      <c r="D562" s="73">
        <f>$C562*VLOOKUP($B562,FoodDB!$A$2:$I$1024,3,0)</f>
        <v>0</v>
      </c>
      <c r="E562" s="73">
        <f>$C562*VLOOKUP($B562,FoodDB!$A$2:$I$1024,4,0)</f>
        <v>0</v>
      </c>
      <c r="F562" s="73">
        <f>$C562*VLOOKUP($B562,FoodDB!$A$2:$I$1024,5,0)</f>
        <v>0</v>
      </c>
      <c r="G562" s="73">
        <f>$C562*VLOOKUP($B562,FoodDB!$A$2:$I$1024,6,0)</f>
        <v>0</v>
      </c>
      <c r="H562" s="73">
        <f>$C562*VLOOKUP($B562,FoodDB!$A$2:$I$1024,7,0)</f>
        <v>0</v>
      </c>
      <c r="I562" s="73">
        <f>$C562*VLOOKUP($B562,FoodDB!$A$2:$I$1024,8,0)</f>
        <v>0</v>
      </c>
      <c r="J562" s="73">
        <f>$C562*VLOOKUP($B562,FoodDB!$A$2:$I$1024,9,0)</f>
        <v>0</v>
      </c>
      <c r="K562" s="73"/>
      <c r="L562" s="73"/>
      <c r="M562" s="73"/>
      <c r="N562" s="73"/>
      <c r="O562" s="73"/>
      <c r="P562" s="73"/>
      <c r="Q562" s="73"/>
      <c r="R562" s="73"/>
      <c r="S562" s="73"/>
    </row>
    <row r="563" spans="1:19" x14ac:dyDescent="0.25">
      <c r="B563" s="71" t="s">
        <v>95</v>
      </c>
      <c r="C563" s="72">
        <v>1</v>
      </c>
      <c r="D563" s="73">
        <f>$C563*VLOOKUP($B563,FoodDB!$A$2:$I$1024,3,0)</f>
        <v>0</v>
      </c>
      <c r="E563" s="73">
        <f>$C563*VLOOKUP($B563,FoodDB!$A$2:$I$1024,4,0)</f>
        <v>0</v>
      </c>
      <c r="F563" s="73">
        <f>$C563*VLOOKUP($B563,FoodDB!$A$2:$I$1024,5,0)</f>
        <v>0</v>
      </c>
      <c r="G563" s="73">
        <f>$C563*VLOOKUP($B563,FoodDB!$A$2:$I$1024,6,0)</f>
        <v>0</v>
      </c>
      <c r="H563" s="73">
        <f>$C563*VLOOKUP($B563,FoodDB!$A$2:$I$1024,7,0)</f>
        <v>0</v>
      </c>
      <c r="I563" s="73">
        <f>$C563*VLOOKUP($B563,FoodDB!$A$2:$I$1024,8,0)</f>
        <v>0</v>
      </c>
      <c r="J563" s="73">
        <f>$C563*VLOOKUP($B563,FoodDB!$A$2:$I$1024,9,0)</f>
        <v>0</v>
      </c>
      <c r="K563" s="73"/>
      <c r="L563" s="73"/>
      <c r="M563" s="73"/>
      <c r="N563" s="73"/>
      <c r="O563" s="73"/>
      <c r="P563" s="73"/>
      <c r="Q563" s="73"/>
      <c r="R563" s="73"/>
      <c r="S563" s="73"/>
    </row>
    <row r="564" spans="1:19" x14ac:dyDescent="0.25">
      <c r="A564" t="s">
        <v>99</v>
      </c>
      <c r="D564" s="73"/>
      <c r="E564" s="73"/>
      <c r="F564" s="73"/>
      <c r="G564" s="73">
        <f>SUM(G557:G563)</f>
        <v>0</v>
      </c>
      <c r="H564" s="73">
        <f>SUM(H557:H563)</f>
        <v>0</v>
      </c>
      <c r="I564" s="73">
        <f>SUM(I557:I563)</f>
        <v>0</v>
      </c>
      <c r="J564" s="73">
        <f>SUM(G564:I564)</f>
        <v>0</v>
      </c>
      <c r="K564" s="73"/>
      <c r="L564" s="73"/>
      <c r="M564" s="73"/>
      <c r="N564" s="73"/>
      <c r="O564" s="73"/>
      <c r="P564" s="73"/>
      <c r="Q564" s="73"/>
      <c r="R564" s="73"/>
      <c r="S564" s="73"/>
    </row>
    <row r="565" spans="1:19" x14ac:dyDescent="0.25">
      <c r="A565" t="s">
        <v>100</v>
      </c>
      <c r="B565" t="s">
        <v>101</v>
      </c>
      <c r="D565" s="73"/>
      <c r="E565" s="73"/>
      <c r="F565" s="73"/>
      <c r="G565" s="73">
        <f>VLOOKUP($A557,LossChart!$A$3:$AB$73,14,0)</f>
        <v>698.91766177160184</v>
      </c>
      <c r="H565" s="73">
        <f>VLOOKUP($A557,LossChart!$A$3:$AB$73,15,0)</f>
        <v>80</v>
      </c>
      <c r="I565" s="73">
        <f>VLOOKUP($A557,LossChart!$A$3:$AB$73,16,0)</f>
        <v>463.76562996293683</v>
      </c>
      <c r="J565" s="73">
        <f>VLOOKUP($A557,LossChart!$A$3:$AB$73,17,0)</f>
        <v>1242.6832917345387</v>
      </c>
      <c r="K565" s="73"/>
      <c r="L565" s="73"/>
      <c r="M565" s="73"/>
      <c r="N565" s="73"/>
      <c r="O565" s="73"/>
      <c r="P565" s="73"/>
      <c r="Q565" s="73"/>
      <c r="R565" s="73"/>
      <c r="S565" s="73"/>
    </row>
    <row r="566" spans="1:19" x14ac:dyDescent="0.25">
      <c r="A566" t="s">
        <v>102</v>
      </c>
      <c r="D566" s="73"/>
      <c r="E566" s="73"/>
      <c r="F566" s="73"/>
      <c r="G566" s="73">
        <f>G565-G564</f>
        <v>698.91766177160184</v>
      </c>
      <c r="H566" s="73">
        <f>H565-H564</f>
        <v>80</v>
      </c>
      <c r="I566" s="73">
        <f>I565-I564</f>
        <v>463.76562996293683</v>
      </c>
      <c r="J566" s="73">
        <f>J565-J564</f>
        <v>1242.6832917345387</v>
      </c>
      <c r="K566" s="73"/>
      <c r="L566" s="73"/>
      <c r="M566" s="73"/>
      <c r="N566" s="73"/>
      <c r="O566" s="73"/>
      <c r="P566" s="73"/>
      <c r="Q566" s="73"/>
      <c r="R566" s="73"/>
      <c r="S566" s="73"/>
    </row>
    <row r="568" spans="1:19" ht="60" x14ac:dyDescent="0.25">
      <c r="A568" s="25" t="s">
        <v>63</v>
      </c>
      <c r="B568" s="25" t="s">
        <v>80</v>
      </c>
      <c r="C568" s="25" t="s">
        <v>81</v>
      </c>
      <c r="D568" s="69" t="str">
        <f>FoodDB!$C$1</f>
        <v>Fat
(g)</v>
      </c>
      <c r="E568" s="69" t="str">
        <f>FoodDB!$D$1</f>
        <v xml:space="preserve"> Net
Carbs
(g)</v>
      </c>
      <c r="F568" s="69" t="str">
        <f>FoodDB!$E$1</f>
        <v>Protein
(g)</v>
      </c>
      <c r="G568" s="69" t="str">
        <f>FoodDB!$F$1</f>
        <v>Fat
(Cal)</v>
      </c>
      <c r="H568" s="69" t="str">
        <f>FoodDB!$G$1</f>
        <v>Carb
(Cal)</v>
      </c>
      <c r="I568" s="69" t="str">
        <f>FoodDB!$H$1</f>
        <v>Protein
(Cal)</v>
      </c>
      <c r="J568" s="69" t="str">
        <f>FoodDB!$I$1</f>
        <v>Total
Calories</v>
      </c>
      <c r="K568" s="69"/>
      <c r="L568" s="69" t="s">
        <v>82</v>
      </c>
      <c r="M568" s="69" t="s">
        <v>83</v>
      </c>
      <c r="N568" s="69" t="s">
        <v>84</v>
      </c>
      <c r="O568" s="69" t="s">
        <v>85</v>
      </c>
      <c r="P568" s="69" t="s">
        <v>86</v>
      </c>
      <c r="Q568" s="69" t="s">
        <v>87</v>
      </c>
      <c r="R568" s="69" t="s">
        <v>88</v>
      </c>
      <c r="S568" s="69" t="s">
        <v>89</v>
      </c>
    </row>
    <row r="569" spans="1:19" x14ac:dyDescent="0.25">
      <c r="A569" s="70">
        <f>A557+1</f>
        <v>43078</v>
      </c>
      <c r="B569" s="71" t="s">
        <v>95</v>
      </c>
      <c r="C569" s="72">
        <v>1</v>
      </c>
      <c r="D569" s="73">
        <f>$C569*VLOOKUP($B569,FoodDB!$A$2:$I$1024,3,0)</f>
        <v>0</v>
      </c>
      <c r="E569" s="73">
        <f>$C569*VLOOKUP($B569,FoodDB!$A$2:$I$1024,4,0)</f>
        <v>0</v>
      </c>
      <c r="F569" s="73">
        <f>$C569*VLOOKUP($B569,FoodDB!$A$2:$I$1024,5,0)</f>
        <v>0</v>
      </c>
      <c r="G569" s="73">
        <f>$C569*VLOOKUP($B569,FoodDB!$A$2:$I$1024,6,0)</f>
        <v>0</v>
      </c>
      <c r="H569" s="73">
        <f>$C569*VLOOKUP($B569,FoodDB!$A$2:$I$1024,7,0)</f>
        <v>0</v>
      </c>
      <c r="I569" s="73">
        <f>$C569*VLOOKUP($B569,FoodDB!$A$2:$I$1024,8,0)</f>
        <v>0</v>
      </c>
      <c r="J569" s="73">
        <f>$C569*VLOOKUP($B569,FoodDB!$A$2:$I$1024,9,0)</f>
        <v>0</v>
      </c>
      <c r="K569" s="73"/>
      <c r="L569" s="73">
        <f>SUM(G569:G575)</f>
        <v>0</v>
      </c>
      <c r="M569" s="73">
        <f>SUM(H569:H575)</f>
        <v>0</v>
      </c>
      <c r="N569" s="73">
        <f>SUM(I569:I575)</f>
        <v>0</v>
      </c>
      <c r="O569" s="73">
        <f>SUM(L569:N569)</f>
        <v>0</v>
      </c>
      <c r="P569" s="73">
        <f>VLOOKUP($A569,LossChart!$A$3:$AB$73,14,0)-L569</f>
        <v>704.14102794513951</v>
      </c>
      <c r="Q569" s="73">
        <f>VLOOKUP($A569,LossChart!$A$3:$AB$73,15,0)-M569</f>
        <v>80</v>
      </c>
      <c r="R569" s="73">
        <f>VLOOKUP($A569,LossChart!$A$3:$AB$73,16,0)-N569</f>
        <v>463.76562996293683</v>
      </c>
      <c r="S569" s="73">
        <f>VLOOKUP($A569,LossChart!$A$3:$AB$73,17,0)-O569</f>
        <v>1247.9066579080763</v>
      </c>
    </row>
    <row r="570" spans="1:19" x14ac:dyDescent="0.25">
      <c r="B570" s="71" t="s">
        <v>95</v>
      </c>
      <c r="C570" s="72">
        <v>1</v>
      </c>
      <c r="D570" s="73">
        <f>$C570*VLOOKUP($B570,FoodDB!$A$2:$I$1024,3,0)</f>
        <v>0</v>
      </c>
      <c r="E570" s="73">
        <f>$C570*VLOOKUP($B570,FoodDB!$A$2:$I$1024,4,0)</f>
        <v>0</v>
      </c>
      <c r="F570" s="73">
        <f>$C570*VLOOKUP($B570,FoodDB!$A$2:$I$1024,5,0)</f>
        <v>0</v>
      </c>
      <c r="G570" s="73">
        <f>$C570*VLOOKUP($B570,FoodDB!$A$2:$I$1024,6,0)</f>
        <v>0</v>
      </c>
      <c r="H570" s="73">
        <f>$C570*VLOOKUP($B570,FoodDB!$A$2:$I$1024,7,0)</f>
        <v>0</v>
      </c>
      <c r="I570" s="73">
        <f>$C570*VLOOKUP($B570,FoodDB!$A$2:$I$1024,8,0)</f>
        <v>0</v>
      </c>
      <c r="J570" s="73">
        <f>$C570*VLOOKUP($B570,FoodDB!$A$2:$I$1024,9,0)</f>
        <v>0</v>
      </c>
      <c r="K570" s="73"/>
      <c r="L570" s="73"/>
      <c r="M570" s="73"/>
      <c r="N570" s="73"/>
      <c r="O570" s="73"/>
      <c r="P570" s="73"/>
      <c r="Q570" s="73"/>
      <c r="R570" s="73"/>
      <c r="S570" s="73"/>
    </row>
    <row r="571" spans="1:19" x14ac:dyDescent="0.25">
      <c r="B571" s="71" t="s">
        <v>95</v>
      </c>
      <c r="C571" s="72">
        <v>1</v>
      </c>
      <c r="D571" s="73">
        <f>$C571*VLOOKUP($B571,FoodDB!$A$2:$I$1024,3,0)</f>
        <v>0</v>
      </c>
      <c r="E571" s="73">
        <f>$C571*VLOOKUP($B571,FoodDB!$A$2:$I$1024,4,0)</f>
        <v>0</v>
      </c>
      <c r="F571" s="73">
        <f>$C571*VLOOKUP($B571,FoodDB!$A$2:$I$1024,5,0)</f>
        <v>0</v>
      </c>
      <c r="G571" s="73">
        <f>$C571*VLOOKUP($B571,FoodDB!$A$2:$I$1024,6,0)</f>
        <v>0</v>
      </c>
      <c r="H571" s="73">
        <f>$C571*VLOOKUP($B571,FoodDB!$A$2:$I$1024,7,0)</f>
        <v>0</v>
      </c>
      <c r="I571" s="73">
        <f>$C571*VLOOKUP($B571,FoodDB!$A$2:$I$1024,8,0)</f>
        <v>0</v>
      </c>
      <c r="J571" s="73">
        <f>$C571*VLOOKUP($B571,FoodDB!$A$2:$I$1024,9,0)</f>
        <v>0</v>
      </c>
      <c r="K571" s="73"/>
      <c r="L571" s="73"/>
      <c r="M571" s="73"/>
      <c r="N571" s="73"/>
      <c r="O571" s="73"/>
      <c r="P571" s="73"/>
      <c r="Q571" s="73"/>
      <c r="R571" s="73"/>
      <c r="S571" s="73"/>
    </row>
    <row r="572" spans="1:19" x14ac:dyDescent="0.25">
      <c r="B572" s="71" t="s">
        <v>95</v>
      </c>
      <c r="C572" s="72">
        <v>1</v>
      </c>
      <c r="D572" s="73">
        <f>$C572*VLOOKUP($B572,FoodDB!$A$2:$I$1024,3,0)</f>
        <v>0</v>
      </c>
      <c r="E572" s="73">
        <f>$C572*VLOOKUP($B572,FoodDB!$A$2:$I$1024,4,0)</f>
        <v>0</v>
      </c>
      <c r="F572" s="73">
        <f>$C572*VLOOKUP($B572,FoodDB!$A$2:$I$1024,5,0)</f>
        <v>0</v>
      </c>
      <c r="G572" s="73">
        <f>$C572*VLOOKUP($B572,FoodDB!$A$2:$I$1024,6,0)</f>
        <v>0</v>
      </c>
      <c r="H572" s="73">
        <f>$C572*VLOOKUP($B572,FoodDB!$A$2:$I$1024,7,0)</f>
        <v>0</v>
      </c>
      <c r="I572" s="73">
        <f>$C572*VLOOKUP($B572,FoodDB!$A$2:$I$1024,8,0)</f>
        <v>0</v>
      </c>
      <c r="J572" s="73">
        <f>$C572*VLOOKUP($B572,FoodDB!$A$2:$I$1024,9,0)</f>
        <v>0</v>
      </c>
      <c r="K572" s="73"/>
      <c r="L572" s="73"/>
      <c r="M572" s="73"/>
      <c r="N572" s="73"/>
      <c r="O572" s="73"/>
      <c r="P572" s="73"/>
      <c r="Q572" s="73"/>
      <c r="R572" s="73"/>
      <c r="S572" s="73"/>
    </row>
    <row r="573" spans="1:19" x14ac:dyDescent="0.25">
      <c r="B573" s="71" t="s">
        <v>95</v>
      </c>
      <c r="C573" s="72">
        <v>1</v>
      </c>
      <c r="D573" s="73">
        <f>$C573*VLOOKUP($B573,FoodDB!$A$2:$I$1024,3,0)</f>
        <v>0</v>
      </c>
      <c r="E573" s="73">
        <f>$C573*VLOOKUP($B573,FoodDB!$A$2:$I$1024,4,0)</f>
        <v>0</v>
      </c>
      <c r="F573" s="73">
        <f>$C573*VLOOKUP($B573,FoodDB!$A$2:$I$1024,5,0)</f>
        <v>0</v>
      </c>
      <c r="G573" s="73">
        <f>$C573*VLOOKUP($B573,FoodDB!$A$2:$I$1024,6,0)</f>
        <v>0</v>
      </c>
      <c r="H573" s="73">
        <f>$C573*VLOOKUP($B573,FoodDB!$A$2:$I$1024,7,0)</f>
        <v>0</v>
      </c>
      <c r="I573" s="73">
        <f>$C573*VLOOKUP($B573,FoodDB!$A$2:$I$1024,8,0)</f>
        <v>0</v>
      </c>
      <c r="J573" s="73">
        <f>$C573*VLOOKUP($B573,FoodDB!$A$2:$I$1024,9,0)</f>
        <v>0</v>
      </c>
      <c r="K573" s="73"/>
      <c r="L573" s="73"/>
      <c r="M573" s="73"/>
      <c r="N573" s="73"/>
      <c r="O573" s="73"/>
      <c r="P573" s="73"/>
      <c r="Q573" s="73"/>
      <c r="R573" s="73"/>
      <c r="S573" s="73"/>
    </row>
    <row r="574" spans="1:19" x14ac:dyDescent="0.25">
      <c r="B574" s="71" t="s">
        <v>95</v>
      </c>
      <c r="C574" s="72">
        <v>1</v>
      </c>
      <c r="D574" s="73">
        <f>$C574*VLOOKUP($B574,FoodDB!$A$2:$I$1024,3,0)</f>
        <v>0</v>
      </c>
      <c r="E574" s="73">
        <f>$C574*VLOOKUP($B574,FoodDB!$A$2:$I$1024,4,0)</f>
        <v>0</v>
      </c>
      <c r="F574" s="73">
        <f>$C574*VLOOKUP($B574,FoodDB!$A$2:$I$1024,5,0)</f>
        <v>0</v>
      </c>
      <c r="G574" s="73">
        <f>$C574*VLOOKUP($B574,FoodDB!$A$2:$I$1024,6,0)</f>
        <v>0</v>
      </c>
      <c r="H574" s="73">
        <f>$C574*VLOOKUP($B574,FoodDB!$A$2:$I$1024,7,0)</f>
        <v>0</v>
      </c>
      <c r="I574" s="73">
        <f>$C574*VLOOKUP($B574,FoodDB!$A$2:$I$1024,8,0)</f>
        <v>0</v>
      </c>
      <c r="J574" s="73">
        <f>$C574*VLOOKUP($B574,FoodDB!$A$2:$I$1024,9,0)</f>
        <v>0</v>
      </c>
      <c r="K574" s="73"/>
      <c r="L574" s="73"/>
      <c r="M574" s="73"/>
      <c r="N574" s="73"/>
      <c r="O574" s="73"/>
      <c r="P574" s="73"/>
      <c r="Q574" s="73"/>
      <c r="R574" s="73"/>
      <c r="S574" s="73"/>
    </row>
    <row r="575" spans="1:19" x14ac:dyDescent="0.25">
      <c r="B575" s="71" t="s">
        <v>95</v>
      </c>
      <c r="C575" s="72">
        <v>1</v>
      </c>
      <c r="D575" s="73">
        <f>$C575*VLOOKUP($B575,FoodDB!$A$2:$I$1024,3,0)</f>
        <v>0</v>
      </c>
      <c r="E575" s="73">
        <f>$C575*VLOOKUP($B575,FoodDB!$A$2:$I$1024,4,0)</f>
        <v>0</v>
      </c>
      <c r="F575" s="73">
        <f>$C575*VLOOKUP($B575,FoodDB!$A$2:$I$1024,5,0)</f>
        <v>0</v>
      </c>
      <c r="G575" s="73">
        <f>$C575*VLOOKUP($B575,FoodDB!$A$2:$I$1024,6,0)</f>
        <v>0</v>
      </c>
      <c r="H575" s="73">
        <f>$C575*VLOOKUP($B575,FoodDB!$A$2:$I$1024,7,0)</f>
        <v>0</v>
      </c>
      <c r="I575" s="73">
        <f>$C575*VLOOKUP($B575,FoodDB!$A$2:$I$1024,8,0)</f>
        <v>0</v>
      </c>
      <c r="J575" s="73">
        <f>$C575*VLOOKUP($B575,FoodDB!$A$2:$I$1024,9,0)</f>
        <v>0</v>
      </c>
      <c r="K575" s="73"/>
      <c r="L575" s="73"/>
      <c r="M575" s="73"/>
      <c r="N575" s="73"/>
      <c r="O575" s="73"/>
      <c r="P575" s="73"/>
      <c r="Q575" s="73"/>
      <c r="R575" s="73"/>
      <c r="S575" s="73"/>
    </row>
    <row r="576" spans="1:19" x14ac:dyDescent="0.25">
      <c r="A576" t="s">
        <v>99</v>
      </c>
      <c r="D576" s="73"/>
      <c r="E576" s="73"/>
      <c r="F576" s="73"/>
      <c r="G576" s="73">
        <f>SUM(G569:G575)</f>
        <v>0</v>
      </c>
      <c r="H576" s="73">
        <f>SUM(H569:H575)</f>
        <v>0</v>
      </c>
      <c r="I576" s="73">
        <f>SUM(I569:I575)</f>
        <v>0</v>
      </c>
      <c r="J576" s="73">
        <f>SUM(G576:I576)</f>
        <v>0</v>
      </c>
      <c r="K576" s="73"/>
      <c r="L576" s="73"/>
      <c r="M576" s="73"/>
      <c r="N576" s="73"/>
      <c r="O576" s="73"/>
      <c r="P576" s="73"/>
      <c r="Q576" s="73"/>
      <c r="R576" s="73"/>
      <c r="S576" s="73"/>
    </row>
    <row r="577" spans="1:19" x14ac:dyDescent="0.25">
      <c r="A577" t="s">
        <v>100</v>
      </c>
      <c r="B577" t="s">
        <v>101</v>
      </c>
      <c r="D577" s="73"/>
      <c r="E577" s="73"/>
      <c r="F577" s="73"/>
      <c r="G577" s="73">
        <f>VLOOKUP($A569,LossChart!$A$3:$AB$73,14,0)</f>
        <v>704.14102794513951</v>
      </c>
      <c r="H577" s="73">
        <f>VLOOKUP($A569,LossChart!$A$3:$AB$73,15,0)</f>
        <v>80</v>
      </c>
      <c r="I577" s="73">
        <f>VLOOKUP($A569,LossChart!$A$3:$AB$73,16,0)</f>
        <v>463.76562996293683</v>
      </c>
      <c r="J577" s="73">
        <f>VLOOKUP($A569,LossChart!$A$3:$AB$73,17,0)</f>
        <v>1247.9066579080763</v>
      </c>
      <c r="K577" s="73"/>
      <c r="L577" s="73"/>
      <c r="M577" s="73"/>
      <c r="N577" s="73"/>
      <c r="O577" s="73"/>
      <c r="P577" s="73"/>
      <c r="Q577" s="73"/>
      <c r="R577" s="73"/>
      <c r="S577" s="73"/>
    </row>
    <row r="578" spans="1:19" x14ac:dyDescent="0.25">
      <c r="A578" t="s">
        <v>102</v>
      </c>
      <c r="D578" s="73"/>
      <c r="E578" s="73"/>
      <c r="F578" s="73"/>
      <c r="G578" s="73">
        <f>G577-G576</f>
        <v>704.14102794513951</v>
      </c>
      <c r="H578" s="73">
        <f>H577-H576</f>
        <v>80</v>
      </c>
      <c r="I578" s="73">
        <f>I577-I576</f>
        <v>463.76562996293683</v>
      </c>
      <c r="J578" s="73">
        <f>J577-J576</f>
        <v>1247.9066579080763</v>
      </c>
      <c r="K578" s="73"/>
      <c r="L578" s="73"/>
      <c r="M578" s="73"/>
      <c r="N578" s="73"/>
      <c r="O578" s="73"/>
      <c r="P578" s="73"/>
      <c r="Q578" s="73"/>
      <c r="R578" s="73"/>
      <c r="S578" s="73"/>
    </row>
    <row r="580" spans="1:19" ht="60" x14ac:dyDescent="0.25">
      <c r="A580" s="25" t="s">
        <v>63</v>
      </c>
      <c r="B580" s="25" t="s">
        <v>80</v>
      </c>
      <c r="C580" s="25" t="s">
        <v>81</v>
      </c>
      <c r="D580" s="69" t="str">
        <f>FoodDB!$C$1</f>
        <v>Fat
(g)</v>
      </c>
      <c r="E580" s="69" t="str">
        <f>FoodDB!$D$1</f>
        <v xml:space="preserve"> Net
Carbs
(g)</v>
      </c>
      <c r="F580" s="69" t="str">
        <f>FoodDB!$E$1</f>
        <v>Protein
(g)</v>
      </c>
      <c r="G580" s="69" t="str">
        <f>FoodDB!$F$1</f>
        <v>Fat
(Cal)</v>
      </c>
      <c r="H580" s="69" t="str">
        <f>FoodDB!$G$1</f>
        <v>Carb
(Cal)</v>
      </c>
      <c r="I580" s="69" t="str">
        <f>FoodDB!$H$1</f>
        <v>Protein
(Cal)</v>
      </c>
      <c r="J580" s="69" t="str">
        <f>FoodDB!$I$1</f>
        <v>Total
Calories</v>
      </c>
      <c r="K580" s="69"/>
      <c r="L580" s="69" t="s">
        <v>82</v>
      </c>
      <c r="M580" s="69" t="s">
        <v>83</v>
      </c>
      <c r="N580" s="69" t="s">
        <v>84</v>
      </c>
      <c r="O580" s="69" t="s">
        <v>85</v>
      </c>
      <c r="P580" s="69" t="s">
        <v>86</v>
      </c>
      <c r="Q580" s="69" t="s">
        <v>87</v>
      </c>
      <c r="R580" s="69" t="s">
        <v>88</v>
      </c>
      <c r="S580" s="69" t="s">
        <v>89</v>
      </c>
    </row>
    <row r="581" spans="1:19" x14ac:dyDescent="0.25">
      <c r="A581" s="70">
        <f>A569+1</f>
        <v>43079</v>
      </c>
      <c r="B581" s="71" t="s">
        <v>95</v>
      </c>
      <c r="C581" s="72">
        <v>1</v>
      </c>
      <c r="D581" s="73">
        <f>$C581*VLOOKUP($B581,FoodDB!$A$2:$I$1024,3,0)</f>
        <v>0</v>
      </c>
      <c r="E581" s="73">
        <f>$C581*VLOOKUP($B581,FoodDB!$A$2:$I$1024,4,0)</f>
        <v>0</v>
      </c>
      <c r="F581" s="73">
        <f>$C581*VLOOKUP($B581,FoodDB!$A$2:$I$1024,5,0)</f>
        <v>0</v>
      </c>
      <c r="G581" s="73">
        <f>$C581*VLOOKUP($B581,FoodDB!$A$2:$I$1024,6,0)</f>
        <v>0</v>
      </c>
      <c r="H581" s="73">
        <f>$C581*VLOOKUP($B581,FoodDB!$A$2:$I$1024,7,0)</f>
        <v>0</v>
      </c>
      <c r="I581" s="73">
        <f>$C581*VLOOKUP($B581,FoodDB!$A$2:$I$1024,8,0)</f>
        <v>0</v>
      </c>
      <c r="J581" s="73">
        <f>$C581*VLOOKUP($B581,FoodDB!$A$2:$I$1024,9,0)</f>
        <v>0</v>
      </c>
      <c r="K581" s="73"/>
      <c r="L581" s="73">
        <f>SUM(G581:G587)</f>
        <v>0</v>
      </c>
      <c r="M581" s="73">
        <f>SUM(H581:H587)</f>
        <v>0</v>
      </c>
      <c r="N581" s="73">
        <f>SUM(I581:I587)</f>
        <v>0</v>
      </c>
      <c r="O581" s="73">
        <f>SUM(L581:N581)</f>
        <v>0</v>
      </c>
      <c r="P581" s="73">
        <f>VLOOKUP($A581,LossChart!$A$3:$AB$73,14,0)-L581</f>
        <v>709.31813001828277</v>
      </c>
      <c r="Q581" s="73">
        <f>VLOOKUP($A581,LossChart!$A$3:$AB$73,15,0)-M581</f>
        <v>80</v>
      </c>
      <c r="R581" s="73">
        <f>VLOOKUP($A581,LossChart!$A$3:$AB$73,16,0)-N581</f>
        <v>463.76562996293683</v>
      </c>
      <c r="S581" s="73">
        <f>VLOOKUP($A581,LossChart!$A$3:$AB$73,17,0)-O581</f>
        <v>1253.0837599812196</v>
      </c>
    </row>
    <row r="582" spans="1:19" x14ac:dyDescent="0.25">
      <c r="B582" s="71" t="s">
        <v>95</v>
      </c>
      <c r="C582" s="72">
        <v>1</v>
      </c>
      <c r="D582" s="73">
        <f>$C582*VLOOKUP($B582,FoodDB!$A$2:$I$1024,3,0)</f>
        <v>0</v>
      </c>
      <c r="E582" s="73">
        <f>$C582*VLOOKUP($B582,FoodDB!$A$2:$I$1024,4,0)</f>
        <v>0</v>
      </c>
      <c r="F582" s="73">
        <f>$C582*VLOOKUP($B582,FoodDB!$A$2:$I$1024,5,0)</f>
        <v>0</v>
      </c>
      <c r="G582" s="73">
        <f>$C582*VLOOKUP($B582,FoodDB!$A$2:$I$1024,6,0)</f>
        <v>0</v>
      </c>
      <c r="H582" s="73">
        <f>$C582*VLOOKUP($B582,FoodDB!$A$2:$I$1024,7,0)</f>
        <v>0</v>
      </c>
      <c r="I582" s="73">
        <f>$C582*VLOOKUP($B582,FoodDB!$A$2:$I$1024,8,0)</f>
        <v>0</v>
      </c>
      <c r="J582" s="73">
        <f>$C582*VLOOKUP($B582,FoodDB!$A$2:$I$1024,9,0)</f>
        <v>0</v>
      </c>
      <c r="K582" s="73"/>
      <c r="L582" s="73"/>
      <c r="M582" s="73"/>
      <c r="N582" s="73"/>
      <c r="O582" s="73"/>
      <c r="P582" s="73"/>
      <c r="Q582" s="73"/>
      <c r="R582" s="73"/>
      <c r="S582" s="73"/>
    </row>
    <row r="583" spans="1:19" x14ac:dyDescent="0.25">
      <c r="B583" s="71" t="s">
        <v>95</v>
      </c>
      <c r="C583" s="72">
        <v>1</v>
      </c>
      <c r="D583" s="73">
        <f>$C583*VLOOKUP($B583,FoodDB!$A$2:$I$1024,3,0)</f>
        <v>0</v>
      </c>
      <c r="E583" s="73">
        <f>$C583*VLOOKUP($B583,FoodDB!$A$2:$I$1024,4,0)</f>
        <v>0</v>
      </c>
      <c r="F583" s="73">
        <f>$C583*VLOOKUP($B583,FoodDB!$A$2:$I$1024,5,0)</f>
        <v>0</v>
      </c>
      <c r="G583" s="73">
        <f>$C583*VLOOKUP($B583,FoodDB!$A$2:$I$1024,6,0)</f>
        <v>0</v>
      </c>
      <c r="H583" s="73">
        <f>$C583*VLOOKUP($B583,FoodDB!$A$2:$I$1024,7,0)</f>
        <v>0</v>
      </c>
      <c r="I583" s="73">
        <f>$C583*VLOOKUP($B583,FoodDB!$A$2:$I$1024,8,0)</f>
        <v>0</v>
      </c>
      <c r="J583" s="73">
        <f>$C583*VLOOKUP($B583,FoodDB!$A$2:$I$1024,9,0)</f>
        <v>0</v>
      </c>
      <c r="K583" s="73"/>
      <c r="L583" s="73"/>
      <c r="M583" s="73"/>
      <c r="N583" s="73"/>
      <c r="O583" s="73"/>
      <c r="P583" s="73"/>
      <c r="Q583" s="73"/>
      <c r="R583" s="73"/>
      <c r="S583" s="73"/>
    </row>
    <row r="584" spans="1:19" x14ac:dyDescent="0.25">
      <c r="B584" s="71" t="s">
        <v>95</v>
      </c>
      <c r="C584" s="72">
        <v>1</v>
      </c>
      <c r="D584" s="73">
        <f>$C584*VLOOKUP($B584,FoodDB!$A$2:$I$1024,3,0)</f>
        <v>0</v>
      </c>
      <c r="E584" s="73">
        <f>$C584*VLOOKUP($B584,FoodDB!$A$2:$I$1024,4,0)</f>
        <v>0</v>
      </c>
      <c r="F584" s="73">
        <f>$C584*VLOOKUP($B584,FoodDB!$A$2:$I$1024,5,0)</f>
        <v>0</v>
      </c>
      <c r="G584" s="73">
        <f>$C584*VLOOKUP($B584,FoodDB!$A$2:$I$1024,6,0)</f>
        <v>0</v>
      </c>
      <c r="H584" s="73">
        <f>$C584*VLOOKUP($B584,FoodDB!$A$2:$I$1024,7,0)</f>
        <v>0</v>
      </c>
      <c r="I584" s="73">
        <f>$C584*VLOOKUP($B584,FoodDB!$A$2:$I$1024,8,0)</f>
        <v>0</v>
      </c>
      <c r="J584" s="73">
        <f>$C584*VLOOKUP($B584,FoodDB!$A$2:$I$1024,9,0)</f>
        <v>0</v>
      </c>
      <c r="K584" s="73"/>
      <c r="L584" s="73"/>
      <c r="M584" s="73"/>
      <c r="N584" s="73"/>
      <c r="O584" s="73"/>
      <c r="P584" s="73"/>
      <c r="Q584" s="73"/>
      <c r="R584" s="73"/>
      <c r="S584" s="73"/>
    </row>
    <row r="585" spans="1:19" x14ac:dyDescent="0.25">
      <c r="B585" s="71" t="s">
        <v>95</v>
      </c>
      <c r="C585" s="72">
        <v>1</v>
      </c>
      <c r="D585" s="73">
        <f>$C585*VLOOKUP($B585,FoodDB!$A$2:$I$1024,3,0)</f>
        <v>0</v>
      </c>
      <c r="E585" s="73">
        <f>$C585*VLOOKUP($B585,FoodDB!$A$2:$I$1024,4,0)</f>
        <v>0</v>
      </c>
      <c r="F585" s="73">
        <f>$C585*VLOOKUP($B585,FoodDB!$A$2:$I$1024,5,0)</f>
        <v>0</v>
      </c>
      <c r="G585" s="73">
        <f>$C585*VLOOKUP($B585,FoodDB!$A$2:$I$1024,6,0)</f>
        <v>0</v>
      </c>
      <c r="H585" s="73">
        <f>$C585*VLOOKUP($B585,FoodDB!$A$2:$I$1024,7,0)</f>
        <v>0</v>
      </c>
      <c r="I585" s="73">
        <f>$C585*VLOOKUP($B585,FoodDB!$A$2:$I$1024,8,0)</f>
        <v>0</v>
      </c>
      <c r="J585" s="73">
        <f>$C585*VLOOKUP($B585,FoodDB!$A$2:$I$1024,9,0)</f>
        <v>0</v>
      </c>
      <c r="K585" s="73"/>
      <c r="L585" s="73"/>
      <c r="M585" s="73"/>
      <c r="N585" s="73"/>
      <c r="O585" s="73"/>
      <c r="P585" s="73"/>
      <c r="Q585" s="73"/>
      <c r="R585" s="73"/>
      <c r="S585" s="73"/>
    </row>
    <row r="586" spans="1:19" x14ac:dyDescent="0.25">
      <c r="B586" s="71" t="s">
        <v>95</v>
      </c>
      <c r="C586" s="72">
        <v>1</v>
      </c>
      <c r="D586" s="73">
        <f>$C586*VLOOKUP($B586,FoodDB!$A$2:$I$1024,3,0)</f>
        <v>0</v>
      </c>
      <c r="E586" s="73">
        <f>$C586*VLOOKUP($B586,FoodDB!$A$2:$I$1024,4,0)</f>
        <v>0</v>
      </c>
      <c r="F586" s="73">
        <f>$C586*VLOOKUP($B586,FoodDB!$A$2:$I$1024,5,0)</f>
        <v>0</v>
      </c>
      <c r="G586" s="73">
        <f>$C586*VLOOKUP($B586,FoodDB!$A$2:$I$1024,6,0)</f>
        <v>0</v>
      </c>
      <c r="H586" s="73">
        <f>$C586*VLOOKUP($B586,FoodDB!$A$2:$I$1024,7,0)</f>
        <v>0</v>
      </c>
      <c r="I586" s="73">
        <f>$C586*VLOOKUP($B586,FoodDB!$A$2:$I$1024,8,0)</f>
        <v>0</v>
      </c>
      <c r="J586" s="73">
        <f>$C586*VLOOKUP($B586,FoodDB!$A$2:$I$1024,9,0)</f>
        <v>0</v>
      </c>
      <c r="K586" s="73"/>
      <c r="L586" s="73"/>
      <c r="M586" s="73"/>
      <c r="N586" s="73"/>
      <c r="O586" s="73"/>
      <c r="P586" s="73"/>
      <c r="Q586" s="73"/>
      <c r="R586" s="73"/>
      <c r="S586" s="73"/>
    </row>
    <row r="587" spans="1:19" x14ac:dyDescent="0.25">
      <c r="B587" s="71" t="s">
        <v>95</v>
      </c>
      <c r="C587" s="72">
        <v>1</v>
      </c>
      <c r="D587" s="73">
        <f>$C587*VLOOKUP($B587,FoodDB!$A$2:$I$1024,3,0)</f>
        <v>0</v>
      </c>
      <c r="E587" s="73">
        <f>$C587*VLOOKUP($B587,FoodDB!$A$2:$I$1024,4,0)</f>
        <v>0</v>
      </c>
      <c r="F587" s="73">
        <f>$C587*VLOOKUP($B587,FoodDB!$A$2:$I$1024,5,0)</f>
        <v>0</v>
      </c>
      <c r="G587" s="73">
        <f>$C587*VLOOKUP($B587,FoodDB!$A$2:$I$1024,6,0)</f>
        <v>0</v>
      </c>
      <c r="H587" s="73">
        <f>$C587*VLOOKUP($B587,FoodDB!$A$2:$I$1024,7,0)</f>
        <v>0</v>
      </c>
      <c r="I587" s="73">
        <f>$C587*VLOOKUP($B587,FoodDB!$A$2:$I$1024,8,0)</f>
        <v>0</v>
      </c>
      <c r="J587" s="73">
        <f>$C587*VLOOKUP($B587,FoodDB!$A$2:$I$1024,9,0)</f>
        <v>0</v>
      </c>
      <c r="K587" s="73"/>
      <c r="L587" s="73"/>
      <c r="M587" s="73"/>
      <c r="N587" s="73"/>
      <c r="O587" s="73"/>
      <c r="P587" s="73"/>
      <c r="Q587" s="73"/>
      <c r="R587" s="73"/>
      <c r="S587" s="73"/>
    </row>
    <row r="588" spans="1:19" x14ac:dyDescent="0.25">
      <c r="A588" t="s">
        <v>99</v>
      </c>
      <c r="D588" s="73"/>
      <c r="E588" s="73"/>
      <c r="F588" s="73"/>
      <c r="G588" s="73">
        <f>SUM(G581:G587)</f>
        <v>0</v>
      </c>
      <c r="H588" s="73">
        <f>SUM(H581:H587)</f>
        <v>0</v>
      </c>
      <c r="I588" s="73">
        <f>SUM(I581:I587)</f>
        <v>0</v>
      </c>
      <c r="J588" s="73">
        <f>SUM(G588:I588)</f>
        <v>0</v>
      </c>
      <c r="K588" s="73"/>
      <c r="L588" s="73"/>
      <c r="M588" s="73"/>
      <c r="N588" s="73"/>
      <c r="O588" s="73"/>
      <c r="P588" s="73"/>
      <c r="Q588" s="73"/>
      <c r="R588" s="73"/>
      <c r="S588" s="73"/>
    </row>
    <row r="589" spans="1:19" x14ac:dyDescent="0.25">
      <c r="A589" t="s">
        <v>100</v>
      </c>
      <c r="B589" t="s">
        <v>101</v>
      </c>
      <c r="D589" s="73"/>
      <c r="E589" s="73"/>
      <c r="F589" s="73"/>
      <c r="G589" s="73">
        <f>VLOOKUP($A581,LossChart!$A$3:$AB$73,14,0)</f>
        <v>709.31813001828277</v>
      </c>
      <c r="H589" s="73">
        <f>VLOOKUP($A581,LossChart!$A$3:$AB$73,15,0)</f>
        <v>80</v>
      </c>
      <c r="I589" s="73">
        <f>VLOOKUP($A581,LossChart!$A$3:$AB$73,16,0)</f>
        <v>463.76562996293683</v>
      </c>
      <c r="J589" s="73">
        <f>VLOOKUP($A581,LossChart!$A$3:$AB$73,17,0)</f>
        <v>1253.0837599812196</v>
      </c>
      <c r="K589" s="73"/>
      <c r="L589" s="73"/>
      <c r="M589" s="73"/>
      <c r="N589" s="73"/>
      <c r="O589" s="73"/>
      <c r="P589" s="73"/>
      <c r="Q589" s="73"/>
      <c r="R589" s="73"/>
      <c r="S589" s="73"/>
    </row>
    <row r="590" spans="1:19" x14ac:dyDescent="0.25">
      <c r="A590" t="s">
        <v>102</v>
      </c>
      <c r="D590" s="73"/>
      <c r="E590" s="73"/>
      <c r="F590" s="73"/>
      <c r="G590" s="73">
        <f>G589-G588</f>
        <v>709.31813001828277</v>
      </c>
      <c r="H590" s="73">
        <f>H589-H588</f>
        <v>80</v>
      </c>
      <c r="I590" s="73">
        <f>I589-I588</f>
        <v>463.76562996293683</v>
      </c>
      <c r="J590" s="73">
        <f>J589-J588</f>
        <v>1253.0837599812196</v>
      </c>
      <c r="K590" s="73"/>
      <c r="L590" s="73"/>
      <c r="M590" s="73"/>
      <c r="N590" s="73"/>
      <c r="O590" s="73"/>
      <c r="P590" s="73"/>
      <c r="Q590" s="73"/>
      <c r="R590" s="73"/>
      <c r="S590" s="73"/>
    </row>
    <row r="592" spans="1:19" ht="60" x14ac:dyDescent="0.25">
      <c r="A592" s="25" t="s">
        <v>63</v>
      </c>
      <c r="B592" s="25" t="s">
        <v>80</v>
      </c>
      <c r="C592" s="25" t="s">
        <v>81</v>
      </c>
      <c r="D592" s="69" t="str">
        <f>FoodDB!$C$1</f>
        <v>Fat
(g)</v>
      </c>
      <c r="E592" s="69" t="str">
        <f>FoodDB!$D$1</f>
        <v xml:space="preserve"> Net
Carbs
(g)</v>
      </c>
      <c r="F592" s="69" t="str">
        <f>FoodDB!$E$1</f>
        <v>Protein
(g)</v>
      </c>
      <c r="G592" s="69" t="str">
        <f>FoodDB!$F$1</f>
        <v>Fat
(Cal)</v>
      </c>
      <c r="H592" s="69" t="str">
        <f>FoodDB!$G$1</f>
        <v>Carb
(Cal)</v>
      </c>
      <c r="I592" s="69" t="str">
        <f>FoodDB!$H$1</f>
        <v>Protein
(Cal)</v>
      </c>
      <c r="J592" s="69" t="str">
        <f>FoodDB!$I$1</f>
        <v>Total
Calories</v>
      </c>
      <c r="K592" s="69"/>
      <c r="L592" s="69" t="s">
        <v>82</v>
      </c>
      <c r="M592" s="69" t="s">
        <v>83</v>
      </c>
      <c r="N592" s="69" t="s">
        <v>84</v>
      </c>
      <c r="O592" s="69" t="s">
        <v>85</v>
      </c>
      <c r="P592" s="69" t="s">
        <v>86</v>
      </c>
      <c r="Q592" s="69" t="s">
        <v>87</v>
      </c>
      <c r="R592" s="69" t="s">
        <v>88</v>
      </c>
      <c r="S592" s="69" t="s">
        <v>89</v>
      </c>
    </row>
    <row r="593" spans="1:19" x14ac:dyDescent="0.25">
      <c r="A593" s="70">
        <f>A581+1</f>
        <v>43080</v>
      </c>
      <c r="B593" s="71" t="s">
        <v>95</v>
      </c>
      <c r="C593" s="72">
        <v>1</v>
      </c>
      <c r="D593" s="73">
        <f>$C593*VLOOKUP($B593,FoodDB!$A$2:$I$1024,3,0)</f>
        <v>0</v>
      </c>
      <c r="E593" s="73">
        <f>$C593*VLOOKUP($B593,FoodDB!$A$2:$I$1024,4,0)</f>
        <v>0</v>
      </c>
      <c r="F593" s="73">
        <f>$C593*VLOOKUP($B593,FoodDB!$A$2:$I$1024,5,0)</f>
        <v>0</v>
      </c>
      <c r="G593" s="73">
        <f>$C593*VLOOKUP($B593,FoodDB!$A$2:$I$1024,6,0)</f>
        <v>0</v>
      </c>
      <c r="H593" s="73">
        <f>$C593*VLOOKUP($B593,FoodDB!$A$2:$I$1024,7,0)</f>
        <v>0</v>
      </c>
      <c r="I593" s="73">
        <f>$C593*VLOOKUP($B593,FoodDB!$A$2:$I$1024,8,0)</f>
        <v>0</v>
      </c>
      <c r="J593" s="73">
        <f>$C593*VLOOKUP($B593,FoodDB!$A$2:$I$1024,9,0)</f>
        <v>0</v>
      </c>
      <c r="K593" s="73"/>
      <c r="L593" s="73">
        <f>SUM(G593:G599)</f>
        <v>0</v>
      </c>
      <c r="M593" s="73">
        <f>SUM(H593:H599)</f>
        <v>0</v>
      </c>
      <c r="N593" s="73">
        <f>SUM(I593:I599)</f>
        <v>0</v>
      </c>
      <c r="O593" s="73">
        <f>SUM(L593:N593)</f>
        <v>0</v>
      </c>
      <c r="P593" s="73">
        <f>VLOOKUP($A593,LossChart!$A$3:$AB$73,14,0)-L593</f>
        <v>714.44937775877861</v>
      </c>
      <c r="Q593" s="73">
        <f>VLOOKUP($A593,LossChart!$A$3:$AB$73,15,0)-M593</f>
        <v>80</v>
      </c>
      <c r="R593" s="73">
        <f>VLOOKUP($A593,LossChart!$A$3:$AB$73,16,0)-N593</f>
        <v>463.76562996293683</v>
      </c>
      <c r="S593" s="73">
        <f>VLOOKUP($A593,LossChart!$A$3:$AB$73,17,0)-O593</f>
        <v>1258.2150077217154</v>
      </c>
    </row>
    <row r="594" spans="1:19" x14ac:dyDescent="0.25">
      <c r="B594" s="71" t="s">
        <v>95</v>
      </c>
      <c r="C594" s="72">
        <v>1</v>
      </c>
      <c r="D594" s="73">
        <f>$C594*VLOOKUP($B594,FoodDB!$A$2:$I$1024,3,0)</f>
        <v>0</v>
      </c>
      <c r="E594" s="73">
        <f>$C594*VLOOKUP($B594,FoodDB!$A$2:$I$1024,4,0)</f>
        <v>0</v>
      </c>
      <c r="F594" s="73">
        <f>$C594*VLOOKUP($B594,FoodDB!$A$2:$I$1024,5,0)</f>
        <v>0</v>
      </c>
      <c r="G594" s="73">
        <f>$C594*VLOOKUP($B594,FoodDB!$A$2:$I$1024,6,0)</f>
        <v>0</v>
      </c>
      <c r="H594" s="73">
        <f>$C594*VLOOKUP($B594,FoodDB!$A$2:$I$1024,7,0)</f>
        <v>0</v>
      </c>
      <c r="I594" s="73">
        <f>$C594*VLOOKUP($B594,FoodDB!$A$2:$I$1024,8,0)</f>
        <v>0</v>
      </c>
      <c r="J594" s="73">
        <f>$C594*VLOOKUP($B594,FoodDB!$A$2:$I$1024,9,0)</f>
        <v>0</v>
      </c>
      <c r="K594" s="73"/>
      <c r="L594" s="73"/>
      <c r="M594" s="73"/>
      <c r="N594" s="73"/>
      <c r="O594" s="73"/>
      <c r="P594" s="73"/>
      <c r="Q594" s="73"/>
      <c r="R594" s="73"/>
      <c r="S594" s="73"/>
    </row>
    <row r="595" spans="1:19" x14ac:dyDescent="0.25">
      <c r="B595" s="71" t="s">
        <v>95</v>
      </c>
      <c r="C595" s="72">
        <v>1</v>
      </c>
      <c r="D595" s="73">
        <f>$C595*VLOOKUP($B595,FoodDB!$A$2:$I$1024,3,0)</f>
        <v>0</v>
      </c>
      <c r="E595" s="73">
        <f>$C595*VLOOKUP($B595,FoodDB!$A$2:$I$1024,4,0)</f>
        <v>0</v>
      </c>
      <c r="F595" s="73">
        <f>$C595*VLOOKUP($B595,FoodDB!$A$2:$I$1024,5,0)</f>
        <v>0</v>
      </c>
      <c r="G595" s="73">
        <f>$C595*VLOOKUP($B595,FoodDB!$A$2:$I$1024,6,0)</f>
        <v>0</v>
      </c>
      <c r="H595" s="73">
        <f>$C595*VLOOKUP($B595,FoodDB!$A$2:$I$1024,7,0)</f>
        <v>0</v>
      </c>
      <c r="I595" s="73">
        <f>$C595*VLOOKUP($B595,FoodDB!$A$2:$I$1024,8,0)</f>
        <v>0</v>
      </c>
      <c r="J595" s="73">
        <f>$C595*VLOOKUP($B595,FoodDB!$A$2:$I$1024,9,0)</f>
        <v>0</v>
      </c>
      <c r="K595" s="73"/>
      <c r="L595" s="73"/>
      <c r="M595" s="73"/>
      <c r="N595" s="73"/>
      <c r="O595" s="73"/>
      <c r="P595" s="73"/>
      <c r="Q595" s="73"/>
      <c r="R595" s="73"/>
      <c r="S595" s="73"/>
    </row>
    <row r="596" spans="1:19" x14ac:dyDescent="0.25">
      <c r="B596" s="71" t="s">
        <v>95</v>
      </c>
      <c r="C596" s="72">
        <v>1</v>
      </c>
      <c r="D596" s="73">
        <f>$C596*VLOOKUP($B596,FoodDB!$A$2:$I$1024,3,0)</f>
        <v>0</v>
      </c>
      <c r="E596" s="73">
        <f>$C596*VLOOKUP($B596,FoodDB!$A$2:$I$1024,4,0)</f>
        <v>0</v>
      </c>
      <c r="F596" s="73">
        <f>$C596*VLOOKUP($B596,FoodDB!$A$2:$I$1024,5,0)</f>
        <v>0</v>
      </c>
      <c r="G596" s="73">
        <f>$C596*VLOOKUP($B596,FoodDB!$A$2:$I$1024,6,0)</f>
        <v>0</v>
      </c>
      <c r="H596" s="73">
        <f>$C596*VLOOKUP($B596,FoodDB!$A$2:$I$1024,7,0)</f>
        <v>0</v>
      </c>
      <c r="I596" s="73">
        <f>$C596*VLOOKUP($B596,FoodDB!$A$2:$I$1024,8,0)</f>
        <v>0</v>
      </c>
      <c r="J596" s="73">
        <f>$C596*VLOOKUP($B596,FoodDB!$A$2:$I$1024,9,0)</f>
        <v>0</v>
      </c>
      <c r="K596" s="73"/>
      <c r="L596" s="73"/>
      <c r="M596" s="73"/>
      <c r="N596" s="73"/>
      <c r="O596" s="73"/>
      <c r="P596" s="73"/>
      <c r="Q596" s="73"/>
      <c r="R596" s="73"/>
      <c r="S596" s="73"/>
    </row>
    <row r="597" spans="1:19" x14ac:dyDescent="0.25">
      <c r="B597" s="71" t="s">
        <v>95</v>
      </c>
      <c r="C597" s="72">
        <v>1</v>
      </c>
      <c r="D597" s="73">
        <f>$C597*VLOOKUP($B597,FoodDB!$A$2:$I$1024,3,0)</f>
        <v>0</v>
      </c>
      <c r="E597" s="73">
        <f>$C597*VLOOKUP($B597,FoodDB!$A$2:$I$1024,4,0)</f>
        <v>0</v>
      </c>
      <c r="F597" s="73">
        <f>$C597*VLOOKUP($B597,FoodDB!$A$2:$I$1024,5,0)</f>
        <v>0</v>
      </c>
      <c r="G597" s="73">
        <f>$C597*VLOOKUP($B597,FoodDB!$A$2:$I$1024,6,0)</f>
        <v>0</v>
      </c>
      <c r="H597" s="73">
        <f>$C597*VLOOKUP($B597,FoodDB!$A$2:$I$1024,7,0)</f>
        <v>0</v>
      </c>
      <c r="I597" s="73">
        <f>$C597*VLOOKUP($B597,FoodDB!$A$2:$I$1024,8,0)</f>
        <v>0</v>
      </c>
      <c r="J597" s="73">
        <f>$C597*VLOOKUP($B597,FoodDB!$A$2:$I$1024,9,0)</f>
        <v>0</v>
      </c>
      <c r="K597" s="73"/>
      <c r="L597" s="73"/>
      <c r="M597" s="73"/>
      <c r="N597" s="73"/>
      <c r="O597" s="73"/>
      <c r="P597" s="73"/>
      <c r="Q597" s="73"/>
      <c r="R597" s="73"/>
      <c r="S597" s="73"/>
    </row>
    <row r="598" spans="1:19" x14ac:dyDescent="0.25">
      <c r="B598" s="71" t="s">
        <v>95</v>
      </c>
      <c r="C598" s="72">
        <v>1</v>
      </c>
      <c r="D598" s="73">
        <f>$C598*VLOOKUP($B598,FoodDB!$A$2:$I$1024,3,0)</f>
        <v>0</v>
      </c>
      <c r="E598" s="73">
        <f>$C598*VLOOKUP($B598,FoodDB!$A$2:$I$1024,4,0)</f>
        <v>0</v>
      </c>
      <c r="F598" s="73">
        <f>$C598*VLOOKUP($B598,FoodDB!$A$2:$I$1024,5,0)</f>
        <v>0</v>
      </c>
      <c r="G598" s="73">
        <f>$C598*VLOOKUP($B598,FoodDB!$A$2:$I$1024,6,0)</f>
        <v>0</v>
      </c>
      <c r="H598" s="73">
        <f>$C598*VLOOKUP($B598,FoodDB!$A$2:$I$1024,7,0)</f>
        <v>0</v>
      </c>
      <c r="I598" s="73">
        <f>$C598*VLOOKUP($B598,FoodDB!$A$2:$I$1024,8,0)</f>
        <v>0</v>
      </c>
      <c r="J598" s="73">
        <f>$C598*VLOOKUP($B598,FoodDB!$A$2:$I$1024,9,0)</f>
        <v>0</v>
      </c>
      <c r="K598" s="73"/>
      <c r="L598" s="73"/>
      <c r="M598" s="73"/>
      <c r="N598" s="73"/>
      <c r="O598" s="73"/>
      <c r="P598" s="73"/>
      <c r="Q598" s="73"/>
      <c r="R598" s="73"/>
      <c r="S598" s="73"/>
    </row>
    <row r="599" spans="1:19" x14ac:dyDescent="0.25">
      <c r="B599" s="71" t="s">
        <v>95</v>
      </c>
      <c r="C599" s="72">
        <v>1</v>
      </c>
      <c r="D599" s="73">
        <f>$C599*VLOOKUP($B599,FoodDB!$A$2:$I$1024,3,0)</f>
        <v>0</v>
      </c>
      <c r="E599" s="73">
        <f>$C599*VLOOKUP($B599,FoodDB!$A$2:$I$1024,4,0)</f>
        <v>0</v>
      </c>
      <c r="F599" s="73">
        <f>$C599*VLOOKUP($B599,FoodDB!$A$2:$I$1024,5,0)</f>
        <v>0</v>
      </c>
      <c r="G599" s="73">
        <f>$C599*VLOOKUP($B599,FoodDB!$A$2:$I$1024,6,0)</f>
        <v>0</v>
      </c>
      <c r="H599" s="73">
        <f>$C599*VLOOKUP($B599,FoodDB!$A$2:$I$1024,7,0)</f>
        <v>0</v>
      </c>
      <c r="I599" s="73">
        <f>$C599*VLOOKUP($B599,FoodDB!$A$2:$I$1024,8,0)</f>
        <v>0</v>
      </c>
      <c r="J599" s="73">
        <f>$C599*VLOOKUP($B599,FoodDB!$A$2:$I$1024,9,0)</f>
        <v>0</v>
      </c>
      <c r="K599" s="73"/>
      <c r="L599" s="73"/>
      <c r="M599" s="73"/>
      <c r="N599" s="73"/>
      <c r="O599" s="73"/>
      <c r="P599" s="73"/>
      <c r="Q599" s="73"/>
      <c r="R599" s="73"/>
      <c r="S599" s="73"/>
    </row>
    <row r="600" spans="1:19" x14ac:dyDescent="0.25">
      <c r="A600" t="s">
        <v>99</v>
      </c>
      <c r="D600" s="73"/>
      <c r="E600" s="73"/>
      <c r="F600" s="73"/>
      <c r="G600" s="73">
        <f>SUM(G593:G599)</f>
        <v>0</v>
      </c>
      <c r="H600" s="73">
        <f>SUM(H593:H599)</f>
        <v>0</v>
      </c>
      <c r="I600" s="73">
        <f>SUM(I593:I599)</f>
        <v>0</v>
      </c>
      <c r="J600" s="73">
        <f>SUM(G600:I600)</f>
        <v>0</v>
      </c>
      <c r="K600" s="73"/>
      <c r="L600" s="73"/>
      <c r="M600" s="73"/>
      <c r="N600" s="73"/>
      <c r="O600" s="73"/>
      <c r="P600" s="73"/>
      <c r="Q600" s="73"/>
      <c r="R600" s="73"/>
      <c r="S600" s="73"/>
    </row>
    <row r="601" spans="1:19" x14ac:dyDescent="0.25">
      <c r="A601" t="s">
        <v>100</v>
      </c>
      <c r="B601" t="s">
        <v>101</v>
      </c>
      <c r="D601" s="73"/>
      <c r="E601" s="73"/>
      <c r="F601" s="73"/>
      <c r="G601" s="73">
        <f>VLOOKUP($A593,LossChart!$A$3:$AB$73,14,0)</f>
        <v>714.44937775877861</v>
      </c>
      <c r="H601" s="73">
        <f>VLOOKUP($A593,LossChart!$A$3:$AB$73,15,0)</f>
        <v>80</v>
      </c>
      <c r="I601" s="73">
        <f>VLOOKUP($A593,LossChart!$A$3:$AB$73,16,0)</f>
        <v>463.76562996293683</v>
      </c>
      <c r="J601" s="73">
        <f>VLOOKUP($A593,LossChart!$A$3:$AB$73,17,0)</f>
        <v>1258.2150077217154</v>
      </c>
      <c r="K601" s="73"/>
      <c r="L601" s="73"/>
      <c r="M601" s="73"/>
      <c r="N601" s="73"/>
      <c r="O601" s="73"/>
      <c r="P601" s="73"/>
      <c r="Q601" s="73"/>
      <c r="R601" s="73"/>
      <c r="S601" s="73"/>
    </row>
    <row r="602" spans="1:19" x14ac:dyDescent="0.25">
      <c r="A602" t="s">
        <v>102</v>
      </c>
      <c r="D602" s="73"/>
      <c r="E602" s="73"/>
      <c r="F602" s="73"/>
      <c r="G602" s="73">
        <f>G601-G600</f>
        <v>714.44937775877861</v>
      </c>
      <c r="H602" s="73">
        <f>H601-H600</f>
        <v>80</v>
      </c>
      <c r="I602" s="73">
        <f>I601-I600</f>
        <v>463.76562996293683</v>
      </c>
      <c r="J602" s="73">
        <f>J601-J600</f>
        <v>1258.2150077217154</v>
      </c>
      <c r="K602" s="73"/>
      <c r="L602" s="73"/>
      <c r="M602" s="73"/>
      <c r="N602" s="73"/>
      <c r="O602" s="73"/>
      <c r="P602" s="73"/>
      <c r="Q602" s="73"/>
      <c r="R602" s="73"/>
      <c r="S602" s="73"/>
    </row>
    <row r="604" spans="1:19" ht="60" x14ac:dyDescent="0.25">
      <c r="A604" s="25" t="s">
        <v>63</v>
      </c>
      <c r="B604" s="25" t="s">
        <v>80</v>
      </c>
      <c r="C604" s="25" t="s">
        <v>81</v>
      </c>
      <c r="D604" s="69" t="str">
        <f>FoodDB!$C$1</f>
        <v>Fat
(g)</v>
      </c>
      <c r="E604" s="69" t="str">
        <f>FoodDB!$D$1</f>
        <v xml:space="preserve"> Net
Carbs
(g)</v>
      </c>
      <c r="F604" s="69" t="str">
        <f>FoodDB!$E$1</f>
        <v>Protein
(g)</v>
      </c>
      <c r="G604" s="69" t="str">
        <f>FoodDB!$F$1</f>
        <v>Fat
(Cal)</v>
      </c>
      <c r="H604" s="69" t="str">
        <f>FoodDB!$G$1</f>
        <v>Carb
(Cal)</v>
      </c>
      <c r="I604" s="69" t="str">
        <f>FoodDB!$H$1</f>
        <v>Protein
(Cal)</v>
      </c>
      <c r="J604" s="69" t="str">
        <f>FoodDB!$I$1</f>
        <v>Total
Calories</v>
      </c>
      <c r="K604" s="69"/>
      <c r="L604" s="69" t="s">
        <v>82</v>
      </c>
      <c r="M604" s="69" t="s">
        <v>83</v>
      </c>
      <c r="N604" s="69" t="s">
        <v>84</v>
      </c>
      <c r="O604" s="69" t="s">
        <v>85</v>
      </c>
      <c r="P604" s="69" t="s">
        <v>86</v>
      </c>
      <c r="Q604" s="69" t="s">
        <v>87</v>
      </c>
      <c r="R604" s="69" t="s">
        <v>88</v>
      </c>
      <c r="S604" s="69" t="s">
        <v>89</v>
      </c>
    </row>
    <row r="605" spans="1:19" x14ac:dyDescent="0.25">
      <c r="A605" s="70">
        <f>A593+1</f>
        <v>43081</v>
      </c>
      <c r="B605" s="71" t="s">
        <v>95</v>
      </c>
      <c r="C605" s="72">
        <v>1</v>
      </c>
      <c r="D605" s="73">
        <f>$C605*VLOOKUP($B605,FoodDB!$A$2:$I$1024,3,0)</f>
        <v>0</v>
      </c>
      <c r="E605" s="73">
        <f>$C605*VLOOKUP($B605,FoodDB!$A$2:$I$1024,4,0)</f>
        <v>0</v>
      </c>
      <c r="F605" s="73">
        <f>$C605*VLOOKUP($B605,FoodDB!$A$2:$I$1024,5,0)</f>
        <v>0</v>
      </c>
      <c r="G605" s="73">
        <f>$C605*VLOOKUP($B605,FoodDB!$A$2:$I$1024,6,0)</f>
        <v>0</v>
      </c>
      <c r="H605" s="73">
        <f>$C605*VLOOKUP($B605,FoodDB!$A$2:$I$1024,7,0)</f>
        <v>0</v>
      </c>
      <c r="I605" s="73">
        <f>$C605*VLOOKUP($B605,FoodDB!$A$2:$I$1024,8,0)</f>
        <v>0</v>
      </c>
      <c r="J605" s="73">
        <f>$C605*VLOOKUP($B605,FoodDB!$A$2:$I$1024,9,0)</f>
        <v>0</v>
      </c>
      <c r="K605" s="73"/>
      <c r="L605" s="73">
        <f>SUM(G605:G611)</f>
        <v>0</v>
      </c>
      <c r="M605" s="73">
        <f>SUM(H605:H611)</f>
        <v>0</v>
      </c>
      <c r="N605" s="73">
        <f>SUM(I605:I611)</f>
        <v>0</v>
      </c>
      <c r="O605" s="73">
        <f>SUM(L605:N605)</f>
        <v>0</v>
      </c>
      <c r="P605" s="73">
        <f>VLOOKUP($A605,LossChart!$A$3:$AB$73,14,0)-L605</f>
        <v>719.53517730500084</v>
      </c>
      <c r="Q605" s="73">
        <f>VLOOKUP($A605,LossChart!$A$3:$AB$73,15,0)-M605</f>
        <v>80</v>
      </c>
      <c r="R605" s="73">
        <f>VLOOKUP($A605,LossChart!$A$3:$AB$73,16,0)-N605</f>
        <v>463.76562996293683</v>
      </c>
      <c r="S605" s="73">
        <f>VLOOKUP($A605,LossChart!$A$3:$AB$73,17,0)-O605</f>
        <v>1263.3008072679377</v>
      </c>
    </row>
    <row r="606" spans="1:19" x14ac:dyDescent="0.25">
      <c r="B606" s="71" t="s">
        <v>95</v>
      </c>
      <c r="C606" s="72">
        <v>1</v>
      </c>
      <c r="D606" s="73">
        <f>$C606*VLOOKUP($B606,FoodDB!$A$2:$I$1024,3,0)</f>
        <v>0</v>
      </c>
      <c r="E606" s="73">
        <f>$C606*VLOOKUP($B606,FoodDB!$A$2:$I$1024,4,0)</f>
        <v>0</v>
      </c>
      <c r="F606" s="73">
        <f>$C606*VLOOKUP($B606,FoodDB!$A$2:$I$1024,5,0)</f>
        <v>0</v>
      </c>
      <c r="G606" s="73">
        <f>$C606*VLOOKUP($B606,FoodDB!$A$2:$I$1024,6,0)</f>
        <v>0</v>
      </c>
      <c r="H606" s="73">
        <f>$C606*VLOOKUP($B606,FoodDB!$A$2:$I$1024,7,0)</f>
        <v>0</v>
      </c>
      <c r="I606" s="73">
        <f>$C606*VLOOKUP($B606,FoodDB!$A$2:$I$1024,8,0)</f>
        <v>0</v>
      </c>
      <c r="J606" s="73">
        <f>$C606*VLOOKUP($B606,FoodDB!$A$2:$I$1024,9,0)</f>
        <v>0</v>
      </c>
      <c r="K606" s="73"/>
      <c r="L606" s="73"/>
      <c r="M606" s="73"/>
      <c r="N606" s="73"/>
      <c r="O606" s="73"/>
      <c r="P606" s="73"/>
      <c r="Q606" s="73"/>
      <c r="R606" s="73"/>
      <c r="S606" s="73"/>
    </row>
    <row r="607" spans="1:19" x14ac:dyDescent="0.25">
      <c r="B607" s="71" t="s">
        <v>95</v>
      </c>
      <c r="C607" s="72">
        <v>1</v>
      </c>
      <c r="D607" s="73">
        <f>$C607*VLOOKUP($B607,FoodDB!$A$2:$I$1024,3,0)</f>
        <v>0</v>
      </c>
      <c r="E607" s="73">
        <f>$C607*VLOOKUP($B607,FoodDB!$A$2:$I$1024,4,0)</f>
        <v>0</v>
      </c>
      <c r="F607" s="73">
        <f>$C607*VLOOKUP($B607,FoodDB!$A$2:$I$1024,5,0)</f>
        <v>0</v>
      </c>
      <c r="G607" s="73">
        <f>$C607*VLOOKUP($B607,FoodDB!$A$2:$I$1024,6,0)</f>
        <v>0</v>
      </c>
      <c r="H607" s="73">
        <f>$C607*VLOOKUP($B607,FoodDB!$A$2:$I$1024,7,0)</f>
        <v>0</v>
      </c>
      <c r="I607" s="73">
        <f>$C607*VLOOKUP($B607,FoodDB!$A$2:$I$1024,8,0)</f>
        <v>0</v>
      </c>
      <c r="J607" s="73">
        <f>$C607*VLOOKUP($B607,FoodDB!$A$2:$I$1024,9,0)</f>
        <v>0</v>
      </c>
      <c r="K607" s="73"/>
      <c r="L607" s="73"/>
      <c r="M607" s="73"/>
      <c r="N607" s="73"/>
      <c r="O607" s="73"/>
      <c r="P607" s="73"/>
      <c r="Q607" s="73"/>
      <c r="R607" s="73"/>
      <c r="S607" s="73"/>
    </row>
    <row r="608" spans="1:19" x14ac:dyDescent="0.25">
      <c r="B608" s="71" t="s">
        <v>95</v>
      </c>
      <c r="C608" s="72">
        <v>1</v>
      </c>
      <c r="D608" s="73">
        <f>$C608*VLOOKUP($B608,FoodDB!$A$2:$I$1024,3,0)</f>
        <v>0</v>
      </c>
      <c r="E608" s="73">
        <f>$C608*VLOOKUP($B608,FoodDB!$A$2:$I$1024,4,0)</f>
        <v>0</v>
      </c>
      <c r="F608" s="73">
        <f>$C608*VLOOKUP($B608,FoodDB!$A$2:$I$1024,5,0)</f>
        <v>0</v>
      </c>
      <c r="G608" s="73">
        <f>$C608*VLOOKUP($B608,FoodDB!$A$2:$I$1024,6,0)</f>
        <v>0</v>
      </c>
      <c r="H608" s="73">
        <f>$C608*VLOOKUP($B608,FoodDB!$A$2:$I$1024,7,0)</f>
        <v>0</v>
      </c>
      <c r="I608" s="73">
        <f>$C608*VLOOKUP($B608,FoodDB!$A$2:$I$1024,8,0)</f>
        <v>0</v>
      </c>
      <c r="J608" s="73">
        <f>$C608*VLOOKUP($B608,FoodDB!$A$2:$I$1024,9,0)</f>
        <v>0</v>
      </c>
      <c r="K608" s="73"/>
      <c r="L608" s="73"/>
      <c r="M608" s="73"/>
      <c r="N608" s="73"/>
      <c r="O608" s="73"/>
      <c r="P608" s="73"/>
      <c r="Q608" s="73"/>
      <c r="R608" s="73"/>
      <c r="S608" s="73"/>
    </row>
    <row r="609" spans="1:19" x14ac:dyDescent="0.25">
      <c r="B609" s="71" t="s">
        <v>95</v>
      </c>
      <c r="C609" s="72">
        <v>1</v>
      </c>
      <c r="D609" s="73">
        <f>$C609*VLOOKUP($B609,FoodDB!$A$2:$I$1024,3,0)</f>
        <v>0</v>
      </c>
      <c r="E609" s="73">
        <f>$C609*VLOOKUP($B609,FoodDB!$A$2:$I$1024,4,0)</f>
        <v>0</v>
      </c>
      <c r="F609" s="73">
        <f>$C609*VLOOKUP($B609,FoodDB!$A$2:$I$1024,5,0)</f>
        <v>0</v>
      </c>
      <c r="G609" s="73">
        <f>$C609*VLOOKUP($B609,FoodDB!$A$2:$I$1024,6,0)</f>
        <v>0</v>
      </c>
      <c r="H609" s="73">
        <f>$C609*VLOOKUP($B609,FoodDB!$A$2:$I$1024,7,0)</f>
        <v>0</v>
      </c>
      <c r="I609" s="73">
        <f>$C609*VLOOKUP($B609,FoodDB!$A$2:$I$1024,8,0)</f>
        <v>0</v>
      </c>
      <c r="J609" s="73">
        <f>$C609*VLOOKUP($B609,FoodDB!$A$2:$I$1024,9,0)</f>
        <v>0</v>
      </c>
      <c r="K609" s="73"/>
      <c r="L609" s="73"/>
      <c r="M609" s="73"/>
      <c r="N609" s="73"/>
      <c r="O609" s="73"/>
      <c r="P609" s="73"/>
      <c r="Q609" s="73"/>
      <c r="R609" s="73"/>
      <c r="S609" s="73"/>
    </row>
    <row r="610" spans="1:19" x14ac:dyDescent="0.25">
      <c r="B610" s="71" t="s">
        <v>95</v>
      </c>
      <c r="C610" s="72">
        <v>1</v>
      </c>
      <c r="D610" s="73">
        <f>$C610*VLOOKUP($B610,FoodDB!$A$2:$I$1024,3,0)</f>
        <v>0</v>
      </c>
      <c r="E610" s="73">
        <f>$C610*VLOOKUP($B610,FoodDB!$A$2:$I$1024,4,0)</f>
        <v>0</v>
      </c>
      <c r="F610" s="73">
        <f>$C610*VLOOKUP($B610,FoodDB!$A$2:$I$1024,5,0)</f>
        <v>0</v>
      </c>
      <c r="G610" s="73">
        <f>$C610*VLOOKUP($B610,FoodDB!$A$2:$I$1024,6,0)</f>
        <v>0</v>
      </c>
      <c r="H610" s="73">
        <f>$C610*VLOOKUP($B610,FoodDB!$A$2:$I$1024,7,0)</f>
        <v>0</v>
      </c>
      <c r="I610" s="73">
        <f>$C610*VLOOKUP($B610,FoodDB!$A$2:$I$1024,8,0)</f>
        <v>0</v>
      </c>
      <c r="J610" s="73">
        <f>$C610*VLOOKUP($B610,FoodDB!$A$2:$I$1024,9,0)</f>
        <v>0</v>
      </c>
      <c r="K610" s="73"/>
      <c r="L610" s="73"/>
      <c r="M610" s="73"/>
      <c r="N610" s="73"/>
      <c r="O610" s="73"/>
      <c r="P610" s="73"/>
      <c r="Q610" s="73"/>
      <c r="R610" s="73"/>
      <c r="S610" s="73"/>
    </row>
    <row r="611" spans="1:19" x14ac:dyDescent="0.25">
      <c r="B611" s="71" t="s">
        <v>95</v>
      </c>
      <c r="C611" s="72">
        <v>1</v>
      </c>
      <c r="D611" s="73">
        <f>$C611*VLOOKUP($B611,FoodDB!$A$2:$I$1024,3,0)</f>
        <v>0</v>
      </c>
      <c r="E611" s="73">
        <f>$C611*VLOOKUP($B611,FoodDB!$A$2:$I$1024,4,0)</f>
        <v>0</v>
      </c>
      <c r="F611" s="73">
        <f>$C611*VLOOKUP($B611,FoodDB!$A$2:$I$1024,5,0)</f>
        <v>0</v>
      </c>
      <c r="G611" s="73">
        <f>$C611*VLOOKUP($B611,FoodDB!$A$2:$I$1024,6,0)</f>
        <v>0</v>
      </c>
      <c r="H611" s="73">
        <f>$C611*VLOOKUP($B611,FoodDB!$A$2:$I$1024,7,0)</f>
        <v>0</v>
      </c>
      <c r="I611" s="73">
        <f>$C611*VLOOKUP($B611,FoodDB!$A$2:$I$1024,8,0)</f>
        <v>0</v>
      </c>
      <c r="J611" s="73">
        <f>$C611*VLOOKUP($B611,FoodDB!$A$2:$I$1024,9,0)</f>
        <v>0</v>
      </c>
      <c r="K611" s="73"/>
      <c r="L611" s="73"/>
      <c r="M611" s="73"/>
      <c r="N611" s="73"/>
      <c r="O611" s="73"/>
      <c r="P611" s="73"/>
      <c r="Q611" s="73"/>
      <c r="R611" s="73"/>
      <c r="S611" s="73"/>
    </row>
    <row r="612" spans="1:19" x14ac:dyDescent="0.25">
      <c r="A612" t="s">
        <v>99</v>
      </c>
      <c r="D612" s="73"/>
      <c r="E612" s="73"/>
      <c r="F612" s="73"/>
      <c r="G612" s="73">
        <f>SUM(G605:G611)</f>
        <v>0</v>
      </c>
      <c r="H612" s="73">
        <f>SUM(H605:H611)</f>
        <v>0</v>
      </c>
      <c r="I612" s="73">
        <f>SUM(I605:I611)</f>
        <v>0</v>
      </c>
      <c r="J612" s="73">
        <f>SUM(G612:I612)</f>
        <v>0</v>
      </c>
      <c r="K612" s="73"/>
      <c r="L612" s="73"/>
      <c r="M612" s="73"/>
      <c r="N612" s="73"/>
      <c r="O612" s="73"/>
      <c r="P612" s="73"/>
      <c r="Q612" s="73"/>
      <c r="R612" s="73"/>
      <c r="S612" s="73"/>
    </row>
    <row r="613" spans="1:19" x14ac:dyDescent="0.25">
      <c r="A613" t="s">
        <v>100</v>
      </c>
      <c r="B613" t="s">
        <v>101</v>
      </c>
      <c r="D613" s="73"/>
      <c r="E613" s="73"/>
      <c r="F613" s="73"/>
      <c r="G613" s="73">
        <f>VLOOKUP($A605,LossChart!$A$3:$AB$73,14,0)</f>
        <v>719.53517730500084</v>
      </c>
      <c r="H613" s="73">
        <f>VLOOKUP($A605,LossChart!$A$3:$AB$73,15,0)</f>
        <v>80</v>
      </c>
      <c r="I613" s="73">
        <f>VLOOKUP($A605,LossChart!$A$3:$AB$73,16,0)</f>
        <v>463.76562996293683</v>
      </c>
      <c r="J613" s="73">
        <f>VLOOKUP($A605,LossChart!$A$3:$AB$73,17,0)</f>
        <v>1263.3008072679377</v>
      </c>
      <c r="K613" s="73"/>
      <c r="L613" s="73"/>
      <c r="M613" s="73"/>
      <c r="N613" s="73"/>
      <c r="O613" s="73"/>
      <c r="P613" s="73"/>
      <c r="Q613" s="73"/>
      <c r="R613" s="73"/>
      <c r="S613" s="73"/>
    </row>
    <row r="614" spans="1:19" x14ac:dyDescent="0.25">
      <c r="A614" t="s">
        <v>102</v>
      </c>
      <c r="D614" s="73"/>
      <c r="E614" s="73"/>
      <c r="F614" s="73"/>
      <c r="G614" s="73">
        <f>G613-G612</f>
        <v>719.53517730500084</v>
      </c>
      <c r="H614" s="73">
        <f>H613-H612</f>
        <v>80</v>
      </c>
      <c r="I614" s="73">
        <f>I613-I612</f>
        <v>463.76562996293683</v>
      </c>
      <c r="J614" s="73">
        <f>J613-J612</f>
        <v>1263.3008072679377</v>
      </c>
      <c r="K614" s="73"/>
      <c r="L614" s="73"/>
      <c r="M614" s="73"/>
      <c r="N614" s="73"/>
      <c r="O614" s="73"/>
      <c r="P614" s="73"/>
      <c r="Q614" s="73"/>
      <c r="R614" s="73"/>
      <c r="S614" s="73"/>
    </row>
    <row r="616" spans="1:19" ht="60" x14ac:dyDescent="0.25">
      <c r="A616" s="25" t="s">
        <v>63</v>
      </c>
      <c r="B616" s="25" t="s">
        <v>80</v>
      </c>
      <c r="C616" s="25" t="s">
        <v>81</v>
      </c>
      <c r="D616" s="69" t="str">
        <f>FoodDB!$C$1</f>
        <v>Fat
(g)</v>
      </c>
      <c r="E616" s="69" t="str">
        <f>FoodDB!$D$1</f>
        <v xml:space="preserve"> Net
Carbs
(g)</v>
      </c>
      <c r="F616" s="69" t="str">
        <f>FoodDB!$E$1</f>
        <v>Protein
(g)</v>
      </c>
      <c r="G616" s="69" t="str">
        <f>FoodDB!$F$1</f>
        <v>Fat
(Cal)</v>
      </c>
      <c r="H616" s="69" t="str">
        <f>FoodDB!$G$1</f>
        <v>Carb
(Cal)</v>
      </c>
      <c r="I616" s="69" t="str">
        <f>FoodDB!$H$1</f>
        <v>Protein
(Cal)</v>
      </c>
      <c r="J616" s="69" t="str">
        <f>FoodDB!$I$1</f>
        <v>Total
Calories</v>
      </c>
      <c r="K616" s="69"/>
      <c r="L616" s="69" t="s">
        <v>82</v>
      </c>
      <c r="M616" s="69" t="s">
        <v>83</v>
      </c>
      <c r="N616" s="69" t="s">
        <v>84</v>
      </c>
      <c r="O616" s="69" t="s">
        <v>85</v>
      </c>
      <c r="P616" s="69" t="s">
        <v>86</v>
      </c>
      <c r="Q616" s="69" t="s">
        <v>87</v>
      </c>
      <c r="R616" s="69" t="s">
        <v>88</v>
      </c>
      <c r="S616" s="69" t="s">
        <v>89</v>
      </c>
    </row>
    <row r="617" spans="1:19" x14ac:dyDescent="0.25">
      <c r="A617" s="70">
        <f>A605+1</f>
        <v>43082</v>
      </c>
      <c r="B617" s="71" t="s">
        <v>95</v>
      </c>
      <c r="C617" s="72">
        <v>1</v>
      </c>
      <c r="D617" s="73">
        <f>$C617*VLOOKUP($B617,FoodDB!$A$2:$I$1024,3,0)</f>
        <v>0</v>
      </c>
      <c r="E617" s="73">
        <f>$C617*VLOOKUP($B617,FoodDB!$A$2:$I$1024,4,0)</f>
        <v>0</v>
      </c>
      <c r="F617" s="73">
        <f>$C617*VLOOKUP($B617,FoodDB!$A$2:$I$1024,5,0)</f>
        <v>0</v>
      </c>
      <c r="G617" s="73">
        <f>$C617*VLOOKUP($B617,FoodDB!$A$2:$I$1024,6,0)</f>
        <v>0</v>
      </c>
      <c r="H617" s="73">
        <f>$C617*VLOOKUP($B617,FoodDB!$A$2:$I$1024,7,0)</f>
        <v>0</v>
      </c>
      <c r="I617" s="73">
        <f>$C617*VLOOKUP($B617,FoodDB!$A$2:$I$1024,8,0)</f>
        <v>0</v>
      </c>
      <c r="J617" s="73">
        <f>$C617*VLOOKUP($B617,FoodDB!$A$2:$I$1024,9,0)</f>
        <v>0</v>
      </c>
      <c r="K617" s="73"/>
      <c r="L617" s="73">
        <f>SUM(G617:G623)</f>
        <v>0</v>
      </c>
      <c r="M617" s="73">
        <f>SUM(H617:H623)</f>
        <v>0</v>
      </c>
      <c r="N617" s="73">
        <f>SUM(I617:I623)</f>
        <v>0</v>
      </c>
      <c r="O617" s="73">
        <f>SUM(L617:N617)</f>
        <v>0</v>
      </c>
      <c r="P617" s="73">
        <f>VLOOKUP($A617,LossChart!$A$3:$AB$73,14,0)-L617</f>
        <v>724.57593119809985</v>
      </c>
      <c r="Q617" s="73">
        <f>VLOOKUP($A617,LossChart!$A$3:$AB$73,15,0)-M617</f>
        <v>80</v>
      </c>
      <c r="R617" s="73">
        <f>VLOOKUP($A617,LossChart!$A$3:$AB$73,16,0)-N617</f>
        <v>463.76562996293683</v>
      </c>
      <c r="S617" s="73">
        <f>VLOOKUP($A617,LossChart!$A$3:$AB$73,17,0)-O617</f>
        <v>1268.3415611610367</v>
      </c>
    </row>
    <row r="618" spans="1:19" x14ac:dyDescent="0.25">
      <c r="B618" s="71" t="s">
        <v>95</v>
      </c>
      <c r="C618" s="72">
        <v>1</v>
      </c>
      <c r="D618" s="73">
        <f>$C618*VLOOKUP($B618,FoodDB!$A$2:$I$1024,3,0)</f>
        <v>0</v>
      </c>
      <c r="E618" s="73">
        <f>$C618*VLOOKUP($B618,FoodDB!$A$2:$I$1024,4,0)</f>
        <v>0</v>
      </c>
      <c r="F618" s="73">
        <f>$C618*VLOOKUP($B618,FoodDB!$A$2:$I$1024,5,0)</f>
        <v>0</v>
      </c>
      <c r="G618" s="73">
        <f>$C618*VLOOKUP($B618,FoodDB!$A$2:$I$1024,6,0)</f>
        <v>0</v>
      </c>
      <c r="H618" s="73">
        <f>$C618*VLOOKUP($B618,FoodDB!$A$2:$I$1024,7,0)</f>
        <v>0</v>
      </c>
      <c r="I618" s="73">
        <f>$C618*VLOOKUP($B618,FoodDB!$A$2:$I$1024,8,0)</f>
        <v>0</v>
      </c>
      <c r="J618" s="73">
        <f>$C618*VLOOKUP($B618,FoodDB!$A$2:$I$1024,9,0)</f>
        <v>0</v>
      </c>
      <c r="K618" s="73"/>
      <c r="L618" s="73"/>
      <c r="M618" s="73"/>
      <c r="N618" s="73"/>
      <c r="O618" s="73"/>
      <c r="P618" s="73"/>
      <c r="Q618" s="73"/>
      <c r="R618" s="73"/>
      <c r="S618" s="73"/>
    </row>
    <row r="619" spans="1:19" x14ac:dyDescent="0.25">
      <c r="B619" s="71" t="s">
        <v>95</v>
      </c>
      <c r="C619" s="72">
        <v>1</v>
      </c>
      <c r="D619" s="73">
        <f>$C619*VLOOKUP($B619,FoodDB!$A$2:$I$1024,3,0)</f>
        <v>0</v>
      </c>
      <c r="E619" s="73">
        <f>$C619*VLOOKUP($B619,FoodDB!$A$2:$I$1024,4,0)</f>
        <v>0</v>
      </c>
      <c r="F619" s="73">
        <f>$C619*VLOOKUP($B619,FoodDB!$A$2:$I$1024,5,0)</f>
        <v>0</v>
      </c>
      <c r="G619" s="73">
        <f>$C619*VLOOKUP($B619,FoodDB!$A$2:$I$1024,6,0)</f>
        <v>0</v>
      </c>
      <c r="H619" s="73">
        <f>$C619*VLOOKUP($B619,FoodDB!$A$2:$I$1024,7,0)</f>
        <v>0</v>
      </c>
      <c r="I619" s="73">
        <f>$C619*VLOOKUP($B619,FoodDB!$A$2:$I$1024,8,0)</f>
        <v>0</v>
      </c>
      <c r="J619" s="73">
        <f>$C619*VLOOKUP($B619,FoodDB!$A$2:$I$1024,9,0)</f>
        <v>0</v>
      </c>
      <c r="K619" s="73"/>
      <c r="L619" s="73"/>
      <c r="M619" s="73"/>
      <c r="N619" s="73"/>
      <c r="O619" s="73"/>
      <c r="P619" s="73"/>
      <c r="Q619" s="73"/>
      <c r="R619" s="73"/>
      <c r="S619" s="73"/>
    </row>
    <row r="620" spans="1:19" x14ac:dyDescent="0.25">
      <c r="B620" s="71" t="s">
        <v>95</v>
      </c>
      <c r="C620" s="72">
        <v>1</v>
      </c>
      <c r="D620" s="73">
        <f>$C620*VLOOKUP($B620,FoodDB!$A$2:$I$1024,3,0)</f>
        <v>0</v>
      </c>
      <c r="E620" s="73">
        <f>$C620*VLOOKUP($B620,FoodDB!$A$2:$I$1024,4,0)</f>
        <v>0</v>
      </c>
      <c r="F620" s="73">
        <f>$C620*VLOOKUP($B620,FoodDB!$A$2:$I$1024,5,0)</f>
        <v>0</v>
      </c>
      <c r="G620" s="73">
        <f>$C620*VLOOKUP($B620,FoodDB!$A$2:$I$1024,6,0)</f>
        <v>0</v>
      </c>
      <c r="H620" s="73">
        <f>$C620*VLOOKUP($B620,FoodDB!$A$2:$I$1024,7,0)</f>
        <v>0</v>
      </c>
      <c r="I620" s="73">
        <f>$C620*VLOOKUP($B620,FoodDB!$A$2:$I$1024,8,0)</f>
        <v>0</v>
      </c>
      <c r="J620" s="73">
        <f>$C620*VLOOKUP($B620,FoodDB!$A$2:$I$1024,9,0)</f>
        <v>0</v>
      </c>
      <c r="K620" s="73"/>
      <c r="L620" s="73"/>
      <c r="M620" s="73"/>
      <c r="N620" s="73"/>
      <c r="O620" s="73"/>
      <c r="P620" s="73"/>
      <c r="Q620" s="73"/>
      <c r="R620" s="73"/>
      <c r="S620" s="73"/>
    </row>
    <row r="621" spans="1:19" x14ac:dyDescent="0.25">
      <c r="B621" s="71" t="s">
        <v>95</v>
      </c>
      <c r="C621" s="72">
        <v>1</v>
      </c>
      <c r="D621" s="73">
        <f>$C621*VLOOKUP($B621,FoodDB!$A$2:$I$1024,3,0)</f>
        <v>0</v>
      </c>
      <c r="E621" s="73">
        <f>$C621*VLOOKUP($B621,FoodDB!$A$2:$I$1024,4,0)</f>
        <v>0</v>
      </c>
      <c r="F621" s="73">
        <f>$C621*VLOOKUP($B621,FoodDB!$A$2:$I$1024,5,0)</f>
        <v>0</v>
      </c>
      <c r="G621" s="73">
        <f>$C621*VLOOKUP($B621,FoodDB!$A$2:$I$1024,6,0)</f>
        <v>0</v>
      </c>
      <c r="H621" s="73">
        <f>$C621*VLOOKUP($B621,FoodDB!$A$2:$I$1024,7,0)</f>
        <v>0</v>
      </c>
      <c r="I621" s="73">
        <f>$C621*VLOOKUP($B621,FoodDB!$A$2:$I$1024,8,0)</f>
        <v>0</v>
      </c>
      <c r="J621" s="73">
        <f>$C621*VLOOKUP($B621,FoodDB!$A$2:$I$1024,9,0)</f>
        <v>0</v>
      </c>
      <c r="K621" s="73"/>
      <c r="L621" s="73"/>
      <c r="M621" s="73"/>
      <c r="N621" s="73"/>
      <c r="O621" s="73"/>
      <c r="P621" s="73"/>
      <c r="Q621" s="73"/>
      <c r="R621" s="73"/>
      <c r="S621" s="73"/>
    </row>
    <row r="622" spans="1:19" x14ac:dyDescent="0.25">
      <c r="B622" s="71" t="s">
        <v>95</v>
      </c>
      <c r="C622" s="72">
        <v>1</v>
      </c>
      <c r="D622" s="73">
        <f>$C622*VLOOKUP($B622,FoodDB!$A$2:$I$1024,3,0)</f>
        <v>0</v>
      </c>
      <c r="E622" s="73">
        <f>$C622*VLOOKUP($B622,FoodDB!$A$2:$I$1024,4,0)</f>
        <v>0</v>
      </c>
      <c r="F622" s="73">
        <f>$C622*VLOOKUP($B622,FoodDB!$A$2:$I$1024,5,0)</f>
        <v>0</v>
      </c>
      <c r="G622" s="73">
        <f>$C622*VLOOKUP($B622,FoodDB!$A$2:$I$1024,6,0)</f>
        <v>0</v>
      </c>
      <c r="H622" s="73">
        <f>$C622*VLOOKUP($B622,FoodDB!$A$2:$I$1024,7,0)</f>
        <v>0</v>
      </c>
      <c r="I622" s="73">
        <f>$C622*VLOOKUP($B622,FoodDB!$A$2:$I$1024,8,0)</f>
        <v>0</v>
      </c>
      <c r="J622" s="73">
        <f>$C622*VLOOKUP($B622,FoodDB!$A$2:$I$1024,9,0)</f>
        <v>0</v>
      </c>
      <c r="K622" s="73"/>
      <c r="L622" s="73"/>
      <c r="M622" s="73"/>
      <c r="N622" s="73"/>
      <c r="O622" s="73"/>
      <c r="P622" s="73"/>
      <c r="Q622" s="73"/>
      <c r="R622" s="73"/>
      <c r="S622" s="73"/>
    </row>
    <row r="623" spans="1:19" x14ac:dyDescent="0.25">
      <c r="B623" s="71" t="s">
        <v>95</v>
      </c>
      <c r="C623" s="72">
        <v>1</v>
      </c>
      <c r="D623" s="73">
        <f>$C623*VLOOKUP($B623,FoodDB!$A$2:$I$1024,3,0)</f>
        <v>0</v>
      </c>
      <c r="E623" s="73">
        <f>$C623*VLOOKUP($B623,FoodDB!$A$2:$I$1024,4,0)</f>
        <v>0</v>
      </c>
      <c r="F623" s="73">
        <f>$C623*VLOOKUP($B623,FoodDB!$A$2:$I$1024,5,0)</f>
        <v>0</v>
      </c>
      <c r="G623" s="73">
        <f>$C623*VLOOKUP($B623,FoodDB!$A$2:$I$1024,6,0)</f>
        <v>0</v>
      </c>
      <c r="H623" s="73">
        <f>$C623*VLOOKUP($B623,FoodDB!$A$2:$I$1024,7,0)</f>
        <v>0</v>
      </c>
      <c r="I623" s="73">
        <f>$C623*VLOOKUP($B623,FoodDB!$A$2:$I$1024,8,0)</f>
        <v>0</v>
      </c>
      <c r="J623" s="73">
        <f>$C623*VLOOKUP($B623,FoodDB!$A$2:$I$1024,9,0)</f>
        <v>0</v>
      </c>
      <c r="K623" s="73"/>
      <c r="L623" s="73"/>
      <c r="M623" s="73"/>
      <c r="N623" s="73"/>
      <c r="O623" s="73"/>
      <c r="P623" s="73"/>
      <c r="Q623" s="73"/>
      <c r="R623" s="73"/>
      <c r="S623" s="73"/>
    </row>
    <row r="624" spans="1:19" x14ac:dyDescent="0.25">
      <c r="A624" t="s">
        <v>99</v>
      </c>
      <c r="D624" s="73"/>
      <c r="E624" s="73"/>
      <c r="F624" s="73"/>
      <c r="G624" s="73">
        <f>SUM(G617:G623)</f>
        <v>0</v>
      </c>
      <c r="H624" s="73">
        <f>SUM(H617:H623)</f>
        <v>0</v>
      </c>
      <c r="I624" s="73">
        <f>SUM(I617:I623)</f>
        <v>0</v>
      </c>
      <c r="J624" s="73">
        <f>SUM(G624:I624)</f>
        <v>0</v>
      </c>
      <c r="K624" s="73"/>
      <c r="L624" s="73"/>
      <c r="M624" s="73"/>
      <c r="N624" s="73"/>
      <c r="O624" s="73"/>
      <c r="P624" s="73"/>
      <c r="Q624" s="73"/>
      <c r="R624" s="73"/>
      <c r="S624" s="73"/>
    </row>
    <row r="625" spans="1:19" x14ac:dyDescent="0.25">
      <c r="A625" t="s">
        <v>100</v>
      </c>
      <c r="B625" t="s">
        <v>101</v>
      </c>
      <c r="D625" s="73"/>
      <c r="E625" s="73"/>
      <c r="F625" s="73"/>
      <c r="G625" s="73">
        <f>VLOOKUP($A617,LossChart!$A$3:$AB$73,14,0)</f>
        <v>724.57593119809985</v>
      </c>
      <c r="H625" s="73">
        <f>VLOOKUP($A617,LossChart!$A$3:$AB$73,15,0)</f>
        <v>80</v>
      </c>
      <c r="I625" s="73">
        <f>VLOOKUP($A617,LossChart!$A$3:$AB$73,16,0)</f>
        <v>463.76562996293683</v>
      </c>
      <c r="J625" s="73">
        <f>VLOOKUP($A617,LossChart!$A$3:$AB$73,17,0)</f>
        <v>1268.3415611610367</v>
      </c>
      <c r="K625" s="73"/>
      <c r="L625" s="73"/>
      <c r="M625" s="73"/>
      <c r="N625" s="73"/>
      <c r="O625" s="73"/>
      <c r="P625" s="73"/>
      <c r="Q625" s="73"/>
      <c r="R625" s="73"/>
      <c r="S625" s="73"/>
    </row>
    <row r="626" spans="1:19" x14ac:dyDescent="0.25">
      <c r="A626" t="s">
        <v>102</v>
      </c>
      <c r="D626" s="73"/>
      <c r="E626" s="73"/>
      <c r="F626" s="73"/>
      <c r="G626" s="73">
        <f>G625-G624</f>
        <v>724.57593119809985</v>
      </c>
      <c r="H626" s="73">
        <f>H625-H624</f>
        <v>80</v>
      </c>
      <c r="I626" s="73">
        <f>I625-I624</f>
        <v>463.76562996293683</v>
      </c>
      <c r="J626" s="73">
        <f>J625-J624</f>
        <v>1268.3415611610367</v>
      </c>
      <c r="K626" s="73"/>
      <c r="L626" s="73"/>
      <c r="M626" s="73"/>
      <c r="N626" s="73"/>
      <c r="O626" s="73"/>
      <c r="P626" s="73"/>
      <c r="Q626" s="73"/>
      <c r="R626" s="73"/>
      <c r="S626" s="73"/>
    </row>
    <row r="628" spans="1:19" ht="60" x14ac:dyDescent="0.25">
      <c r="A628" s="25" t="s">
        <v>63</v>
      </c>
      <c r="B628" s="25" t="s">
        <v>80</v>
      </c>
      <c r="C628" s="25" t="s">
        <v>81</v>
      </c>
      <c r="D628" s="69" t="str">
        <f>FoodDB!$C$1</f>
        <v>Fat
(g)</v>
      </c>
      <c r="E628" s="69" t="str">
        <f>FoodDB!$D$1</f>
        <v xml:space="preserve"> Net
Carbs
(g)</v>
      </c>
      <c r="F628" s="69" t="str">
        <f>FoodDB!$E$1</f>
        <v>Protein
(g)</v>
      </c>
      <c r="G628" s="69" t="str">
        <f>FoodDB!$F$1</f>
        <v>Fat
(Cal)</v>
      </c>
      <c r="H628" s="69" t="str">
        <f>FoodDB!$G$1</f>
        <v>Carb
(Cal)</v>
      </c>
      <c r="I628" s="69" t="str">
        <f>FoodDB!$H$1</f>
        <v>Protein
(Cal)</v>
      </c>
      <c r="J628" s="69" t="str">
        <f>FoodDB!$I$1</f>
        <v>Total
Calories</v>
      </c>
      <c r="K628" s="69"/>
      <c r="L628" s="69" t="s">
        <v>82</v>
      </c>
      <c r="M628" s="69" t="s">
        <v>83</v>
      </c>
      <c r="N628" s="69" t="s">
        <v>84</v>
      </c>
      <c r="O628" s="69" t="s">
        <v>85</v>
      </c>
      <c r="P628" s="69" t="s">
        <v>86</v>
      </c>
      <c r="Q628" s="69" t="s">
        <v>87</v>
      </c>
      <c r="R628" s="69" t="s">
        <v>88</v>
      </c>
      <c r="S628" s="69" t="s">
        <v>89</v>
      </c>
    </row>
    <row r="629" spans="1:19" x14ac:dyDescent="0.25">
      <c r="A629" s="70">
        <f>A617+1</f>
        <v>43083</v>
      </c>
      <c r="B629" s="71" t="s">
        <v>95</v>
      </c>
      <c r="C629" s="72">
        <v>1</v>
      </c>
      <c r="D629" s="73">
        <f>$C629*VLOOKUP($B629,FoodDB!$A$2:$I$1024,3,0)</f>
        <v>0</v>
      </c>
      <c r="E629" s="73">
        <f>$C629*VLOOKUP($B629,FoodDB!$A$2:$I$1024,4,0)</f>
        <v>0</v>
      </c>
      <c r="F629" s="73">
        <f>$C629*VLOOKUP($B629,FoodDB!$A$2:$I$1024,5,0)</f>
        <v>0</v>
      </c>
      <c r="G629" s="73">
        <f>$C629*VLOOKUP($B629,FoodDB!$A$2:$I$1024,6,0)</f>
        <v>0</v>
      </c>
      <c r="H629" s="73">
        <f>$C629*VLOOKUP($B629,FoodDB!$A$2:$I$1024,7,0)</f>
        <v>0</v>
      </c>
      <c r="I629" s="73">
        <f>$C629*VLOOKUP($B629,FoodDB!$A$2:$I$1024,8,0)</f>
        <v>0</v>
      </c>
      <c r="J629" s="73">
        <f>$C629*VLOOKUP($B629,FoodDB!$A$2:$I$1024,9,0)</f>
        <v>0</v>
      </c>
      <c r="K629" s="73"/>
      <c r="L629" s="73">
        <f>SUM(G629:G635)</f>
        <v>0</v>
      </c>
      <c r="M629" s="73">
        <f>SUM(H629:H635)</f>
        <v>0</v>
      </c>
      <c r="N629" s="73">
        <f>SUM(I629:I635)</f>
        <v>0</v>
      </c>
      <c r="O629" s="73">
        <f>SUM(L629:N629)</f>
        <v>0</v>
      </c>
      <c r="P629" s="73">
        <f>VLOOKUP($A629,LossChart!$A$3:$AB$73,14,0)-L629</f>
        <v>729.57203841385967</v>
      </c>
      <c r="Q629" s="73">
        <f>VLOOKUP($A629,LossChart!$A$3:$AB$73,15,0)-M629</f>
        <v>80</v>
      </c>
      <c r="R629" s="73">
        <f>VLOOKUP($A629,LossChart!$A$3:$AB$73,16,0)-N629</f>
        <v>463.76562996293683</v>
      </c>
      <c r="S629" s="73">
        <f>VLOOKUP($A629,LossChart!$A$3:$AB$73,17,0)-O629</f>
        <v>1273.3376683767965</v>
      </c>
    </row>
    <row r="630" spans="1:19" x14ac:dyDescent="0.25">
      <c r="B630" s="71" t="s">
        <v>95</v>
      </c>
      <c r="C630" s="72">
        <v>1</v>
      </c>
      <c r="D630" s="73">
        <f>$C630*VLOOKUP($B630,FoodDB!$A$2:$I$1024,3,0)</f>
        <v>0</v>
      </c>
      <c r="E630" s="73">
        <f>$C630*VLOOKUP($B630,FoodDB!$A$2:$I$1024,4,0)</f>
        <v>0</v>
      </c>
      <c r="F630" s="73">
        <f>$C630*VLOOKUP($B630,FoodDB!$A$2:$I$1024,5,0)</f>
        <v>0</v>
      </c>
      <c r="G630" s="73">
        <f>$C630*VLOOKUP($B630,FoodDB!$A$2:$I$1024,6,0)</f>
        <v>0</v>
      </c>
      <c r="H630" s="73">
        <f>$C630*VLOOKUP($B630,FoodDB!$A$2:$I$1024,7,0)</f>
        <v>0</v>
      </c>
      <c r="I630" s="73">
        <f>$C630*VLOOKUP($B630,FoodDB!$A$2:$I$1024,8,0)</f>
        <v>0</v>
      </c>
      <c r="J630" s="73">
        <f>$C630*VLOOKUP($B630,FoodDB!$A$2:$I$1024,9,0)</f>
        <v>0</v>
      </c>
      <c r="K630" s="73"/>
      <c r="L630" s="73"/>
      <c r="M630" s="73"/>
      <c r="N630" s="73"/>
      <c r="O630" s="73"/>
      <c r="P630" s="73"/>
      <c r="Q630" s="73"/>
      <c r="R630" s="73"/>
      <c r="S630" s="73"/>
    </row>
    <row r="631" spans="1:19" x14ac:dyDescent="0.25">
      <c r="B631" s="71" t="s">
        <v>95</v>
      </c>
      <c r="C631" s="72">
        <v>1</v>
      </c>
      <c r="D631" s="73">
        <f>$C631*VLOOKUP($B631,FoodDB!$A$2:$I$1024,3,0)</f>
        <v>0</v>
      </c>
      <c r="E631" s="73">
        <f>$C631*VLOOKUP($B631,FoodDB!$A$2:$I$1024,4,0)</f>
        <v>0</v>
      </c>
      <c r="F631" s="73">
        <f>$C631*VLOOKUP($B631,FoodDB!$A$2:$I$1024,5,0)</f>
        <v>0</v>
      </c>
      <c r="G631" s="73">
        <f>$C631*VLOOKUP($B631,FoodDB!$A$2:$I$1024,6,0)</f>
        <v>0</v>
      </c>
      <c r="H631" s="73">
        <f>$C631*VLOOKUP($B631,FoodDB!$A$2:$I$1024,7,0)</f>
        <v>0</v>
      </c>
      <c r="I631" s="73">
        <f>$C631*VLOOKUP($B631,FoodDB!$A$2:$I$1024,8,0)</f>
        <v>0</v>
      </c>
      <c r="J631" s="73">
        <f>$C631*VLOOKUP($B631,FoodDB!$A$2:$I$1024,9,0)</f>
        <v>0</v>
      </c>
      <c r="K631" s="73"/>
      <c r="L631" s="73"/>
      <c r="M631" s="73"/>
      <c r="N631" s="73"/>
      <c r="O631" s="73"/>
      <c r="P631" s="73"/>
      <c r="Q631" s="73"/>
      <c r="R631" s="73"/>
      <c r="S631" s="73"/>
    </row>
    <row r="632" spans="1:19" x14ac:dyDescent="0.25">
      <c r="B632" s="71" t="s">
        <v>95</v>
      </c>
      <c r="C632" s="72">
        <v>1</v>
      </c>
      <c r="D632" s="73">
        <f>$C632*VLOOKUP($B632,FoodDB!$A$2:$I$1024,3,0)</f>
        <v>0</v>
      </c>
      <c r="E632" s="73">
        <f>$C632*VLOOKUP($B632,FoodDB!$A$2:$I$1024,4,0)</f>
        <v>0</v>
      </c>
      <c r="F632" s="73">
        <f>$C632*VLOOKUP($B632,FoodDB!$A$2:$I$1024,5,0)</f>
        <v>0</v>
      </c>
      <c r="G632" s="73">
        <f>$C632*VLOOKUP($B632,FoodDB!$A$2:$I$1024,6,0)</f>
        <v>0</v>
      </c>
      <c r="H632" s="73">
        <f>$C632*VLOOKUP($B632,FoodDB!$A$2:$I$1024,7,0)</f>
        <v>0</v>
      </c>
      <c r="I632" s="73">
        <f>$C632*VLOOKUP($B632,FoodDB!$A$2:$I$1024,8,0)</f>
        <v>0</v>
      </c>
      <c r="J632" s="73">
        <f>$C632*VLOOKUP($B632,FoodDB!$A$2:$I$1024,9,0)</f>
        <v>0</v>
      </c>
      <c r="K632" s="73"/>
      <c r="L632" s="73"/>
      <c r="M632" s="73"/>
      <c r="N632" s="73"/>
      <c r="O632" s="73"/>
      <c r="P632" s="73"/>
      <c r="Q632" s="73"/>
      <c r="R632" s="73"/>
      <c r="S632" s="73"/>
    </row>
    <row r="633" spans="1:19" x14ac:dyDescent="0.25">
      <c r="B633" s="71" t="s">
        <v>95</v>
      </c>
      <c r="C633" s="72">
        <v>1</v>
      </c>
      <c r="D633" s="73">
        <f>$C633*VLOOKUP($B633,FoodDB!$A$2:$I$1024,3,0)</f>
        <v>0</v>
      </c>
      <c r="E633" s="73">
        <f>$C633*VLOOKUP($B633,FoodDB!$A$2:$I$1024,4,0)</f>
        <v>0</v>
      </c>
      <c r="F633" s="73">
        <f>$C633*VLOOKUP($B633,FoodDB!$A$2:$I$1024,5,0)</f>
        <v>0</v>
      </c>
      <c r="G633" s="73">
        <f>$C633*VLOOKUP($B633,FoodDB!$A$2:$I$1024,6,0)</f>
        <v>0</v>
      </c>
      <c r="H633" s="73">
        <f>$C633*VLOOKUP($B633,FoodDB!$A$2:$I$1024,7,0)</f>
        <v>0</v>
      </c>
      <c r="I633" s="73">
        <f>$C633*VLOOKUP($B633,FoodDB!$A$2:$I$1024,8,0)</f>
        <v>0</v>
      </c>
      <c r="J633" s="73">
        <f>$C633*VLOOKUP($B633,FoodDB!$A$2:$I$1024,9,0)</f>
        <v>0</v>
      </c>
      <c r="K633" s="73"/>
      <c r="L633" s="73"/>
      <c r="M633" s="73"/>
      <c r="N633" s="73"/>
      <c r="O633" s="73"/>
      <c r="P633" s="73"/>
      <c r="Q633" s="73"/>
      <c r="R633" s="73"/>
      <c r="S633" s="73"/>
    </row>
    <row r="634" spans="1:19" x14ac:dyDescent="0.25">
      <c r="B634" s="71" t="s">
        <v>95</v>
      </c>
      <c r="C634" s="72">
        <v>1</v>
      </c>
      <c r="D634" s="73">
        <f>$C634*VLOOKUP($B634,FoodDB!$A$2:$I$1024,3,0)</f>
        <v>0</v>
      </c>
      <c r="E634" s="73">
        <f>$C634*VLOOKUP($B634,FoodDB!$A$2:$I$1024,4,0)</f>
        <v>0</v>
      </c>
      <c r="F634" s="73">
        <f>$C634*VLOOKUP($B634,FoodDB!$A$2:$I$1024,5,0)</f>
        <v>0</v>
      </c>
      <c r="G634" s="73">
        <f>$C634*VLOOKUP($B634,FoodDB!$A$2:$I$1024,6,0)</f>
        <v>0</v>
      </c>
      <c r="H634" s="73">
        <f>$C634*VLOOKUP($B634,FoodDB!$A$2:$I$1024,7,0)</f>
        <v>0</v>
      </c>
      <c r="I634" s="73">
        <f>$C634*VLOOKUP($B634,FoodDB!$A$2:$I$1024,8,0)</f>
        <v>0</v>
      </c>
      <c r="J634" s="73">
        <f>$C634*VLOOKUP($B634,FoodDB!$A$2:$I$1024,9,0)</f>
        <v>0</v>
      </c>
      <c r="K634" s="73"/>
      <c r="L634" s="73"/>
      <c r="M634" s="73"/>
      <c r="N634" s="73"/>
      <c r="O634" s="73"/>
      <c r="P634" s="73"/>
      <c r="Q634" s="73"/>
      <c r="R634" s="73"/>
      <c r="S634" s="73"/>
    </row>
    <row r="635" spans="1:19" x14ac:dyDescent="0.25">
      <c r="B635" s="71" t="s">
        <v>95</v>
      </c>
      <c r="C635" s="72">
        <v>1</v>
      </c>
      <c r="D635" s="73">
        <f>$C635*VLOOKUP($B635,FoodDB!$A$2:$I$1024,3,0)</f>
        <v>0</v>
      </c>
      <c r="E635" s="73">
        <f>$C635*VLOOKUP($B635,FoodDB!$A$2:$I$1024,4,0)</f>
        <v>0</v>
      </c>
      <c r="F635" s="73">
        <f>$C635*VLOOKUP($B635,FoodDB!$A$2:$I$1024,5,0)</f>
        <v>0</v>
      </c>
      <c r="G635" s="73">
        <f>$C635*VLOOKUP($B635,FoodDB!$A$2:$I$1024,6,0)</f>
        <v>0</v>
      </c>
      <c r="H635" s="73">
        <f>$C635*VLOOKUP($B635,FoodDB!$A$2:$I$1024,7,0)</f>
        <v>0</v>
      </c>
      <c r="I635" s="73">
        <f>$C635*VLOOKUP($B635,FoodDB!$A$2:$I$1024,8,0)</f>
        <v>0</v>
      </c>
      <c r="J635" s="73">
        <f>$C635*VLOOKUP($B635,FoodDB!$A$2:$I$1024,9,0)</f>
        <v>0</v>
      </c>
      <c r="K635" s="73"/>
      <c r="L635" s="73"/>
      <c r="M635" s="73"/>
      <c r="N635" s="73"/>
      <c r="O635" s="73"/>
      <c r="P635" s="73"/>
      <c r="Q635" s="73"/>
      <c r="R635" s="73"/>
      <c r="S635" s="73"/>
    </row>
    <row r="636" spans="1:19" x14ac:dyDescent="0.25">
      <c r="A636" t="s">
        <v>99</v>
      </c>
      <c r="D636" s="73"/>
      <c r="E636" s="73"/>
      <c r="F636" s="73"/>
      <c r="G636" s="73">
        <f>SUM(G629:G635)</f>
        <v>0</v>
      </c>
      <c r="H636" s="73">
        <f>SUM(H629:H635)</f>
        <v>0</v>
      </c>
      <c r="I636" s="73">
        <f>SUM(I629:I635)</f>
        <v>0</v>
      </c>
      <c r="J636" s="73">
        <f>SUM(G636:I636)</f>
        <v>0</v>
      </c>
      <c r="K636" s="73"/>
      <c r="L636" s="73"/>
      <c r="M636" s="73"/>
      <c r="N636" s="73"/>
      <c r="O636" s="73"/>
      <c r="P636" s="73"/>
      <c r="Q636" s="73"/>
      <c r="R636" s="73"/>
      <c r="S636" s="73"/>
    </row>
    <row r="637" spans="1:19" x14ac:dyDescent="0.25">
      <c r="A637" t="s">
        <v>100</v>
      </c>
      <c r="B637" t="s">
        <v>101</v>
      </c>
      <c r="D637" s="73"/>
      <c r="E637" s="73"/>
      <c r="F637" s="73"/>
      <c r="G637" s="73">
        <f>VLOOKUP($A629,LossChart!$A$3:$AB$73,14,0)</f>
        <v>729.57203841385967</v>
      </c>
      <c r="H637" s="73">
        <f>VLOOKUP($A629,LossChart!$A$3:$AB$73,15,0)</f>
        <v>80</v>
      </c>
      <c r="I637" s="73">
        <f>VLOOKUP($A629,LossChart!$A$3:$AB$73,16,0)</f>
        <v>463.76562996293683</v>
      </c>
      <c r="J637" s="73">
        <f>VLOOKUP($A629,LossChart!$A$3:$AB$73,17,0)</f>
        <v>1273.3376683767965</v>
      </c>
      <c r="K637" s="73"/>
      <c r="L637" s="73"/>
      <c r="M637" s="73"/>
      <c r="N637" s="73"/>
      <c r="O637" s="73"/>
      <c r="P637" s="73"/>
      <c r="Q637" s="73"/>
      <c r="R637" s="73"/>
      <c r="S637" s="73"/>
    </row>
    <row r="638" spans="1:19" x14ac:dyDescent="0.25">
      <c r="A638" t="s">
        <v>102</v>
      </c>
      <c r="D638" s="73"/>
      <c r="E638" s="73"/>
      <c r="F638" s="73"/>
      <c r="G638" s="73">
        <f>G637-G636</f>
        <v>729.57203841385967</v>
      </c>
      <c r="H638" s="73">
        <f>H637-H636</f>
        <v>80</v>
      </c>
      <c r="I638" s="73">
        <f>I637-I636</f>
        <v>463.76562996293683</v>
      </c>
      <c r="J638" s="73">
        <f>J637-J636</f>
        <v>1273.3376683767965</v>
      </c>
      <c r="K638" s="73"/>
      <c r="L638" s="73"/>
      <c r="M638" s="73"/>
      <c r="N638" s="73"/>
      <c r="O638" s="73"/>
      <c r="P638" s="73"/>
      <c r="Q638" s="73"/>
      <c r="R638" s="73"/>
      <c r="S638" s="73"/>
    </row>
    <row r="640" spans="1:19" ht="60" x14ac:dyDescent="0.25">
      <c r="A640" s="25" t="s">
        <v>63</v>
      </c>
      <c r="B640" s="25" t="s">
        <v>80</v>
      </c>
      <c r="C640" s="25" t="s">
        <v>81</v>
      </c>
      <c r="D640" s="69" t="str">
        <f>FoodDB!$C$1</f>
        <v>Fat
(g)</v>
      </c>
      <c r="E640" s="69" t="str">
        <f>FoodDB!$D$1</f>
        <v xml:space="preserve"> Net
Carbs
(g)</v>
      </c>
      <c r="F640" s="69" t="str">
        <f>FoodDB!$E$1</f>
        <v>Protein
(g)</v>
      </c>
      <c r="G640" s="69" t="str">
        <f>FoodDB!$F$1</f>
        <v>Fat
(Cal)</v>
      </c>
      <c r="H640" s="69" t="str">
        <f>FoodDB!$G$1</f>
        <v>Carb
(Cal)</v>
      </c>
      <c r="I640" s="69" t="str">
        <f>FoodDB!$H$1</f>
        <v>Protein
(Cal)</v>
      </c>
      <c r="J640" s="69" t="str">
        <f>FoodDB!$I$1</f>
        <v>Total
Calories</v>
      </c>
      <c r="K640" s="69"/>
      <c r="L640" s="69" t="s">
        <v>82</v>
      </c>
      <c r="M640" s="69" t="s">
        <v>83</v>
      </c>
      <c r="N640" s="69" t="s">
        <v>84</v>
      </c>
      <c r="O640" s="69" t="s">
        <v>85</v>
      </c>
      <c r="P640" s="69" t="s">
        <v>86</v>
      </c>
      <c r="Q640" s="69" t="s">
        <v>87</v>
      </c>
      <c r="R640" s="69" t="s">
        <v>88</v>
      </c>
      <c r="S640" s="69" t="s">
        <v>89</v>
      </c>
    </row>
    <row r="641" spans="1:19" x14ac:dyDescent="0.25">
      <c r="A641" s="70">
        <f>A629+1</f>
        <v>43084</v>
      </c>
      <c r="B641" s="71" t="s">
        <v>95</v>
      </c>
      <c r="C641" s="72">
        <v>1</v>
      </c>
      <c r="D641" s="73">
        <f>$C641*VLOOKUP($B641,FoodDB!$A$2:$I$1024,3,0)</f>
        <v>0</v>
      </c>
      <c r="E641" s="73">
        <f>$C641*VLOOKUP($B641,FoodDB!$A$2:$I$1024,4,0)</f>
        <v>0</v>
      </c>
      <c r="F641" s="73">
        <f>$C641*VLOOKUP($B641,FoodDB!$A$2:$I$1024,5,0)</f>
        <v>0</v>
      </c>
      <c r="G641" s="73">
        <f>$C641*VLOOKUP($B641,FoodDB!$A$2:$I$1024,6,0)</f>
        <v>0</v>
      </c>
      <c r="H641" s="73">
        <f>$C641*VLOOKUP($B641,FoodDB!$A$2:$I$1024,7,0)</f>
        <v>0</v>
      </c>
      <c r="I641" s="73">
        <f>$C641*VLOOKUP($B641,FoodDB!$A$2:$I$1024,8,0)</f>
        <v>0</v>
      </c>
      <c r="J641" s="73">
        <f>$C641*VLOOKUP($B641,FoodDB!$A$2:$I$1024,9,0)</f>
        <v>0</v>
      </c>
      <c r="K641" s="73"/>
      <c r="L641" s="73">
        <f>SUM(G641:G647)</f>
        <v>0</v>
      </c>
      <c r="M641" s="73">
        <f>SUM(H641:H647)</f>
        <v>0</v>
      </c>
      <c r="N641" s="73">
        <f>SUM(I641:I647)</f>
        <v>0</v>
      </c>
      <c r="O641" s="73">
        <f>SUM(L641:N641)</f>
        <v>0</v>
      </c>
      <c r="P641" s="73">
        <f>VLOOKUP($A641,LossChart!$A$3:$AB$73,14,0)-L641</f>
        <v>734.52389439428021</v>
      </c>
      <c r="Q641" s="73">
        <f>VLOOKUP($A641,LossChart!$A$3:$AB$73,15,0)-M641</f>
        <v>80</v>
      </c>
      <c r="R641" s="73">
        <f>VLOOKUP($A641,LossChart!$A$3:$AB$73,16,0)-N641</f>
        <v>463.76562996293683</v>
      </c>
      <c r="S641" s="73">
        <f>VLOOKUP($A641,LossChart!$A$3:$AB$73,17,0)-O641</f>
        <v>1278.289524357217</v>
      </c>
    </row>
    <row r="642" spans="1:19" x14ac:dyDescent="0.25">
      <c r="B642" s="71" t="s">
        <v>95</v>
      </c>
      <c r="C642" s="72">
        <v>1</v>
      </c>
      <c r="D642" s="73">
        <f>$C642*VLOOKUP($B642,FoodDB!$A$2:$I$1024,3,0)</f>
        <v>0</v>
      </c>
      <c r="E642" s="73">
        <f>$C642*VLOOKUP($B642,FoodDB!$A$2:$I$1024,4,0)</f>
        <v>0</v>
      </c>
      <c r="F642" s="73">
        <f>$C642*VLOOKUP($B642,FoodDB!$A$2:$I$1024,5,0)</f>
        <v>0</v>
      </c>
      <c r="G642" s="73">
        <f>$C642*VLOOKUP($B642,FoodDB!$A$2:$I$1024,6,0)</f>
        <v>0</v>
      </c>
      <c r="H642" s="73">
        <f>$C642*VLOOKUP($B642,FoodDB!$A$2:$I$1024,7,0)</f>
        <v>0</v>
      </c>
      <c r="I642" s="73">
        <f>$C642*VLOOKUP($B642,FoodDB!$A$2:$I$1024,8,0)</f>
        <v>0</v>
      </c>
      <c r="J642" s="73">
        <f>$C642*VLOOKUP($B642,FoodDB!$A$2:$I$1024,9,0)</f>
        <v>0</v>
      </c>
      <c r="K642" s="73"/>
      <c r="L642" s="73"/>
      <c r="M642" s="73"/>
      <c r="N642" s="73"/>
      <c r="O642" s="73"/>
      <c r="P642" s="73"/>
      <c r="Q642" s="73"/>
      <c r="R642" s="73"/>
      <c r="S642" s="73"/>
    </row>
    <row r="643" spans="1:19" x14ac:dyDescent="0.25">
      <c r="B643" s="71" t="s">
        <v>95</v>
      </c>
      <c r="C643" s="72">
        <v>1</v>
      </c>
      <c r="D643" s="73">
        <f>$C643*VLOOKUP($B643,FoodDB!$A$2:$I$1024,3,0)</f>
        <v>0</v>
      </c>
      <c r="E643" s="73">
        <f>$C643*VLOOKUP($B643,FoodDB!$A$2:$I$1024,4,0)</f>
        <v>0</v>
      </c>
      <c r="F643" s="73">
        <f>$C643*VLOOKUP($B643,FoodDB!$A$2:$I$1024,5,0)</f>
        <v>0</v>
      </c>
      <c r="G643" s="73">
        <f>$C643*VLOOKUP($B643,FoodDB!$A$2:$I$1024,6,0)</f>
        <v>0</v>
      </c>
      <c r="H643" s="73">
        <f>$C643*VLOOKUP($B643,FoodDB!$A$2:$I$1024,7,0)</f>
        <v>0</v>
      </c>
      <c r="I643" s="73">
        <f>$C643*VLOOKUP($B643,FoodDB!$A$2:$I$1024,8,0)</f>
        <v>0</v>
      </c>
      <c r="J643" s="73">
        <f>$C643*VLOOKUP($B643,FoodDB!$A$2:$I$1024,9,0)</f>
        <v>0</v>
      </c>
      <c r="K643" s="73"/>
      <c r="L643" s="73"/>
      <c r="M643" s="73"/>
      <c r="N643" s="73"/>
      <c r="O643" s="73"/>
      <c r="P643" s="73"/>
      <c r="Q643" s="73"/>
      <c r="R643" s="73"/>
      <c r="S643" s="73"/>
    </row>
    <row r="644" spans="1:19" x14ac:dyDescent="0.25">
      <c r="B644" s="71" t="s">
        <v>95</v>
      </c>
      <c r="C644" s="72">
        <v>1</v>
      </c>
      <c r="D644" s="73">
        <f>$C644*VLOOKUP($B644,FoodDB!$A$2:$I$1024,3,0)</f>
        <v>0</v>
      </c>
      <c r="E644" s="73">
        <f>$C644*VLOOKUP($B644,FoodDB!$A$2:$I$1024,4,0)</f>
        <v>0</v>
      </c>
      <c r="F644" s="73">
        <f>$C644*VLOOKUP($B644,FoodDB!$A$2:$I$1024,5,0)</f>
        <v>0</v>
      </c>
      <c r="G644" s="73">
        <f>$C644*VLOOKUP($B644,FoodDB!$A$2:$I$1024,6,0)</f>
        <v>0</v>
      </c>
      <c r="H644" s="73">
        <f>$C644*VLOOKUP($B644,FoodDB!$A$2:$I$1024,7,0)</f>
        <v>0</v>
      </c>
      <c r="I644" s="73">
        <f>$C644*VLOOKUP($B644,FoodDB!$A$2:$I$1024,8,0)</f>
        <v>0</v>
      </c>
      <c r="J644" s="73">
        <f>$C644*VLOOKUP($B644,FoodDB!$A$2:$I$1024,9,0)</f>
        <v>0</v>
      </c>
      <c r="K644" s="73"/>
      <c r="L644" s="73"/>
      <c r="M644" s="73"/>
      <c r="N644" s="73"/>
      <c r="O644" s="73"/>
      <c r="P644" s="73"/>
      <c r="Q644" s="73"/>
      <c r="R644" s="73"/>
      <c r="S644" s="73"/>
    </row>
    <row r="645" spans="1:19" x14ac:dyDescent="0.25">
      <c r="B645" s="71" t="s">
        <v>95</v>
      </c>
      <c r="C645" s="72">
        <v>1</v>
      </c>
      <c r="D645" s="73">
        <f>$C645*VLOOKUP($B645,FoodDB!$A$2:$I$1024,3,0)</f>
        <v>0</v>
      </c>
      <c r="E645" s="73">
        <f>$C645*VLOOKUP($B645,FoodDB!$A$2:$I$1024,4,0)</f>
        <v>0</v>
      </c>
      <c r="F645" s="73">
        <f>$C645*VLOOKUP($B645,FoodDB!$A$2:$I$1024,5,0)</f>
        <v>0</v>
      </c>
      <c r="G645" s="73">
        <f>$C645*VLOOKUP($B645,FoodDB!$A$2:$I$1024,6,0)</f>
        <v>0</v>
      </c>
      <c r="H645" s="73">
        <f>$C645*VLOOKUP($B645,FoodDB!$A$2:$I$1024,7,0)</f>
        <v>0</v>
      </c>
      <c r="I645" s="73">
        <f>$C645*VLOOKUP($B645,FoodDB!$A$2:$I$1024,8,0)</f>
        <v>0</v>
      </c>
      <c r="J645" s="73">
        <f>$C645*VLOOKUP($B645,FoodDB!$A$2:$I$1024,9,0)</f>
        <v>0</v>
      </c>
      <c r="K645" s="73"/>
      <c r="L645" s="73"/>
      <c r="M645" s="73"/>
      <c r="N645" s="73"/>
      <c r="O645" s="73"/>
      <c r="P645" s="73"/>
      <c r="Q645" s="73"/>
      <c r="R645" s="73"/>
      <c r="S645" s="73"/>
    </row>
    <row r="646" spans="1:19" x14ac:dyDescent="0.25">
      <c r="B646" s="71" t="s">
        <v>95</v>
      </c>
      <c r="C646" s="72">
        <v>1</v>
      </c>
      <c r="D646" s="73">
        <f>$C646*VLOOKUP($B646,FoodDB!$A$2:$I$1024,3,0)</f>
        <v>0</v>
      </c>
      <c r="E646" s="73">
        <f>$C646*VLOOKUP($B646,FoodDB!$A$2:$I$1024,4,0)</f>
        <v>0</v>
      </c>
      <c r="F646" s="73">
        <f>$C646*VLOOKUP($B646,FoodDB!$A$2:$I$1024,5,0)</f>
        <v>0</v>
      </c>
      <c r="G646" s="73">
        <f>$C646*VLOOKUP($B646,FoodDB!$A$2:$I$1024,6,0)</f>
        <v>0</v>
      </c>
      <c r="H646" s="73">
        <f>$C646*VLOOKUP($B646,FoodDB!$A$2:$I$1024,7,0)</f>
        <v>0</v>
      </c>
      <c r="I646" s="73">
        <f>$C646*VLOOKUP($B646,FoodDB!$A$2:$I$1024,8,0)</f>
        <v>0</v>
      </c>
      <c r="J646" s="73">
        <f>$C646*VLOOKUP($B646,FoodDB!$A$2:$I$1024,9,0)</f>
        <v>0</v>
      </c>
      <c r="K646" s="73"/>
      <c r="L646" s="73"/>
      <c r="M646" s="73"/>
      <c r="N646" s="73"/>
      <c r="O646" s="73"/>
      <c r="P646" s="73"/>
      <c r="Q646" s="73"/>
      <c r="R646" s="73"/>
      <c r="S646" s="73"/>
    </row>
    <row r="647" spans="1:19" x14ac:dyDescent="0.25">
      <c r="B647" s="71" t="s">
        <v>95</v>
      </c>
      <c r="C647" s="72">
        <v>1</v>
      </c>
      <c r="D647" s="73">
        <f>$C647*VLOOKUP($B647,FoodDB!$A$2:$I$1024,3,0)</f>
        <v>0</v>
      </c>
      <c r="E647" s="73">
        <f>$C647*VLOOKUP($B647,FoodDB!$A$2:$I$1024,4,0)</f>
        <v>0</v>
      </c>
      <c r="F647" s="73">
        <f>$C647*VLOOKUP($B647,FoodDB!$A$2:$I$1024,5,0)</f>
        <v>0</v>
      </c>
      <c r="G647" s="73">
        <f>$C647*VLOOKUP($B647,FoodDB!$A$2:$I$1024,6,0)</f>
        <v>0</v>
      </c>
      <c r="H647" s="73">
        <f>$C647*VLOOKUP($B647,FoodDB!$A$2:$I$1024,7,0)</f>
        <v>0</v>
      </c>
      <c r="I647" s="73">
        <f>$C647*VLOOKUP($B647,FoodDB!$A$2:$I$1024,8,0)</f>
        <v>0</v>
      </c>
      <c r="J647" s="73">
        <f>$C647*VLOOKUP($B647,FoodDB!$A$2:$I$1024,9,0)</f>
        <v>0</v>
      </c>
      <c r="K647" s="73"/>
      <c r="L647" s="73"/>
      <c r="M647" s="73"/>
      <c r="N647" s="73"/>
      <c r="O647" s="73"/>
      <c r="P647" s="73"/>
      <c r="Q647" s="73"/>
      <c r="R647" s="73"/>
      <c r="S647" s="73"/>
    </row>
    <row r="648" spans="1:19" x14ac:dyDescent="0.25">
      <c r="A648" t="s">
        <v>99</v>
      </c>
      <c r="D648" s="73"/>
      <c r="E648" s="73"/>
      <c r="F648" s="73"/>
      <c r="G648" s="73">
        <f>SUM(G641:G647)</f>
        <v>0</v>
      </c>
      <c r="H648" s="73">
        <f>SUM(H641:H647)</f>
        <v>0</v>
      </c>
      <c r="I648" s="73">
        <f>SUM(I641:I647)</f>
        <v>0</v>
      </c>
      <c r="J648" s="73">
        <f>SUM(G648:I648)</f>
        <v>0</v>
      </c>
      <c r="K648" s="73"/>
      <c r="L648" s="73"/>
      <c r="M648" s="73"/>
      <c r="N648" s="73"/>
      <c r="O648" s="73"/>
      <c r="P648" s="73"/>
      <c r="Q648" s="73"/>
      <c r="R648" s="73"/>
      <c r="S648" s="73"/>
    </row>
    <row r="649" spans="1:19" x14ac:dyDescent="0.25">
      <c r="A649" t="s">
        <v>100</v>
      </c>
      <c r="B649" t="s">
        <v>101</v>
      </c>
      <c r="D649" s="73"/>
      <c r="E649" s="73"/>
      <c r="F649" s="73"/>
      <c r="G649" s="73">
        <f>VLOOKUP($A641,LossChart!$A$3:$AB$73,14,0)</f>
        <v>734.52389439428021</v>
      </c>
      <c r="H649" s="73">
        <f>VLOOKUP($A641,LossChart!$A$3:$AB$73,15,0)</f>
        <v>80</v>
      </c>
      <c r="I649" s="73">
        <f>VLOOKUP($A641,LossChart!$A$3:$AB$73,16,0)</f>
        <v>463.76562996293683</v>
      </c>
      <c r="J649" s="73">
        <f>VLOOKUP($A641,LossChart!$A$3:$AB$73,17,0)</f>
        <v>1278.289524357217</v>
      </c>
      <c r="K649" s="73"/>
      <c r="L649" s="73"/>
      <c r="M649" s="73"/>
      <c r="N649" s="73"/>
      <c r="O649" s="73"/>
      <c r="P649" s="73"/>
      <c r="Q649" s="73"/>
      <c r="R649" s="73"/>
      <c r="S649" s="73"/>
    </row>
    <row r="650" spans="1:19" x14ac:dyDescent="0.25">
      <c r="A650" t="s">
        <v>102</v>
      </c>
      <c r="D650" s="73"/>
      <c r="E650" s="73"/>
      <c r="F650" s="73"/>
      <c r="G650" s="73">
        <f>G649-G648</f>
        <v>734.52389439428021</v>
      </c>
      <c r="H650" s="73">
        <f>H649-H648</f>
        <v>80</v>
      </c>
      <c r="I650" s="73">
        <f>I649-I648</f>
        <v>463.76562996293683</v>
      </c>
      <c r="J650" s="73">
        <f>J649-J648</f>
        <v>1278.289524357217</v>
      </c>
      <c r="K650" s="73"/>
      <c r="L650" s="73"/>
      <c r="M650" s="73"/>
      <c r="N650" s="73"/>
      <c r="O650" s="73"/>
      <c r="P650" s="73"/>
      <c r="Q650" s="73"/>
      <c r="R650" s="73"/>
      <c r="S650" s="73"/>
    </row>
    <row r="652" spans="1:19" ht="60" x14ac:dyDescent="0.25">
      <c r="A652" s="25" t="s">
        <v>63</v>
      </c>
      <c r="B652" s="25" t="s">
        <v>80</v>
      </c>
      <c r="C652" s="25" t="s">
        <v>81</v>
      </c>
      <c r="D652" s="69" t="str">
        <f>FoodDB!$C$1</f>
        <v>Fat
(g)</v>
      </c>
      <c r="E652" s="69" t="str">
        <f>FoodDB!$D$1</f>
        <v xml:space="preserve"> Net
Carbs
(g)</v>
      </c>
      <c r="F652" s="69" t="str">
        <f>FoodDB!$E$1</f>
        <v>Protein
(g)</v>
      </c>
      <c r="G652" s="69" t="str">
        <f>FoodDB!$F$1</f>
        <v>Fat
(Cal)</v>
      </c>
      <c r="H652" s="69" t="str">
        <f>FoodDB!$G$1</f>
        <v>Carb
(Cal)</v>
      </c>
      <c r="I652" s="69" t="str">
        <f>FoodDB!$H$1</f>
        <v>Protein
(Cal)</v>
      </c>
      <c r="J652" s="69" t="str">
        <f>FoodDB!$I$1</f>
        <v>Total
Calories</v>
      </c>
      <c r="K652" s="69"/>
      <c r="L652" s="69" t="s">
        <v>82</v>
      </c>
      <c r="M652" s="69" t="s">
        <v>83</v>
      </c>
      <c r="N652" s="69" t="s">
        <v>84</v>
      </c>
      <c r="O652" s="69" t="s">
        <v>85</v>
      </c>
      <c r="P652" s="69" t="s">
        <v>86</v>
      </c>
      <c r="Q652" s="69" t="s">
        <v>87</v>
      </c>
      <c r="R652" s="69" t="s">
        <v>88</v>
      </c>
      <c r="S652" s="69" t="s">
        <v>89</v>
      </c>
    </row>
    <row r="653" spans="1:19" x14ac:dyDescent="0.25">
      <c r="A653" s="70">
        <f>A641+1</f>
        <v>43085</v>
      </c>
      <c r="B653" s="71" t="s">
        <v>95</v>
      </c>
      <c r="C653" s="72">
        <v>1</v>
      </c>
      <c r="D653" s="73">
        <f>$C653*VLOOKUP($B653,FoodDB!$A$2:$I$1024,3,0)</f>
        <v>0</v>
      </c>
      <c r="E653" s="73">
        <f>$C653*VLOOKUP($B653,FoodDB!$A$2:$I$1024,4,0)</f>
        <v>0</v>
      </c>
      <c r="F653" s="73">
        <f>$C653*VLOOKUP($B653,FoodDB!$A$2:$I$1024,5,0)</f>
        <v>0</v>
      </c>
      <c r="G653" s="73">
        <f>$C653*VLOOKUP($B653,FoodDB!$A$2:$I$1024,6,0)</f>
        <v>0</v>
      </c>
      <c r="H653" s="73">
        <f>$C653*VLOOKUP($B653,FoodDB!$A$2:$I$1024,7,0)</f>
        <v>0</v>
      </c>
      <c r="I653" s="73">
        <f>$C653*VLOOKUP($B653,FoodDB!$A$2:$I$1024,8,0)</f>
        <v>0</v>
      </c>
      <c r="J653" s="73">
        <f>$C653*VLOOKUP($B653,FoodDB!$A$2:$I$1024,9,0)</f>
        <v>0</v>
      </c>
      <c r="K653" s="73"/>
      <c r="L653" s="73">
        <f>SUM(G653:G659)</f>
        <v>0</v>
      </c>
      <c r="M653" s="73">
        <f>SUM(H653:H659)</f>
        <v>0</v>
      </c>
      <c r="N653" s="73">
        <f>SUM(I653:I659)</f>
        <v>0</v>
      </c>
      <c r="O653" s="73">
        <f>SUM(L653:N653)</f>
        <v>0</v>
      </c>
      <c r="P653" s="73">
        <f>VLOOKUP($A653,LossChart!$A$3:$AB$73,14,0)-L653</f>
        <v>739.43189107887406</v>
      </c>
      <c r="Q653" s="73">
        <f>VLOOKUP($A653,LossChart!$A$3:$AB$73,15,0)-M653</f>
        <v>80</v>
      </c>
      <c r="R653" s="73">
        <f>VLOOKUP($A653,LossChart!$A$3:$AB$73,16,0)-N653</f>
        <v>463.76562996293683</v>
      </c>
      <c r="S653" s="73">
        <f>VLOOKUP($A653,LossChart!$A$3:$AB$73,17,0)-O653</f>
        <v>1283.1975210418109</v>
      </c>
    </row>
    <row r="654" spans="1:19" x14ac:dyDescent="0.25">
      <c r="B654" s="71" t="s">
        <v>95</v>
      </c>
      <c r="C654" s="72">
        <v>1</v>
      </c>
      <c r="D654" s="73">
        <f>$C654*VLOOKUP($B654,FoodDB!$A$2:$I$1024,3,0)</f>
        <v>0</v>
      </c>
      <c r="E654" s="73">
        <f>$C654*VLOOKUP($B654,FoodDB!$A$2:$I$1024,4,0)</f>
        <v>0</v>
      </c>
      <c r="F654" s="73">
        <f>$C654*VLOOKUP($B654,FoodDB!$A$2:$I$1024,5,0)</f>
        <v>0</v>
      </c>
      <c r="G654" s="73">
        <f>$C654*VLOOKUP($B654,FoodDB!$A$2:$I$1024,6,0)</f>
        <v>0</v>
      </c>
      <c r="H654" s="73">
        <f>$C654*VLOOKUP($B654,FoodDB!$A$2:$I$1024,7,0)</f>
        <v>0</v>
      </c>
      <c r="I654" s="73">
        <f>$C654*VLOOKUP($B654,FoodDB!$A$2:$I$1024,8,0)</f>
        <v>0</v>
      </c>
      <c r="J654" s="73">
        <f>$C654*VLOOKUP($B654,FoodDB!$A$2:$I$1024,9,0)</f>
        <v>0</v>
      </c>
      <c r="K654" s="73"/>
      <c r="L654" s="73"/>
      <c r="M654" s="73"/>
      <c r="N654" s="73"/>
      <c r="O654" s="73"/>
      <c r="P654" s="73"/>
      <c r="Q654" s="73"/>
      <c r="R654" s="73"/>
      <c r="S654" s="73"/>
    </row>
    <row r="655" spans="1:19" x14ac:dyDescent="0.25">
      <c r="B655" s="71" t="s">
        <v>95</v>
      </c>
      <c r="C655" s="72">
        <v>1</v>
      </c>
      <c r="D655" s="73">
        <f>$C655*VLOOKUP($B655,FoodDB!$A$2:$I$1024,3,0)</f>
        <v>0</v>
      </c>
      <c r="E655" s="73">
        <f>$C655*VLOOKUP($B655,FoodDB!$A$2:$I$1024,4,0)</f>
        <v>0</v>
      </c>
      <c r="F655" s="73">
        <f>$C655*VLOOKUP($B655,FoodDB!$A$2:$I$1024,5,0)</f>
        <v>0</v>
      </c>
      <c r="G655" s="73">
        <f>$C655*VLOOKUP($B655,FoodDB!$A$2:$I$1024,6,0)</f>
        <v>0</v>
      </c>
      <c r="H655" s="73">
        <f>$C655*VLOOKUP($B655,FoodDB!$A$2:$I$1024,7,0)</f>
        <v>0</v>
      </c>
      <c r="I655" s="73">
        <f>$C655*VLOOKUP($B655,FoodDB!$A$2:$I$1024,8,0)</f>
        <v>0</v>
      </c>
      <c r="J655" s="73">
        <f>$C655*VLOOKUP($B655,FoodDB!$A$2:$I$1024,9,0)</f>
        <v>0</v>
      </c>
      <c r="K655" s="73"/>
      <c r="L655" s="73"/>
      <c r="M655" s="73"/>
      <c r="N655" s="73"/>
      <c r="O655" s="73"/>
      <c r="P655" s="73"/>
      <c r="Q655" s="73"/>
      <c r="R655" s="73"/>
      <c r="S655" s="73"/>
    </row>
    <row r="656" spans="1:19" x14ac:dyDescent="0.25">
      <c r="B656" s="71" t="s">
        <v>95</v>
      </c>
      <c r="C656" s="72">
        <v>1</v>
      </c>
      <c r="D656" s="73">
        <f>$C656*VLOOKUP($B656,FoodDB!$A$2:$I$1024,3,0)</f>
        <v>0</v>
      </c>
      <c r="E656" s="73">
        <f>$C656*VLOOKUP($B656,FoodDB!$A$2:$I$1024,4,0)</f>
        <v>0</v>
      </c>
      <c r="F656" s="73">
        <f>$C656*VLOOKUP($B656,FoodDB!$A$2:$I$1024,5,0)</f>
        <v>0</v>
      </c>
      <c r="G656" s="73">
        <f>$C656*VLOOKUP($B656,FoodDB!$A$2:$I$1024,6,0)</f>
        <v>0</v>
      </c>
      <c r="H656" s="73">
        <f>$C656*VLOOKUP($B656,FoodDB!$A$2:$I$1024,7,0)</f>
        <v>0</v>
      </c>
      <c r="I656" s="73">
        <f>$C656*VLOOKUP($B656,FoodDB!$A$2:$I$1024,8,0)</f>
        <v>0</v>
      </c>
      <c r="J656" s="73">
        <f>$C656*VLOOKUP($B656,FoodDB!$A$2:$I$1024,9,0)</f>
        <v>0</v>
      </c>
      <c r="K656" s="73"/>
      <c r="L656" s="73"/>
      <c r="M656" s="73"/>
      <c r="N656" s="73"/>
      <c r="O656" s="73"/>
      <c r="P656" s="73"/>
      <c r="Q656" s="73"/>
      <c r="R656" s="73"/>
      <c r="S656" s="73"/>
    </row>
    <row r="657" spans="1:19" x14ac:dyDescent="0.25">
      <c r="B657" s="71" t="s">
        <v>95</v>
      </c>
      <c r="C657" s="72">
        <v>1</v>
      </c>
      <c r="D657" s="73">
        <f>$C657*VLOOKUP($B657,FoodDB!$A$2:$I$1024,3,0)</f>
        <v>0</v>
      </c>
      <c r="E657" s="73">
        <f>$C657*VLOOKUP($B657,FoodDB!$A$2:$I$1024,4,0)</f>
        <v>0</v>
      </c>
      <c r="F657" s="73">
        <f>$C657*VLOOKUP($B657,FoodDB!$A$2:$I$1024,5,0)</f>
        <v>0</v>
      </c>
      <c r="G657" s="73">
        <f>$C657*VLOOKUP($B657,FoodDB!$A$2:$I$1024,6,0)</f>
        <v>0</v>
      </c>
      <c r="H657" s="73">
        <f>$C657*VLOOKUP($B657,FoodDB!$A$2:$I$1024,7,0)</f>
        <v>0</v>
      </c>
      <c r="I657" s="73">
        <f>$C657*VLOOKUP($B657,FoodDB!$A$2:$I$1024,8,0)</f>
        <v>0</v>
      </c>
      <c r="J657" s="73">
        <f>$C657*VLOOKUP($B657,FoodDB!$A$2:$I$1024,9,0)</f>
        <v>0</v>
      </c>
      <c r="K657" s="73"/>
      <c r="L657" s="73"/>
      <c r="M657" s="73"/>
      <c r="N657" s="73"/>
      <c r="O657" s="73"/>
      <c r="P657" s="73"/>
      <c r="Q657" s="73"/>
      <c r="R657" s="73"/>
      <c r="S657" s="73"/>
    </row>
    <row r="658" spans="1:19" x14ac:dyDescent="0.25">
      <c r="B658" s="71" t="s">
        <v>95</v>
      </c>
      <c r="C658" s="72">
        <v>1</v>
      </c>
      <c r="D658" s="73">
        <f>$C658*VLOOKUP($B658,FoodDB!$A$2:$I$1024,3,0)</f>
        <v>0</v>
      </c>
      <c r="E658" s="73">
        <f>$C658*VLOOKUP($B658,FoodDB!$A$2:$I$1024,4,0)</f>
        <v>0</v>
      </c>
      <c r="F658" s="73">
        <f>$C658*VLOOKUP($B658,FoodDB!$A$2:$I$1024,5,0)</f>
        <v>0</v>
      </c>
      <c r="G658" s="73">
        <f>$C658*VLOOKUP($B658,FoodDB!$A$2:$I$1024,6,0)</f>
        <v>0</v>
      </c>
      <c r="H658" s="73">
        <f>$C658*VLOOKUP($B658,FoodDB!$A$2:$I$1024,7,0)</f>
        <v>0</v>
      </c>
      <c r="I658" s="73">
        <f>$C658*VLOOKUP($B658,FoodDB!$A$2:$I$1024,8,0)</f>
        <v>0</v>
      </c>
      <c r="J658" s="73">
        <f>$C658*VLOOKUP($B658,FoodDB!$A$2:$I$1024,9,0)</f>
        <v>0</v>
      </c>
      <c r="K658" s="73"/>
      <c r="L658" s="73"/>
      <c r="M658" s="73"/>
      <c r="N658" s="73"/>
      <c r="O658" s="73"/>
      <c r="P658" s="73"/>
      <c r="Q658" s="73"/>
      <c r="R658" s="73"/>
      <c r="S658" s="73"/>
    </row>
    <row r="659" spans="1:19" x14ac:dyDescent="0.25">
      <c r="B659" s="71" t="s">
        <v>95</v>
      </c>
      <c r="C659" s="72">
        <v>1</v>
      </c>
      <c r="D659" s="73">
        <f>$C659*VLOOKUP($B659,FoodDB!$A$2:$I$1024,3,0)</f>
        <v>0</v>
      </c>
      <c r="E659" s="73">
        <f>$C659*VLOOKUP($B659,FoodDB!$A$2:$I$1024,4,0)</f>
        <v>0</v>
      </c>
      <c r="F659" s="73">
        <f>$C659*VLOOKUP($B659,FoodDB!$A$2:$I$1024,5,0)</f>
        <v>0</v>
      </c>
      <c r="G659" s="73">
        <f>$C659*VLOOKUP($B659,FoodDB!$A$2:$I$1024,6,0)</f>
        <v>0</v>
      </c>
      <c r="H659" s="73">
        <f>$C659*VLOOKUP($B659,FoodDB!$A$2:$I$1024,7,0)</f>
        <v>0</v>
      </c>
      <c r="I659" s="73">
        <f>$C659*VLOOKUP($B659,FoodDB!$A$2:$I$1024,8,0)</f>
        <v>0</v>
      </c>
      <c r="J659" s="73">
        <f>$C659*VLOOKUP($B659,FoodDB!$A$2:$I$1024,9,0)</f>
        <v>0</v>
      </c>
      <c r="K659" s="73"/>
      <c r="L659" s="73"/>
      <c r="M659" s="73"/>
      <c r="N659" s="73"/>
      <c r="O659" s="73"/>
      <c r="P659" s="73"/>
      <c r="Q659" s="73"/>
      <c r="R659" s="73"/>
      <c r="S659" s="73"/>
    </row>
    <row r="660" spans="1:19" x14ac:dyDescent="0.25">
      <c r="A660" t="s">
        <v>99</v>
      </c>
      <c r="D660" s="73"/>
      <c r="E660" s="73"/>
      <c r="F660" s="73"/>
      <c r="G660" s="73">
        <f>SUM(G653:G659)</f>
        <v>0</v>
      </c>
      <c r="H660" s="73">
        <f>SUM(H653:H659)</f>
        <v>0</v>
      </c>
      <c r="I660" s="73">
        <f>SUM(I653:I659)</f>
        <v>0</v>
      </c>
      <c r="J660" s="73">
        <f>SUM(G660:I660)</f>
        <v>0</v>
      </c>
      <c r="K660" s="73"/>
      <c r="L660" s="73"/>
      <c r="M660" s="73"/>
      <c r="N660" s="73"/>
      <c r="O660" s="73"/>
      <c r="P660" s="73"/>
      <c r="Q660" s="73"/>
      <c r="R660" s="73"/>
      <c r="S660" s="73"/>
    </row>
    <row r="661" spans="1:19" x14ac:dyDescent="0.25">
      <c r="A661" t="s">
        <v>100</v>
      </c>
      <c r="B661" t="s">
        <v>101</v>
      </c>
      <c r="D661" s="73"/>
      <c r="E661" s="73"/>
      <c r="F661" s="73"/>
      <c r="G661" s="73">
        <f>VLOOKUP($A653,LossChart!$A$3:$AB$73,14,0)</f>
        <v>739.43189107887406</v>
      </c>
      <c r="H661" s="73">
        <f>VLOOKUP($A653,LossChart!$A$3:$AB$73,15,0)</f>
        <v>80</v>
      </c>
      <c r="I661" s="73">
        <f>VLOOKUP($A653,LossChart!$A$3:$AB$73,16,0)</f>
        <v>463.76562996293683</v>
      </c>
      <c r="J661" s="73">
        <f>VLOOKUP($A653,LossChart!$A$3:$AB$73,17,0)</f>
        <v>1283.1975210418109</v>
      </c>
      <c r="K661" s="73"/>
      <c r="L661" s="73"/>
      <c r="M661" s="73"/>
      <c r="N661" s="73"/>
      <c r="O661" s="73"/>
      <c r="P661" s="73"/>
      <c r="Q661" s="73"/>
      <c r="R661" s="73"/>
      <c r="S661" s="73"/>
    </row>
    <row r="662" spans="1:19" x14ac:dyDescent="0.25">
      <c r="A662" t="s">
        <v>102</v>
      </c>
      <c r="D662" s="73"/>
      <c r="E662" s="73"/>
      <c r="F662" s="73"/>
      <c r="G662" s="73">
        <f>G661-G660</f>
        <v>739.43189107887406</v>
      </c>
      <c r="H662" s="73">
        <f>H661-H660</f>
        <v>80</v>
      </c>
      <c r="I662" s="73">
        <f>I661-I660</f>
        <v>463.76562996293683</v>
      </c>
      <c r="J662" s="73">
        <f>J661-J660</f>
        <v>1283.1975210418109</v>
      </c>
      <c r="K662" s="73"/>
      <c r="L662" s="73"/>
      <c r="M662" s="73"/>
      <c r="N662" s="73"/>
      <c r="O662" s="73"/>
      <c r="P662" s="73"/>
      <c r="Q662" s="73"/>
      <c r="R662" s="73"/>
      <c r="S662" s="73"/>
    </row>
    <row r="664" spans="1:19" ht="60" x14ac:dyDescent="0.25">
      <c r="A664" s="25" t="s">
        <v>63</v>
      </c>
      <c r="B664" s="25" t="s">
        <v>80</v>
      </c>
      <c r="C664" s="25" t="s">
        <v>81</v>
      </c>
      <c r="D664" s="69" t="str">
        <f>FoodDB!$C$1</f>
        <v>Fat
(g)</v>
      </c>
      <c r="E664" s="69" t="str">
        <f>FoodDB!$D$1</f>
        <v xml:space="preserve"> Net
Carbs
(g)</v>
      </c>
      <c r="F664" s="69" t="str">
        <f>FoodDB!$E$1</f>
        <v>Protein
(g)</v>
      </c>
      <c r="G664" s="69" t="str">
        <f>FoodDB!$F$1</f>
        <v>Fat
(Cal)</v>
      </c>
      <c r="H664" s="69" t="str">
        <f>FoodDB!$G$1</f>
        <v>Carb
(Cal)</v>
      </c>
      <c r="I664" s="69" t="str">
        <f>FoodDB!$H$1</f>
        <v>Protein
(Cal)</v>
      </c>
      <c r="J664" s="69" t="str">
        <f>FoodDB!$I$1</f>
        <v>Total
Calories</v>
      </c>
      <c r="K664" s="69"/>
      <c r="L664" s="69" t="s">
        <v>82</v>
      </c>
      <c r="M664" s="69" t="s">
        <v>83</v>
      </c>
      <c r="N664" s="69" t="s">
        <v>84</v>
      </c>
      <c r="O664" s="69" t="s">
        <v>85</v>
      </c>
      <c r="P664" s="69" t="s">
        <v>86</v>
      </c>
      <c r="Q664" s="69" t="s">
        <v>87</v>
      </c>
      <c r="R664" s="69" t="s">
        <v>88</v>
      </c>
      <c r="S664" s="69" t="s">
        <v>89</v>
      </c>
    </row>
    <row r="665" spans="1:19" x14ac:dyDescent="0.25">
      <c r="A665" s="70">
        <f>A653+1</f>
        <v>43086</v>
      </c>
      <c r="B665" s="71" t="s">
        <v>95</v>
      </c>
      <c r="C665" s="72">
        <v>1</v>
      </c>
      <c r="D665" s="73">
        <f>$C665*VLOOKUP($B665,FoodDB!$A$2:$I$1024,3,0)</f>
        <v>0</v>
      </c>
      <c r="E665" s="73">
        <f>$C665*VLOOKUP($B665,FoodDB!$A$2:$I$1024,4,0)</f>
        <v>0</v>
      </c>
      <c r="F665" s="73">
        <f>$C665*VLOOKUP($B665,FoodDB!$A$2:$I$1024,5,0)</f>
        <v>0</v>
      </c>
      <c r="G665" s="73">
        <f>$C665*VLOOKUP($B665,FoodDB!$A$2:$I$1024,6,0)</f>
        <v>0</v>
      </c>
      <c r="H665" s="73">
        <f>$C665*VLOOKUP($B665,FoodDB!$A$2:$I$1024,7,0)</f>
        <v>0</v>
      </c>
      <c r="I665" s="73">
        <f>$C665*VLOOKUP($B665,FoodDB!$A$2:$I$1024,8,0)</f>
        <v>0</v>
      </c>
      <c r="J665" s="73">
        <f>$C665*VLOOKUP($B665,FoodDB!$A$2:$I$1024,9,0)</f>
        <v>0</v>
      </c>
      <c r="K665" s="73"/>
      <c r="L665" s="73">
        <f>SUM(G665:G671)</f>
        <v>0</v>
      </c>
      <c r="M665" s="73">
        <f>SUM(H665:H671)</f>
        <v>0</v>
      </c>
      <c r="N665" s="73">
        <f>SUM(I665:I671)</f>
        <v>0</v>
      </c>
      <c r="O665" s="73">
        <f>SUM(L665:N665)</f>
        <v>0</v>
      </c>
      <c r="P665" s="73">
        <f>VLOOKUP($A665,LossChart!$A$3:$AB$73,14,0)-L665</f>
        <v>744.29641693569033</v>
      </c>
      <c r="Q665" s="73">
        <f>VLOOKUP($A665,LossChart!$A$3:$AB$73,15,0)-M665</f>
        <v>80</v>
      </c>
      <c r="R665" s="73">
        <f>VLOOKUP($A665,LossChart!$A$3:$AB$73,16,0)-N665</f>
        <v>463.76562996293683</v>
      </c>
      <c r="S665" s="73">
        <f>VLOOKUP($A665,LossChart!$A$3:$AB$73,17,0)-O665</f>
        <v>1288.0620468986272</v>
      </c>
    </row>
    <row r="666" spans="1:19" x14ac:dyDescent="0.25">
      <c r="B666" s="71" t="s">
        <v>95</v>
      </c>
      <c r="C666" s="72">
        <v>1</v>
      </c>
      <c r="D666" s="73">
        <f>$C666*VLOOKUP($B666,FoodDB!$A$2:$I$1024,3,0)</f>
        <v>0</v>
      </c>
      <c r="E666" s="73">
        <f>$C666*VLOOKUP($B666,FoodDB!$A$2:$I$1024,4,0)</f>
        <v>0</v>
      </c>
      <c r="F666" s="73">
        <f>$C666*VLOOKUP($B666,FoodDB!$A$2:$I$1024,5,0)</f>
        <v>0</v>
      </c>
      <c r="G666" s="73">
        <f>$C666*VLOOKUP($B666,FoodDB!$A$2:$I$1024,6,0)</f>
        <v>0</v>
      </c>
      <c r="H666" s="73">
        <f>$C666*VLOOKUP($B666,FoodDB!$A$2:$I$1024,7,0)</f>
        <v>0</v>
      </c>
      <c r="I666" s="73">
        <f>$C666*VLOOKUP($B666,FoodDB!$A$2:$I$1024,8,0)</f>
        <v>0</v>
      </c>
      <c r="J666" s="73">
        <f>$C666*VLOOKUP($B666,FoodDB!$A$2:$I$1024,9,0)</f>
        <v>0</v>
      </c>
      <c r="K666" s="73"/>
      <c r="L666" s="73"/>
      <c r="M666" s="73"/>
      <c r="N666" s="73"/>
      <c r="O666" s="73"/>
      <c r="P666" s="73"/>
      <c r="Q666" s="73"/>
      <c r="R666" s="73"/>
      <c r="S666" s="73"/>
    </row>
    <row r="667" spans="1:19" x14ac:dyDescent="0.25">
      <c r="B667" s="71" t="s">
        <v>95</v>
      </c>
      <c r="C667" s="72">
        <v>1</v>
      </c>
      <c r="D667" s="73">
        <f>$C667*VLOOKUP($B667,FoodDB!$A$2:$I$1024,3,0)</f>
        <v>0</v>
      </c>
      <c r="E667" s="73">
        <f>$C667*VLOOKUP($B667,FoodDB!$A$2:$I$1024,4,0)</f>
        <v>0</v>
      </c>
      <c r="F667" s="73">
        <f>$C667*VLOOKUP($B667,FoodDB!$A$2:$I$1024,5,0)</f>
        <v>0</v>
      </c>
      <c r="G667" s="73">
        <f>$C667*VLOOKUP($B667,FoodDB!$A$2:$I$1024,6,0)</f>
        <v>0</v>
      </c>
      <c r="H667" s="73">
        <f>$C667*VLOOKUP($B667,FoodDB!$A$2:$I$1024,7,0)</f>
        <v>0</v>
      </c>
      <c r="I667" s="73">
        <f>$C667*VLOOKUP($B667,FoodDB!$A$2:$I$1024,8,0)</f>
        <v>0</v>
      </c>
      <c r="J667" s="73">
        <f>$C667*VLOOKUP($B667,FoodDB!$A$2:$I$1024,9,0)</f>
        <v>0</v>
      </c>
      <c r="K667" s="73"/>
      <c r="L667" s="73"/>
      <c r="M667" s="73"/>
      <c r="N667" s="73"/>
      <c r="O667" s="73"/>
      <c r="P667" s="73"/>
      <c r="Q667" s="73"/>
      <c r="R667" s="73"/>
      <c r="S667" s="73"/>
    </row>
    <row r="668" spans="1:19" x14ac:dyDescent="0.25">
      <c r="B668" s="71" t="s">
        <v>95</v>
      </c>
      <c r="C668" s="72">
        <v>1</v>
      </c>
      <c r="D668" s="73">
        <f>$C668*VLOOKUP($B668,FoodDB!$A$2:$I$1024,3,0)</f>
        <v>0</v>
      </c>
      <c r="E668" s="73">
        <f>$C668*VLOOKUP($B668,FoodDB!$A$2:$I$1024,4,0)</f>
        <v>0</v>
      </c>
      <c r="F668" s="73">
        <f>$C668*VLOOKUP($B668,FoodDB!$A$2:$I$1024,5,0)</f>
        <v>0</v>
      </c>
      <c r="G668" s="73">
        <f>$C668*VLOOKUP($B668,FoodDB!$A$2:$I$1024,6,0)</f>
        <v>0</v>
      </c>
      <c r="H668" s="73">
        <f>$C668*VLOOKUP($B668,FoodDB!$A$2:$I$1024,7,0)</f>
        <v>0</v>
      </c>
      <c r="I668" s="73">
        <f>$C668*VLOOKUP($B668,FoodDB!$A$2:$I$1024,8,0)</f>
        <v>0</v>
      </c>
      <c r="J668" s="73">
        <f>$C668*VLOOKUP($B668,FoodDB!$A$2:$I$1024,9,0)</f>
        <v>0</v>
      </c>
      <c r="K668" s="73"/>
      <c r="L668" s="73"/>
      <c r="M668" s="73"/>
      <c r="N668" s="73"/>
      <c r="O668" s="73"/>
      <c r="P668" s="73"/>
      <c r="Q668" s="73"/>
      <c r="R668" s="73"/>
      <c r="S668" s="73"/>
    </row>
    <row r="669" spans="1:19" x14ac:dyDescent="0.25">
      <c r="B669" s="71" t="s">
        <v>95</v>
      </c>
      <c r="C669" s="72">
        <v>1</v>
      </c>
      <c r="D669" s="73">
        <f>$C669*VLOOKUP($B669,FoodDB!$A$2:$I$1024,3,0)</f>
        <v>0</v>
      </c>
      <c r="E669" s="73">
        <f>$C669*VLOOKUP($B669,FoodDB!$A$2:$I$1024,4,0)</f>
        <v>0</v>
      </c>
      <c r="F669" s="73">
        <f>$C669*VLOOKUP($B669,FoodDB!$A$2:$I$1024,5,0)</f>
        <v>0</v>
      </c>
      <c r="G669" s="73">
        <f>$C669*VLOOKUP($B669,FoodDB!$A$2:$I$1024,6,0)</f>
        <v>0</v>
      </c>
      <c r="H669" s="73">
        <f>$C669*VLOOKUP($B669,FoodDB!$A$2:$I$1024,7,0)</f>
        <v>0</v>
      </c>
      <c r="I669" s="73">
        <f>$C669*VLOOKUP($B669,FoodDB!$A$2:$I$1024,8,0)</f>
        <v>0</v>
      </c>
      <c r="J669" s="73">
        <f>$C669*VLOOKUP($B669,FoodDB!$A$2:$I$1024,9,0)</f>
        <v>0</v>
      </c>
      <c r="K669" s="73"/>
      <c r="L669" s="73"/>
      <c r="M669" s="73"/>
      <c r="N669" s="73"/>
      <c r="O669" s="73"/>
      <c r="P669" s="73"/>
      <c r="Q669" s="73"/>
      <c r="R669" s="73"/>
      <c r="S669" s="73"/>
    </row>
    <row r="670" spans="1:19" x14ac:dyDescent="0.25">
      <c r="B670" s="71" t="s">
        <v>95</v>
      </c>
      <c r="C670" s="72">
        <v>1</v>
      </c>
      <c r="D670" s="73">
        <f>$C670*VLOOKUP($B670,FoodDB!$A$2:$I$1024,3,0)</f>
        <v>0</v>
      </c>
      <c r="E670" s="73">
        <f>$C670*VLOOKUP($B670,FoodDB!$A$2:$I$1024,4,0)</f>
        <v>0</v>
      </c>
      <c r="F670" s="73">
        <f>$C670*VLOOKUP($B670,FoodDB!$A$2:$I$1024,5,0)</f>
        <v>0</v>
      </c>
      <c r="G670" s="73">
        <f>$C670*VLOOKUP($B670,FoodDB!$A$2:$I$1024,6,0)</f>
        <v>0</v>
      </c>
      <c r="H670" s="73">
        <f>$C670*VLOOKUP($B670,FoodDB!$A$2:$I$1024,7,0)</f>
        <v>0</v>
      </c>
      <c r="I670" s="73">
        <f>$C670*VLOOKUP($B670,FoodDB!$A$2:$I$1024,8,0)</f>
        <v>0</v>
      </c>
      <c r="J670" s="73">
        <f>$C670*VLOOKUP($B670,FoodDB!$A$2:$I$1024,9,0)</f>
        <v>0</v>
      </c>
      <c r="K670" s="73"/>
      <c r="L670" s="73"/>
      <c r="M670" s="73"/>
      <c r="N670" s="73"/>
      <c r="O670" s="73"/>
      <c r="P670" s="73"/>
      <c r="Q670" s="73"/>
      <c r="R670" s="73"/>
      <c r="S670" s="73"/>
    </row>
    <row r="671" spans="1:19" x14ac:dyDescent="0.25">
      <c r="B671" s="71" t="s">
        <v>95</v>
      </c>
      <c r="C671" s="72">
        <v>1</v>
      </c>
      <c r="D671" s="73">
        <f>$C671*VLOOKUP($B671,FoodDB!$A$2:$I$1024,3,0)</f>
        <v>0</v>
      </c>
      <c r="E671" s="73">
        <f>$C671*VLOOKUP($B671,FoodDB!$A$2:$I$1024,4,0)</f>
        <v>0</v>
      </c>
      <c r="F671" s="73">
        <f>$C671*VLOOKUP($B671,FoodDB!$A$2:$I$1024,5,0)</f>
        <v>0</v>
      </c>
      <c r="G671" s="73">
        <f>$C671*VLOOKUP($B671,FoodDB!$A$2:$I$1024,6,0)</f>
        <v>0</v>
      </c>
      <c r="H671" s="73">
        <f>$C671*VLOOKUP($B671,FoodDB!$A$2:$I$1024,7,0)</f>
        <v>0</v>
      </c>
      <c r="I671" s="73">
        <f>$C671*VLOOKUP($B671,FoodDB!$A$2:$I$1024,8,0)</f>
        <v>0</v>
      </c>
      <c r="J671" s="73">
        <f>$C671*VLOOKUP($B671,FoodDB!$A$2:$I$1024,9,0)</f>
        <v>0</v>
      </c>
      <c r="K671" s="73"/>
      <c r="L671" s="73"/>
      <c r="M671" s="73"/>
      <c r="N671" s="73"/>
      <c r="O671" s="73"/>
      <c r="P671" s="73"/>
      <c r="Q671" s="73"/>
      <c r="R671" s="73"/>
      <c r="S671" s="73"/>
    </row>
    <row r="672" spans="1:19" x14ac:dyDescent="0.25">
      <c r="A672" t="s">
        <v>99</v>
      </c>
      <c r="D672" s="73"/>
      <c r="E672" s="73"/>
      <c r="F672" s="73"/>
      <c r="G672" s="73">
        <f>SUM(G665:G671)</f>
        <v>0</v>
      </c>
      <c r="H672" s="73">
        <f>SUM(H665:H671)</f>
        <v>0</v>
      </c>
      <c r="I672" s="73">
        <f>SUM(I665:I671)</f>
        <v>0</v>
      </c>
      <c r="J672" s="73">
        <f>SUM(G672:I672)</f>
        <v>0</v>
      </c>
      <c r="K672" s="73"/>
      <c r="L672" s="73"/>
      <c r="M672" s="73"/>
      <c r="N672" s="73"/>
      <c r="O672" s="73"/>
      <c r="P672" s="73"/>
      <c r="Q672" s="73"/>
      <c r="R672" s="73"/>
      <c r="S672" s="73"/>
    </row>
    <row r="673" spans="1:19" x14ac:dyDescent="0.25">
      <c r="A673" t="s">
        <v>100</v>
      </c>
      <c r="B673" t="s">
        <v>101</v>
      </c>
      <c r="D673" s="73"/>
      <c r="E673" s="73"/>
      <c r="F673" s="73"/>
      <c r="G673" s="73">
        <f>VLOOKUP($A665,LossChart!$A$3:$AB$73,14,0)</f>
        <v>744.29641693569033</v>
      </c>
      <c r="H673" s="73">
        <f>VLOOKUP($A665,LossChart!$A$3:$AB$73,15,0)</f>
        <v>80</v>
      </c>
      <c r="I673" s="73">
        <f>VLOOKUP($A665,LossChart!$A$3:$AB$73,16,0)</f>
        <v>463.76562996293683</v>
      </c>
      <c r="J673" s="73">
        <f>VLOOKUP($A665,LossChart!$A$3:$AB$73,17,0)</f>
        <v>1288.0620468986272</v>
      </c>
      <c r="K673" s="73"/>
      <c r="L673" s="73"/>
      <c r="M673" s="73"/>
      <c r="N673" s="73"/>
      <c r="O673" s="73"/>
      <c r="P673" s="73"/>
      <c r="Q673" s="73"/>
      <c r="R673" s="73"/>
      <c r="S673" s="73"/>
    </row>
    <row r="674" spans="1:19" x14ac:dyDescent="0.25">
      <c r="A674" t="s">
        <v>102</v>
      </c>
      <c r="D674" s="73"/>
      <c r="E674" s="73"/>
      <c r="F674" s="73"/>
      <c r="G674" s="73">
        <f>G673-G672</f>
        <v>744.29641693569033</v>
      </c>
      <c r="H674" s="73">
        <f>H673-H672</f>
        <v>80</v>
      </c>
      <c r="I674" s="73">
        <f>I673-I672</f>
        <v>463.76562996293683</v>
      </c>
      <c r="J674" s="73">
        <f>J673-J672</f>
        <v>1288.0620468986272</v>
      </c>
      <c r="K674" s="73"/>
      <c r="L674" s="73"/>
      <c r="M674" s="73"/>
      <c r="N674" s="73"/>
      <c r="O674" s="73"/>
      <c r="P674" s="73"/>
      <c r="Q674" s="73"/>
      <c r="R674" s="73"/>
      <c r="S674" s="73"/>
    </row>
    <row r="676" spans="1:19" ht="60" x14ac:dyDescent="0.25">
      <c r="A676" s="25" t="s">
        <v>63</v>
      </c>
      <c r="B676" s="25" t="s">
        <v>80</v>
      </c>
      <c r="C676" s="25" t="s">
        <v>81</v>
      </c>
      <c r="D676" s="69" t="str">
        <f>FoodDB!$C$1</f>
        <v>Fat
(g)</v>
      </c>
      <c r="E676" s="69" t="str">
        <f>FoodDB!$D$1</f>
        <v xml:space="preserve"> Net
Carbs
(g)</v>
      </c>
      <c r="F676" s="69" t="str">
        <f>FoodDB!$E$1</f>
        <v>Protein
(g)</v>
      </c>
      <c r="G676" s="69" t="str">
        <f>FoodDB!$F$1</f>
        <v>Fat
(Cal)</v>
      </c>
      <c r="H676" s="69" t="str">
        <f>FoodDB!$G$1</f>
        <v>Carb
(Cal)</v>
      </c>
      <c r="I676" s="69" t="str">
        <f>FoodDB!$H$1</f>
        <v>Protein
(Cal)</v>
      </c>
      <c r="J676" s="69" t="str">
        <f>FoodDB!$I$1</f>
        <v>Total
Calories</v>
      </c>
      <c r="K676" s="69"/>
      <c r="L676" s="69" t="s">
        <v>82</v>
      </c>
      <c r="M676" s="69" t="s">
        <v>83</v>
      </c>
      <c r="N676" s="69" t="s">
        <v>84</v>
      </c>
      <c r="O676" s="69" t="s">
        <v>85</v>
      </c>
      <c r="P676" s="69" t="s">
        <v>86</v>
      </c>
      <c r="Q676" s="69" t="s">
        <v>87</v>
      </c>
      <c r="R676" s="69" t="s">
        <v>88</v>
      </c>
      <c r="S676" s="69" t="s">
        <v>89</v>
      </c>
    </row>
    <row r="677" spans="1:19" x14ac:dyDescent="0.25">
      <c r="A677" s="70">
        <f>A665+1</f>
        <v>43087</v>
      </c>
      <c r="B677" s="71" t="s">
        <v>95</v>
      </c>
      <c r="C677" s="72">
        <v>1</v>
      </c>
      <c r="D677" s="73">
        <f>$C677*VLOOKUP($B677,FoodDB!$A$2:$I$1024,3,0)</f>
        <v>0</v>
      </c>
      <c r="E677" s="73">
        <f>$C677*VLOOKUP($B677,FoodDB!$A$2:$I$1024,4,0)</f>
        <v>0</v>
      </c>
      <c r="F677" s="73">
        <f>$C677*VLOOKUP($B677,FoodDB!$A$2:$I$1024,5,0)</f>
        <v>0</v>
      </c>
      <c r="G677" s="73">
        <f>$C677*VLOOKUP($B677,FoodDB!$A$2:$I$1024,6,0)</f>
        <v>0</v>
      </c>
      <c r="H677" s="73">
        <f>$C677*VLOOKUP($B677,FoodDB!$A$2:$I$1024,7,0)</f>
        <v>0</v>
      </c>
      <c r="I677" s="73">
        <f>$C677*VLOOKUP($B677,FoodDB!$A$2:$I$1024,8,0)</f>
        <v>0</v>
      </c>
      <c r="J677" s="73">
        <f>$C677*VLOOKUP($B677,FoodDB!$A$2:$I$1024,9,0)</f>
        <v>0</v>
      </c>
      <c r="K677" s="73"/>
      <c r="L677" s="73">
        <f>SUM(G677:G683)</f>
        <v>0</v>
      </c>
      <c r="M677" s="73">
        <f>SUM(H677:H683)</f>
        <v>0</v>
      </c>
      <c r="N677" s="73">
        <f>SUM(I677:I683)</f>
        <v>0</v>
      </c>
      <c r="O677" s="73">
        <f>SUM(L677:N677)</f>
        <v>0</v>
      </c>
      <c r="P677" s="73">
        <f>VLOOKUP($A677,LossChart!$A$3:$AB$73,14,0)-L677</f>
        <v>749.11785699206052</v>
      </c>
      <c r="Q677" s="73">
        <f>VLOOKUP($A677,LossChart!$A$3:$AB$73,15,0)-M677</f>
        <v>80</v>
      </c>
      <c r="R677" s="73">
        <f>VLOOKUP($A677,LossChart!$A$3:$AB$73,16,0)-N677</f>
        <v>463.76562996293683</v>
      </c>
      <c r="S677" s="73">
        <f>VLOOKUP($A677,LossChart!$A$3:$AB$73,17,0)-O677</f>
        <v>1292.8834869549974</v>
      </c>
    </row>
    <row r="678" spans="1:19" x14ac:dyDescent="0.25">
      <c r="B678" s="71" t="s">
        <v>95</v>
      </c>
      <c r="C678" s="72">
        <v>1</v>
      </c>
      <c r="D678" s="73">
        <f>$C678*VLOOKUP($B678,FoodDB!$A$2:$I$1024,3,0)</f>
        <v>0</v>
      </c>
      <c r="E678" s="73">
        <f>$C678*VLOOKUP($B678,FoodDB!$A$2:$I$1024,4,0)</f>
        <v>0</v>
      </c>
      <c r="F678" s="73">
        <f>$C678*VLOOKUP($B678,FoodDB!$A$2:$I$1024,5,0)</f>
        <v>0</v>
      </c>
      <c r="G678" s="73">
        <f>$C678*VLOOKUP($B678,FoodDB!$A$2:$I$1024,6,0)</f>
        <v>0</v>
      </c>
      <c r="H678" s="73">
        <f>$C678*VLOOKUP($B678,FoodDB!$A$2:$I$1024,7,0)</f>
        <v>0</v>
      </c>
      <c r="I678" s="73">
        <f>$C678*VLOOKUP($B678,FoodDB!$A$2:$I$1024,8,0)</f>
        <v>0</v>
      </c>
      <c r="J678" s="73">
        <f>$C678*VLOOKUP($B678,FoodDB!$A$2:$I$1024,9,0)</f>
        <v>0</v>
      </c>
      <c r="K678" s="73"/>
      <c r="L678" s="73"/>
      <c r="M678" s="73"/>
      <c r="N678" s="73"/>
      <c r="O678" s="73"/>
      <c r="P678" s="73"/>
      <c r="Q678" s="73"/>
      <c r="R678" s="73"/>
      <c r="S678" s="73"/>
    </row>
    <row r="679" spans="1:19" x14ac:dyDescent="0.25">
      <c r="B679" s="71" t="s">
        <v>95</v>
      </c>
      <c r="C679" s="72">
        <v>1</v>
      </c>
      <c r="D679" s="73">
        <f>$C679*VLOOKUP($B679,FoodDB!$A$2:$I$1024,3,0)</f>
        <v>0</v>
      </c>
      <c r="E679" s="73">
        <f>$C679*VLOOKUP($B679,FoodDB!$A$2:$I$1024,4,0)</f>
        <v>0</v>
      </c>
      <c r="F679" s="73">
        <f>$C679*VLOOKUP($B679,FoodDB!$A$2:$I$1024,5,0)</f>
        <v>0</v>
      </c>
      <c r="G679" s="73">
        <f>$C679*VLOOKUP($B679,FoodDB!$A$2:$I$1024,6,0)</f>
        <v>0</v>
      </c>
      <c r="H679" s="73">
        <f>$C679*VLOOKUP($B679,FoodDB!$A$2:$I$1024,7,0)</f>
        <v>0</v>
      </c>
      <c r="I679" s="73">
        <f>$C679*VLOOKUP($B679,FoodDB!$A$2:$I$1024,8,0)</f>
        <v>0</v>
      </c>
      <c r="J679" s="73">
        <f>$C679*VLOOKUP($B679,FoodDB!$A$2:$I$1024,9,0)</f>
        <v>0</v>
      </c>
      <c r="K679" s="73"/>
      <c r="L679" s="73"/>
      <c r="M679" s="73"/>
      <c r="N679" s="73"/>
      <c r="O679" s="73"/>
      <c r="P679" s="73"/>
      <c r="Q679" s="73"/>
      <c r="R679" s="73"/>
      <c r="S679" s="73"/>
    </row>
    <row r="680" spans="1:19" x14ac:dyDescent="0.25">
      <c r="B680" s="71" t="s">
        <v>95</v>
      </c>
      <c r="C680" s="72">
        <v>1</v>
      </c>
      <c r="D680" s="73">
        <f>$C680*VLOOKUP($B680,FoodDB!$A$2:$I$1024,3,0)</f>
        <v>0</v>
      </c>
      <c r="E680" s="73">
        <f>$C680*VLOOKUP($B680,FoodDB!$A$2:$I$1024,4,0)</f>
        <v>0</v>
      </c>
      <c r="F680" s="73">
        <f>$C680*VLOOKUP($B680,FoodDB!$A$2:$I$1024,5,0)</f>
        <v>0</v>
      </c>
      <c r="G680" s="73">
        <f>$C680*VLOOKUP($B680,FoodDB!$A$2:$I$1024,6,0)</f>
        <v>0</v>
      </c>
      <c r="H680" s="73">
        <f>$C680*VLOOKUP($B680,FoodDB!$A$2:$I$1024,7,0)</f>
        <v>0</v>
      </c>
      <c r="I680" s="73">
        <f>$C680*VLOOKUP($B680,FoodDB!$A$2:$I$1024,8,0)</f>
        <v>0</v>
      </c>
      <c r="J680" s="73">
        <f>$C680*VLOOKUP($B680,FoodDB!$A$2:$I$1024,9,0)</f>
        <v>0</v>
      </c>
      <c r="K680" s="73"/>
      <c r="L680" s="73"/>
      <c r="M680" s="73"/>
      <c r="N680" s="73"/>
      <c r="O680" s="73"/>
      <c r="P680" s="73"/>
      <c r="Q680" s="73"/>
      <c r="R680" s="73"/>
      <c r="S680" s="73"/>
    </row>
    <row r="681" spans="1:19" x14ac:dyDescent="0.25">
      <c r="B681" s="71" t="s">
        <v>95</v>
      </c>
      <c r="C681" s="72">
        <v>1</v>
      </c>
      <c r="D681" s="73">
        <f>$C681*VLOOKUP($B681,FoodDB!$A$2:$I$1024,3,0)</f>
        <v>0</v>
      </c>
      <c r="E681" s="73">
        <f>$C681*VLOOKUP($B681,FoodDB!$A$2:$I$1024,4,0)</f>
        <v>0</v>
      </c>
      <c r="F681" s="73">
        <f>$C681*VLOOKUP($B681,FoodDB!$A$2:$I$1024,5,0)</f>
        <v>0</v>
      </c>
      <c r="G681" s="73">
        <f>$C681*VLOOKUP($B681,FoodDB!$A$2:$I$1024,6,0)</f>
        <v>0</v>
      </c>
      <c r="H681" s="73">
        <f>$C681*VLOOKUP($B681,FoodDB!$A$2:$I$1024,7,0)</f>
        <v>0</v>
      </c>
      <c r="I681" s="73">
        <f>$C681*VLOOKUP($B681,FoodDB!$A$2:$I$1024,8,0)</f>
        <v>0</v>
      </c>
      <c r="J681" s="73">
        <f>$C681*VLOOKUP($B681,FoodDB!$A$2:$I$1024,9,0)</f>
        <v>0</v>
      </c>
      <c r="K681" s="73"/>
      <c r="L681" s="73"/>
      <c r="M681" s="73"/>
      <c r="N681" s="73"/>
      <c r="O681" s="73"/>
      <c r="P681" s="73"/>
      <c r="Q681" s="73"/>
      <c r="R681" s="73"/>
      <c r="S681" s="73"/>
    </row>
    <row r="682" spans="1:19" x14ac:dyDescent="0.25">
      <c r="B682" s="71" t="s">
        <v>95</v>
      </c>
      <c r="C682" s="72">
        <v>1</v>
      </c>
      <c r="D682" s="73">
        <f>$C682*VLOOKUP($B682,FoodDB!$A$2:$I$1024,3,0)</f>
        <v>0</v>
      </c>
      <c r="E682" s="73">
        <f>$C682*VLOOKUP($B682,FoodDB!$A$2:$I$1024,4,0)</f>
        <v>0</v>
      </c>
      <c r="F682" s="73">
        <f>$C682*VLOOKUP($B682,FoodDB!$A$2:$I$1024,5,0)</f>
        <v>0</v>
      </c>
      <c r="G682" s="73">
        <f>$C682*VLOOKUP($B682,FoodDB!$A$2:$I$1024,6,0)</f>
        <v>0</v>
      </c>
      <c r="H682" s="73">
        <f>$C682*VLOOKUP($B682,FoodDB!$A$2:$I$1024,7,0)</f>
        <v>0</v>
      </c>
      <c r="I682" s="73">
        <f>$C682*VLOOKUP($B682,FoodDB!$A$2:$I$1024,8,0)</f>
        <v>0</v>
      </c>
      <c r="J682" s="73">
        <f>$C682*VLOOKUP($B682,FoodDB!$A$2:$I$1024,9,0)</f>
        <v>0</v>
      </c>
      <c r="K682" s="73"/>
      <c r="L682" s="73"/>
      <c r="M682" s="73"/>
      <c r="N682" s="73"/>
      <c r="O682" s="73"/>
      <c r="P682" s="73"/>
      <c r="Q682" s="73"/>
      <c r="R682" s="73"/>
      <c r="S682" s="73"/>
    </row>
    <row r="683" spans="1:19" x14ac:dyDescent="0.25">
      <c r="B683" s="71" t="s">
        <v>95</v>
      </c>
      <c r="C683" s="72">
        <v>1</v>
      </c>
      <c r="D683" s="73">
        <f>$C683*VLOOKUP($B683,FoodDB!$A$2:$I$1024,3,0)</f>
        <v>0</v>
      </c>
      <c r="E683" s="73">
        <f>$C683*VLOOKUP($B683,FoodDB!$A$2:$I$1024,4,0)</f>
        <v>0</v>
      </c>
      <c r="F683" s="73">
        <f>$C683*VLOOKUP($B683,FoodDB!$A$2:$I$1024,5,0)</f>
        <v>0</v>
      </c>
      <c r="G683" s="73">
        <f>$C683*VLOOKUP($B683,FoodDB!$A$2:$I$1024,6,0)</f>
        <v>0</v>
      </c>
      <c r="H683" s="73">
        <f>$C683*VLOOKUP($B683,FoodDB!$A$2:$I$1024,7,0)</f>
        <v>0</v>
      </c>
      <c r="I683" s="73">
        <f>$C683*VLOOKUP($B683,FoodDB!$A$2:$I$1024,8,0)</f>
        <v>0</v>
      </c>
      <c r="J683" s="73">
        <f>$C683*VLOOKUP($B683,FoodDB!$A$2:$I$1024,9,0)</f>
        <v>0</v>
      </c>
      <c r="K683" s="73"/>
      <c r="L683" s="73"/>
      <c r="M683" s="73"/>
      <c r="N683" s="73"/>
      <c r="O683" s="73"/>
      <c r="P683" s="73"/>
      <c r="Q683" s="73"/>
      <c r="R683" s="73"/>
      <c r="S683" s="73"/>
    </row>
    <row r="684" spans="1:19" x14ac:dyDescent="0.25">
      <c r="A684" t="s">
        <v>99</v>
      </c>
      <c r="D684" s="73"/>
      <c r="E684" s="73"/>
      <c r="F684" s="73"/>
      <c r="G684" s="73">
        <f>SUM(G677:G683)</f>
        <v>0</v>
      </c>
      <c r="H684" s="73">
        <f>SUM(H677:H683)</f>
        <v>0</v>
      </c>
      <c r="I684" s="73">
        <f>SUM(I677:I683)</f>
        <v>0</v>
      </c>
      <c r="J684" s="73">
        <f>SUM(G684:I684)</f>
        <v>0</v>
      </c>
      <c r="K684" s="73"/>
      <c r="L684" s="73"/>
      <c r="M684" s="73"/>
      <c r="N684" s="73"/>
      <c r="O684" s="73"/>
      <c r="P684" s="73"/>
      <c r="Q684" s="73"/>
      <c r="R684" s="73"/>
      <c r="S684" s="73"/>
    </row>
    <row r="685" spans="1:19" x14ac:dyDescent="0.25">
      <c r="A685" t="s">
        <v>100</v>
      </c>
      <c r="B685" t="s">
        <v>101</v>
      </c>
      <c r="D685" s="73"/>
      <c r="E685" s="73"/>
      <c r="F685" s="73"/>
      <c r="G685" s="73">
        <f>VLOOKUP($A677,LossChart!$A$3:$AB$73,14,0)</f>
        <v>749.11785699206052</v>
      </c>
      <c r="H685" s="73">
        <f>VLOOKUP($A677,LossChart!$A$3:$AB$73,15,0)</f>
        <v>80</v>
      </c>
      <c r="I685" s="73">
        <f>VLOOKUP($A677,LossChart!$A$3:$AB$73,16,0)</f>
        <v>463.76562996293683</v>
      </c>
      <c r="J685" s="73">
        <f>VLOOKUP($A677,LossChart!$A$3:$AB$73,17,0)</f>
        <v>1292.8834869549974</v>
      </c>
      <c r="K685" s="73"/>
      <c r="L685" s="73"/>
      <c r="M685" s="73"/>
      <c r="N685" s="73"/>
      <c r="O685" s="73"/>
      <c r="P685" s="73"/>
      <c r="Q685" s="73"/>
      <c r="R685" s="73"/>
      <c r="S685" s="73"/>
    </row>
    <row r="686" spans="1:19" x14ac:dyDescent="0.25">
      <c r="A686" t="s">
        <v>102</v>
      </c>
      <c r="D686" s="73"/>
      <c r="E686" s="73"/>
      <c r="F686" s="73"/>
      <c r="G686" s="73">
        <f>G685-G684</f>
        <v>749.11785699206052</v>
      </c>
      <c r="H686" s="73">
        <f>H685-H684</f>
        <v>80</v>
      </c>
      <c r="I686" s="73">
        <f>I685-I684</f>
        <v>463.76562996293683</v>
      </c>
      <c r="J686" s="73">
        <f>J685-J684</f>
        <v>1292.8834869549974</v>
      </c>
      <c r="K686" s="73"/>
      <c r="L686" s="73"/>
      <c r="M686" s="73"/>
      <c r="N686" s="73"/>
      <c r="O686" s="73"/>
      <c r="P686" s="73"/>
      <c r="Q686" s="73"/>
      <c r="R686" s="73"/>
      <c r="S686" s="73"/>
    </row>
    <row r="688" spans="1:19" ht="60" x14ac:dyDescent="0.25">
      <c r="A688" s="25" t="s">
        <v>63</v>
      </c>
      <c r="B688" s="25" t="s">
        <v>80</v>
      </c>
      <c r="C688" s="25" t="s">
        <v>81</v>
      </c>
      <c r="D688" s="69" t="str">
        <f>FoodDB!$C$1</f>
        <v>Fat
(g)</v>
      </c>
      <c r="E688" s="69" t="str">
        <f>FoodDB!$D$1</f>
        <v xml:space="preserve"> Net
Carbs
(g)</v>
      </c>
      <c r="F688" s="69" t="str">
        <f>FoodDB!$E$1</f>
        <v>Protein
(g)</v>
      </c>
      <c r="G688" s="69" t="str">
        <f>FoodDB!$F$1</f>
        <v>Fat
(Cal)</v>
      </c>
      <c r="H688" s="69" t="str">
        <f>FoodDB!$G$1</f>
        <v>Carb
(Cal)</v>
      </c>
      <c r="I688" s="69" t="str">
        <f>FoodDB!$H$1</f>
        <v>Protein
(Cal)</v>
      </c>
      <c r="J688" s="69" t="str">
        <f>FoodDB!$I$1</f>
        <v>Total
Calories</v>
      </c>
      <c r="K688" s="69"/>
      <c r="L688" s="69" t="s">
        <v>82</v>
      </c>
      <c r="M688" s="69" t="s">
        <v>83</v>
      </c>
      <c r="N688" s="69" t="s">
        <v>84</v>
      </c>
      <c r="O688" s="69" t="s">
        <v>85</v>
      </c>
      <c r="P688" s="69" t="s">
        <v>86</v>
      </c>
      <c r="Q688" s="69" t="s">
        <v>87</v>
      </c>
      <c r="R688" s="69" t="s">
        <v>88</v>
      </c>
      <c r="S688" s="69" t="s">
        <v>89</v>
      </c>
    </row>
    <row r="689" spans="1:19" x14ac:dyDescent="0.25">
      <c r="A689" s="70">
        <f>A677+1</f>
        <v>43088</v>
      </c>
      <c r="B689" s="71" t="s">
        <v>95</v>
      </c>
      <c r="C689" s="72">
        <v>1</v>
      </c>
      <c r="D689" s="73">
        <f>$C689*VLOOKUP($B689,FoodDB!$A$2:$I$1024,3,0)</f>
        <v>0</v>
      </c>
      <c r="E689" s="73">
        <f>$C689*VLOOKUP($B689,FoodDB!$A$2:$I$1024,4,0)</f>
        <v>0</v>
      </c>
      <c r="F689" s="73">
        <f>$C689*VLOOKUP($B689,FoodDB!$A$2:$I$1024,5,0)</f>
        <v>0</v>
      </c>
      <c r="G689" s="73">
        <f>$C689*VLOOKUP($B689,FoodDB!$A$2:$I$1024,6,0)</f>
        <v>0</v>
      </c>
      <c r="H689" s="73">
        <f>$C689*VLOOKUP($B689,FoodDB!$A$2:$I$1024,7,0)</f>
        <v>0</v>
      </c>
      <c r="I689" s="73">
        <f>$C689*VLOOKUP($B689,FoodDB!$A$2:$I$1024,8,0)</f>
        <v>0</v>
      </c>
      <c r="J689" s="73">
        <f>$C689*VLOOKUP($B689,FoodDB!$A$2:$I$1024,9,0)</f>
        <v>0</v>
      </c>
      <c r="K689" s="73"/>
      <c r="L689" s="73">
        <f>SUM(G689:G695)</f>
        <v>0</v>
      </c>
      <c r="M689" s="73">
        <f>SUM(H689:H695)</f>
        <v>0</v>
      </c>
      <c r="N689" s="73">
        <f>SUM(I689:I695)</f>
        <v>0</v>
      </c>
      <c r="O689" s="73">
        <f>SUM(L689:N689)</f>
        <v>0</v>
      </c>
      <c r="P689" s="73">
        <f>VLOOKUP($A689,LossChart!$A$3:$AB$73,14,0)-L689</f>
        <v>753.8965928650739</v>
      </c>
      <c r="Q689" s="73">
        <f>VLOOKUP($A689,LossChart!$A$3:$AB$73,15,0)-M689</f>
        <v>80</v>
      </c>
      <c r="R689" s="73">
        <f>VLOOKUP($A689,LossChart!$A$3:$AB$73,16,0)-N689</f>
        <v>463.76562996293683</v>
      </c>
      <c r="S689" s="73">
        <f>VLOOKUP($A689,LossChart!$A$3:$AB$73,17,0)-O689</f>
        <v>1297.6622228280107</v>
      </c>
    </row>
    <row r="690" spans="1:19" x14ac:dyDescent="0.25">
      <c r="B690" s="71" t="s">
        <v>95</v>
      </c>
      <c r="C690" s="72">
        <v>1</v>
      </c>
      <c r="D690" s="73">
        <f>$C690*VLOOKUP($B690,FoodDB!$A$2:$I$1024,3,0)</f>
        <v>0</v>
      </c>
      <c r="E690" s="73">
        <f>$C690*VLOOKUP($B690,FoodDB!$A$2:$I$1024,4,0)</f>
        <v>0</v>
      </c>
      <c r="F690" s="73">
        <f>$C690*VLOOKUP($B690,FoodDB!$A$2:$I$1024,5,0)</f>
        <v>0</v>
      </c>
      <c r="G690" s="73">
        <f>$C690*VLOOKUP($B690,FoodDB!$A$2:$I$1024,6,0)</f>
        <v>0</v>
      </c>
      <c r="H690" s="73">
        <f>$C690*VLOOKUP($B690,FoodDB!$A$2:$I$1024,7,0)</f>
        <v>0</v>
      </c>
      <c r="I690" s="73">
        <f>$C690*VLOOKUP($B690,FoodDB!$A$2:$I$1024,8,0)</f>
        <v>0</v>
      </c>
      <c r="J690" s="73">
        <f>$C690*VLOOKUP($B690,FoodDB!$A$2:$I$1024,9,0)</f>
        <v>0</v>
      </c>
      <c r="K690" s="73"/>
      <c r="L690" s="73"/>
      <c r="M690" s="73"/>
      <c r="N690" s="73"/>
      <c r="O690" s="73"/>
      <c r="P690" s="73"/>
      <c r="Q690" s="73"/>
      <c r="R690" s="73"/>
      <c r="S690" s="73"/>
    </row>
    <row r="691" spans="1:19" x14ac:dyDescent="0.25">
      <c r="B691" s="71" t="s">
        <v>95</v>
      </c>
      <c r="C691" s="72">
        <v>1</v>
      </c>
      <c r="D691" s="73">
        <f>$C691*VLOOKUP($B691,FoodDB!$A$2:$I$1024,3,0)</f>
        <v>0</v>
      </c>
      <c r="E691" s="73">
        <f>$C691*VLOOKUP($B691,FoodDB!$A$2:$I$1024,4,0)</f>
        <v>0</v>
      </c>
      <c r="F691" s="73">
        <f>$C691*VLOOKUP($B691,FoodDB!$A$2:$I$1024,5,0)</f>
        <v>0</v>
      </c>
      <c r="G691" s="73">
        <f>$C691*VLOOKUP($B691,FoodDB!$A$2:$I$1024,6,0)</f>
        <v>0</v>
      </c>
      <c r="H691" s="73">
        <f>$C691*VLOOKUP($B691,FoodDB!$A$2:$I$1024,7,0)</f>
        <v>0</v>
      </c>
      <c r="I691" s="73">
        <f>$C691*VLOOKUP($B691,FoodDB!$A$2:$I$1024,8,0)</f>
        <v>0</v>
      </c>
      <c r="J691" s="73">
        <f>$C691*VLOOKUP($B691,FoodDB!$A$2:$I$1024,9,0)</f>
        <v>0</v>
      </c>
      <c r="K691" s="73"/>
      <c r="L691" s="73"/>
      <c r="M691" s="73"/>
      <c r="N691" s="73"/>
      <c r="O691" s="73"/>
      <c r="P691" s="73"/>
      <c r="Q691" s="73"/>
      <c r="R691" s="73"/>
      <c r="S691" s="73"/>
    </row>
    <row r="692" spans="1:19" x14ac:dyDescent="0.25">
      <c r="B692" s="71" t="s">
        <v>95</v>
      </c>
      <c r="C692" s="72">
        <v>1</v>
      </c>
      <c r="D692" s="73">
        <f>$C692*VLOOKUP($B692,FoodDB!$A$2:$I$1024,3,0)</f>
        <v>0</v>
      </c>
      <c r="E692" s="73">
        <f>$C692*VLOOKUP($B692,FoodDB!$A$2:$I$1024,4,0)</f>
        <v>0</v>
      </c>
      <c r="F692" s="73">
        <f>$C692*VLOOKUP($B692,FoodDB!$A$2:$I$1024,5,0)</f>
        <v>0</v>
      </c>
      <c r="G692" s="73">
        <f>$C692*VLOOKUP($B692,FoodDB!$A$2:$I$1024,6,0)</f>
        <v>0</v>
      </c>
      <c r="H692" s="73">
        <f>$C692*VLOOKUP($B692,FoodDB!$A$2:$I$1024,7,0)</f>
        <v>0</v>
      </c>
      <c r="I692" s="73">
        <f>$C692*VLOOKUP($B692,FoodDB!$A$2:$I$1024,8,0)</f>
        <v>0</v>
      </c>
      <c r="J692" s="73">
        <f>$C692*VLOOKUP($B692,FoodDB!$A$2:$I$1024,9,0)</f>
        <v>0</v>
      </c>
      <c r="K692" s="73"/>
      <c r="L692" s="73"/>
      <c r="M692" s="73"/>
      <c r="N692" s="73"/>
      <c r="O692" s="73"/>
      <c r="P692" s="73"/>
      <c r="Q692" s="73"/>
      <c r="R692" s="73"/>
      <c r="S692" s="73"/>
    </row>
    <row r="693" spans="1:19" x14ac:dyDescent="0.25">
      <c r="B693" s="71" t="s">
        <v>95</v>
      </c>
      <c r="C693" s="72">
        <v>1</v>
      </c>
      <c r="D693" s="73">
        <f>$C693*VLOOKUP($B693,FoodDB!$A$2:$I$1024,3,0)</f>
        <v>0</v>
      </c>
      <c r="E693" s="73">
        <f>$C693*VLOOKUP($B693,FoodDB!$A$2:$I$1024,4,0)</f>
        <v>0</v>
      </c>
      <c r="F693" s="73">
        <f>$C693*VLOOKUP($B693,FoodDB!$A$2:$I$1024,5,0)</f>
        <v>0</v>
      </c>
      <c r="G693" s="73">
        <f>$C693*VLOOKUP($B693,FoodDB!$A$2:$I$1024,6,0)</f>
        <v>0</v>
      </c>
      <c r="H693" s="73">
        <f>$C693*VLOOKUP($B693,FoodDB!$A$2:$I$1024,7,0)</f>
        <v>0</v>
      </c>
      <c r="I693" s="73">
        <f>$C693*VLOOKUP($B693,FoodDB!$A$2:$I$1024,8,0)</f>
        <v>0</v>
      </c>
      <c r="J693" s="73">
        <f>$C693*VLOOKUP($B693,FoodDB!$A$2:$I$1024,9,0)</f>
        <v>0</v>
      </c>
      <c r="K693" s="73"/>
      <c r="L693" s="73"/>
      <c r="M693" s="73"/>
      <c r="N693" s="73"/>
      <c r="O693" s="73"/>
      <c r="P693" s="73"/>
      <c r="Q693" s="73"/>
      <c r="R693" s="73"/>
      <c r="S693" s="73"/>
    </row>
    <row r="694" spans="1:19" x14ac:dyDescent="0.25">
      <c r="B694" s="71" t="s">
        <v>95</v>
      </c>
      <c r="C694" s="72">
        <v>1</v>
      </c>
      <c r="D694" s="73">
        <f>$C694*VLOOKUP($B694,FoodDB!$A$2:$I$1024,3,0)</f>
        <v>0</v>
      </c>
      <c r="E694" s="73">
        <f>$C694*VLOOKUP($B694,FoodDB!$A$2:$I$1024,4,0)</f>
        <v>0</v>
      </c>
      <c r="F694" s="73">
        <f>$C694*VLOOKUP($B694,FoodDB!$A$2:$I$1024,5,0)</f>
        <v>0</v>
      </c>
      <c r="G694" s="73">
        <f>$C694*VLOOKUP($B694,FoodDB!$A$2:$I$1024,6,0)</f>
        <v>0</v>
      </c>
      <c r="H694" s="73">
        <f>$C694*VLOOKUP($B694,FoodDB!$A$2:$I$1024,7,0)</f>
        <v>0</v>
      </c>
      <c r="I694" s="73">
        <f>$C694*VLOOKUP($B694,FoodDB!$A$2:$I$1024,8,0)</f>
        <v>0</v>
      </c>
      <c r="J694" s="73">
        <f>$C694*VLOOKUP($B694,FoodDB!$A$2:$I$1024,9,0)</f>
        <v>0</v>
      </c>
      <c r="K694" s="73"/>
      <c r="L694" s="73"/>
      <c r="M694" s="73"/>
      <c r="N694" s="73"/>
      <c r="O694" s="73"/>
      <c r="P694" s="73"/>
      <c r="Q694" s="73"/>
      <c r="R694" s="73"/>
      <c r="S694" s="73"/>
    </row>
    <row r="695" spans="1:19" x14ac:dyDescent="0.25">
      <c r="B695" s="71" t="s">
        <v>95</v>
      </c>
      <c r="C695" s="72">
        <v>1</v>
      </c>
      <c r="D695" s="73">
        <f>$C695*VLOOKUP($B695,FoodDB!$A$2:$I$1024,3,0)</f>
        <v>0</v>
      </c>
      <c r="E695" s="73">
        <f>$C695*VLOOKUP($B695,FoodDB!$A$2:$I$1024,4,0)</f>
        <v>0</v>
      </c>
      <c r="F695" s="73">
        <f>$C695*VLOOKUP($B695,FoodDB!$A$2:$I$1024,5,0)</f>
        <v>0</v>
      </c>
      <c r="G695" s="73">
        <f>$C695*VLOOKUP($B695,FoodDB!$A$2:$I$1024,6,0)</f>
        <v>0</v>
      </c>
      <c r="H695" s="73">
        <f>$C695*VLOOKUP($B695,FoodDB!$A$2:$I$1024,7,0)</f>
        <v>0</v>
      </c>
      <c r="I695" s="73">
        <f>$C695*VLOOKUP($B695,FoodDB!$A$2:$I$1024,8,0)</f>
        <v>0</v>
      </c>
      <c r="J695" s="73">
        <f>$C695*VLOOKUP($B695,FoodDB!$A$2:$I$1024,9,0)</f>
        <v>0</v>
      </c>
      <c r="K695" s="73"/>
      <c r="L695" s="73"/>
      <c r="M695" s="73"/>
      <c r="N695" s="73"/>
      <c r="O695" s="73"/>
      <c r="P695" s="73"/>
      <c r="Q695" s="73"/>
      <c r="R695" s="73"/>
      <c r="S695" s="73"/>
    </row>
    <row r="696" spans="1:19" x14ac:dyDescent="0.25">
      <c r="A696" t="s">
        <v>99</v>
      </c>
      <c r="D696" s="73"/>
      <c r="E696" s="73"/>
      <c r="F696" s="73"/>
      <c r="G696" s="73">
        <f>SUM(G689:G695)</f>
        <v>0</v>
      </c>
      <c r="H696" s="73">
        <f>SUM(H689:H695)</f>
        <v>0</v>
      </c>
      <c r="I696" s="73">
        <f>SUM(I689:I695)</f>
        <v>0</v>
      </c>
      <c r="J696" s="73">
        <f>SUM(G696:I696)</f>
        <v>0</v>
      </c>
      <c r="K696" s="73"/>
      <c r="L696" s="73"/>
      <c r="M696" s="73"/>
      <c r="N696" s="73"/>
      <c r="O696" s="73"/>
      <c r="P696" s="73"/>
      <c r="Q696" s="73"/>
      <c r="R696" s="73"/>
      <c r="S696" s="73"/>
    </row>
    <row r="697" spans="1:19" x14ac:dyDescent="0.25">
      <c r="A697" t="s">
        <v>100</v>
      </c>
      <c r="B697" t="s">
        <v>101</v>
      </c>
      <c r="D697" s="73"/>
      <c r="E697" s="73"/>
      <c r="F697" s="73"/>
      <c r="G697" s="73">
        <f>VLOOKUP($A689,LossChart!$A$3:$AB$73,14,0)</f>
        <v>753.8965928650739</v>
      </c>
      <c r="H697" s="73">
        <f>VLOOKUP($A689,LossChart!$A$3:$AB$73,15,0)</f>
        <v>80</v>
      </c>
      <c r="I697" s="73">
        <f>VLOOKUP($A689,LossChart!$A$3:$AB$73,16,0)</f>
        <v>463.76562996293683</v>
      </c>
      <c r="J697" s="73">
        <f>VLOOKUP($A689,LossChart!$A$3:$AB$73,17,0)</f>
        <v>1297.6622228280107</v>
      </c>
      <c r="K697" s="73"/>
      <c r="L697" s="73"/>
      <c r="M697" s="73"/>
      <c r="N697" s="73"/>
      <c r="O697" s="73"/>
      <c r="P697" s="73"/>
      <c r="Q697" s="73"/>
      <c r="R697" s="73"/>
      <c r="S697" s="73"/>
    </row>
    <row r="698" spans="1:19" x14ac:dyDescent="0.25">
      <c r="A698" t="s">
        <v>102</v>
      </c>
      <c r="D698" s="73"/>
      <c r="E698" s="73"/>
      <c r="F698" s="73"/>
      <c r="G698" s="73">
        <f>G697-G696</f>
        <v>753.8965928650739</v>
      </c>
      <c r="H698" s="73">
        <f>H697-H696</f>
        <v>80</v>
      </c>
      <c r="I698" s="73">
        <f>I697-I696</f>
        <v>463.76562996293683</v>
      </c>
      <c r="J698" s="73">
        <f>J697-J696</f>
        <v>1297.6622228280107</v>
      </c>
      <c r="K698" s="73"/>
      <c r="L698" s="73"/>
      <c r="M698" s="73"/>
      <c r="N698" s="73"/>
      <c r="O698" s="73"/>
      <c r="P698" s="73"/>
      <c r="Q698" s="73"/>
      <c r="R698" s="73"/>
      <c r="S698" s="73"/>
    </row>
    <row r="700" spans="1:19" ht="60" x14ac:dyDescent="0.25">
      <c r="A700" s="25" t="s">
        <v>63</v>
      </c>
      <c r="B700" s="25" t="s">
        <v>80</v>
      </c>
      <c r="C700" s="25" t="s">
        <v>81</v>
      </c>
      <c r="D700" s="69" t="str">
        <f>FoodDB!$C$1</f>
        <v>Fat
(g)</v>
      </c>
      <c r="E700" s="69" t="str">
        <f>FoodDB!$D$1</f>
        <v xml:space="preserve"> Net
Carbs
(g)</v>
      </c>
      <c r="F700" s="69" t="str">
        <f>FoodDB!$E$1</f>
        <v>Protein
(g)</v>
      </c>
      <c r="G700" s="69" t="str">
        <f>FoodDB!$F$1</f>
        <v>Fat
(Cal)</v>
      </c>
      <c r="H700" s="69" t="str">
        <f>FoodDB!$G$1</f>
        <v>Carb
(Cal)</v>
      </c>
      <c r="I700" s="69" t="str">
        <f>FoodDB!$H$1</f>
        <v>Protein
(Cal)</v>
      </c>
      <c r="J700" s="69" t="str">
        <f>FoodDB!$I$1</f>
        <v>Total
Calories</v>
      </c>
      <c r="K700" s="69"/>
      <c r="L700" s="69" t="s">
        <v>82</v>
      </c>
      <c r="M700" s="69" t="s">
        <v>83</v>
      </c>
      <c r="N700" s="69" t="s">
        <v>84</v>
      </c>
      <c r="O700" s="69" t="s">
        <v>85</v>
      </c>
      <c r="P700" s="69" t="s">
        <v>86</v>
      </c>
      <c r="Q700" s="69" t="s">
        <v>87</v>
      </c>
      <c r="R700" s="69" t="s">
        <v>88</v>
      </c>
      <c r="S700" s="69" t="s">
        <v>89</v>
      </c>
    </row>
    <row r="701" spans="1:19" x14ac:dyDescent="0.25">
      <c r="A701" s="70">
        <f>A689+1</f>
        <v>43089</v>
      </c>
      <c r="B701" s="71" t="s">
        <v>95</v>
      </c>
      <c r="C701" s="72">
        <v>1</v>
      </c>
      <c r="D701" s="73">
        <f>$C701*VLOOKUP($B701,FoodDB!$A$2:$I$1024,3,0)</f>
        <v>0</v>
      </c>
      <c r="E701" s="73">
        <f>$C701*VLOOKUP($B701,FoodDB!$A$2:$I$1024,4,0)</f>
        <v>0</v>
      </c>
      <c r="F701" s="73">
        <f>$C701*VLOOKUP($B701,FoodDB!$A$2:$I$1024,5,0)</f>
        <v>0</v>
      </c>
      <c r="G701" s="73">
        <f>$C701*VLOOKUP($B701,FoodDB!$A$2:$I$1024,6,0)</f>
        <v>0</v>
      </c>
      <c r="H701" s="73">
        <f>$C701*VLOOKUP($B701,FoodDB!$A$2:$I$1024,7,0)</f>
        <v>0</v>
      </c>
      <c r="I701" s="73">
        <f>$C701*VLOOKUP($B701,FoodDB!$A$2:$I$1024,8,0)</f>
        <v>0</v>
      </c>
      <c r="J701" s="73">
        <f>$C701*VLOOKUP($B701,FoodDB!$A$2:$I$1024,9,0)</f>
        <v>0</v>
      </c>
      <c r="K701" s="73"/>
      <c r="L701" s="73">
        <f>SUM(G701:G707)</f>
        <v>0</v>
      </c>
      <c r="M701" s="73">
        <f>SUM(H701:H707)</f>
        <v>0</v>
      </c>
      <c r="N701" s="73">
        <f>SUM(I701:I707)</f>
        <v>0</v>
      </c>
      <c r="O701" s="73">
        <f>SUM(L701:N701)</f>
        <v>0</v>
      </c>
      <c r="P701" s="73">
        <f>VLOOKUP($A701,LossChart!$A$3:$AB$73,14,0)-L701</f>
        <v>758.63300279178361</v>
      </c>
      <c r="Q701" s="73">
        <f>VLOOKUP($A701,LossChart!$A$3:$AB$73,15,0)-M701</f>
        <v>80</v>
      </c>
      <c r="R701" s="73">
        <f>VLOOKUP($A701,LossChart!$A$3:$AB$73,16,0)-N701</f>
        <v>463.76562996293683</v>
      </c>
      <c r="S701" s="73">
        <f>VLOOKUP($A701,LossChart!$A$3:$AB$73,17,0)-O701</f>
        <v>1302.3986327547204</v>
      </c>
    </row>
    <row r="702" spans="1:19" x14ac:dyDescent="0.25">
      <c r="B702" s="71" t="s">
        <v>95</v>
      </c>
      <c r="C702" s="72">
        <v>1</v>
      </c>
      <c r="D702" s="73">
        <f>$C702*VLOOKUP($B702,FoodDB!$A$2:$I$1024,3,0)</f>
        <v>0</v>
      </c>
      <c r="E702" s="73">
        <f>$C702*VLOOKUP($B702,FoodDB!$A$2:$I$1024,4,0)</f>
        <v>0</v>
      </c>
      <c r="F702" s="73">
        <f>$C702*VLOOKUP($B702,FoodDB!$A$2:$I$1024,5,0)</f>
        <v>0</v>
      </c>
      <c r="G702" s="73">
        <f>$C702*VLOOKUP($B702,FoodDB!$A$2:$I$1024,6,0)</f>
        <v>0</v>
      </c>
      <c r="H702" s="73">
        <f>$C702*VLOOKUP($B702,FoodDB!$A$2:$I$1024,7,0)</f>
        <v>0</v>
      </c>
      <c r="I702" s="73">
        <f>$C702*VLOOKUP($B702,FoodDB!$A$2:$I$1024,8,0)</f>
        <v>0</v>
      </c>
      <c r="J702" s="73">
        <f>$C702*VLOOKUP($B702,FoodDB!$A$2:$I$1024,9,0)</f>
        <v>0</v>
      </c>
      <c r="K702" s="73"/>
      <c r="L702" s="73"/>
      <c r="M702" s="73"/>
      <c r="N702" s="73"/>
      <c r="O702" s="73"/>
      <c r="P702" s="73"/>
      <c r="Q702" s="73"/>
      <c r="R702" s="73"/>
      <c r="S702" s="73"/>
    </row>
    <row r="703" spans="1:19" x14ac:dyDescent="0.25">
      <c r="B703" s="71" t="s">
        <v>95</v>
      </c>
      <c r="C703" s="72">
        <v>1</v>
      </c>
      <c r="D703" s="73">
        <f>$C703*VLOOKUP($B703,FoodDB!$A$2:$I$1024,3,0)</f>
        <v>0</v>
      </c>
      <c r="E703" s="73">
        <f>$C703*VLOOKUP($B703,FoodDB!$A$2:$I$1024,4,0)</f>
        <v>0</v>
      </c>
      <c r="F703" s="73">
        <f>$C703*VLOOKUP($B703,FoodDB!$A$2:$I$1024,5,0)</f>
        <v>0</v>
      </c>
      <c r="G703" s="73">
        <f>$C703*VLOOKUP($B703,FoodDB!$A$2:$I$1024,6,0)</f>
        <v>0</v>
      </c>
      <c r="H703" s="73">
        <f>$C703*VLOOKUP($B703,FoodDB!$A$2:$I$1024,7,0)</f>
        <v>0</v>
      </c>
      <c r="I703" s="73">
        <f>$C703*VLOOKUP($B703,FoodDB!$A$2:$I$1024,8,0)</f>
        <v>0</v>
      </c>
      <c r="J703" s="73">
        <f>$C703*VLOOKUP($B703,FoodDB!$A$2:$I$1024,9,0)</f>
        <v>0</v>
      </c>
      <c r="K703" s="73"/>
      <c r="L703" s="73"/>
      <c r="M703" s="73"/>
      <c r="N703" s="73"/>
      <c r="O703" s="73"/>
      <c r="P703" s="73"/>
      <c r="Q703" s="73"/>
      <c r="R703" s="73"/>
      <c r="S703" s="73"/>
    </row>
    <row r="704" spans="1:19" x14ac:dyDescent="0.25">
      <c r="B704" s="71" t="s">
        <v>95</v>
      </c>
      <c r="C704" s="72">
        <v>1</v>
      </c>
      <c r="D704" s="73">
        <f>$C704*VLOOKUP($B704,FoodDB!$A$2:$I$1024,3,0)</f>
        <v>0</v>
      </c>
      <c r="E704" s="73">
        <f>$C704*VLOOKUP($B704,FoodDB!$A$2:$I$1024,4,0)</f>
        <v>0</v>
      </c>
      <c r="F704" s="73">
        <f>$C704*VLOOKUP($B704,FoodDB!$A$2:$I$1024,5,0)</f>
        <v>0</v>
      </c>
      <c r="G704" s="73">
        <f>$C704*VLOOKUP($B704,FoodDB!$A$2:$I$1024,6,0)</f>
        <v>0</v>
      </c>
      <c r="H704" s="73">
        <f>$C704*VLOOKUP($B704,FoodDB!$A$2:$I$1024,7,0)</f>
        <v>0</v>
      </c>
      <c r="I704" s="73">
        <f>$C704*VLOOKUP($B704,FoodDB!$A$2:$I$1024,8,0)</f>
        <v>0</v>
      </c>
      <c r="J704" s="73">
        <f>$C704*VLOOKUP($B704,FoodDB!$A$2:$I$1024,9,0)</f>
        <v>0</v>
      </c>
      <c r="K704" s="73"/>
      <c r="L704" s="73"/>
      <c r="M704" s="73"/>
      <c r="N704" s="73"/>
      <c r="O704" s="73"/>
      <c r="P704" s="73"/>
      <c r="Q704" s="73"/>
      <c r="R704" s="73"/>
      <c r="S704" s="73"/>
    </row>
    <row r="705" spans="1:19" x14ac:dyDescent="0.25">
      <c r="B705" s="71" t="s">
        <v>95</v>
      </c>
      <c r="C705" s="72">
        <v>1</v>
      </c>
      <c r="D705" s="73">
        <f>$C705*VLOOKUP($B705,FoodDB!$A$2:$I$1024,3,0)</f>
        <v>0</v>
      </c>
      <c r="E705" s="73">
        <f>$C705*VLOOKUP($B705,FoodDB!$A$2:$I$1024,4,0)</f>
        <v>0</v>
      </c>
      <c r="F705" s="73">
        <f>$C705*VLOOKUP($B705,FoodDB!$A$2:$I$1024,5,0)</f>
        <v>0</v>
      </c>
      <c r="G705" s="73">
        <f>$C705*VLOOKUP($B705,FoodDB!$A$2:$I$1024,6,0)</f>
        <v>0</v>
      </c>
      <c r="H705" s="73">
        <f>$C705*VLOOKUP($B705,FoodDB!$A$2:$I$1024,7,0)</f>
        <v>0</v>
      </c>
      <c r="I705" s="73">
        <f>$C705*VLOOKUP($B705,FoodDB!$A$2:$I$1024,8,0)</f>
        <v>0</v>
      </c>
      <c r="J705" s="73">
        <f>$C705*VLOOKUP($B705,FoodDB!$A$2:$I$1024,9,0)</f>
        <v>0</v>
      </c>
      <c r="K705" s="73"/>
      <c r="L705" s="73"/>
      <c r="M705" s="73"/>
      <c r="N705" s="73"/>
      <c r="O705" s="73"/>
      <c r="P705" s="73"/>
      <c r="Q705" s="73"/>
      <c r="R705" s="73"/>
      <c r="S705" s="73"/>
    </row>
    <row r="706" spans="1:19" x14ac:dyDescent="0.25">
      <c r="B706" s="71" t="s">
        <v>95</v>
      </c>
      <c r="C706" s="72">
        <v>1</v>
      </c>
      <c r="D706" s="73">
        <f>$C706*VLOOKUP($B706,FoodDB!$A$2:$I$1024,3,0)</f>
        <v>0</v>
      </c>
      <c r="E706" s="73">
        <f>$C706*VLOOKUP($B706,FoodDB!$A$2:$I$1024,4,0)</f>
        <v>0</v>
      </c>
      <c r="F706" s="73">
        <f>$C706*VLOOKUP($B706,FoodDB!$A$2:$I$1024,5,0)</f>
        <v>0</v>
      </c>
      <c r="G706" s="73">
        <f>$C706*VLOOKUP($B706,FoodDB!$A$2:$I$1024,6,0)</f>
        <v>0</v>
      </c>
      <c r="H706" s="73">
        <f>$C706*VLOOKUP($B706,FoodDB!$A$2:$I$1024,7,0)</f>
        <v>0</v>
      </c>
      <c r="I706" s="73">
        <f>$C706*VLOOKUP($B706,FoodDB!$A$2:$I$1024,8,0)</f>
        <v>0</v>
      </c>
      <c r="J706" s="73">
        <f>$C706*VLOOKUP($B706,FoodDB!$A$2:$I$1024,9,0)</f>
        <v>0</v>
      </c>
      <c r="K706" s="73"/>
      <c r="L706" s="73"/>
      <c r="M706" s="73"/>
      <c r="N706" s="73"/>
      <c r="O706" s="73"/>
      <c r="P706" s="73"/>
      <c r="Q706" s="73"/>
      <c r="R706" s="73"/>
      <c r="S706" s="73"/>
    </row>
    <row r="707" spans="1:19" x14ac:dyDescent="0.25">
      <c r="B707" s="71" t="s">
        <v>95</v>
      </c>
      <c r="C707" s="72">
        <v>1</v>
      </c>
      <c r="D707" s="73">
        <f>$C707*VLOOKUP($B707,FoodDB!$A$2:$I$1024,3,0)</f>
        <v>0</v>
      </c>
      <c r="E707" s="73">
        <f>$C707*VLOOKUP($B707,FoodDB!$A$2:$I$1024,4,0)</f>
        <v>0</v>
      </c>
      <c r="F707" s="73">
        <f>$C707*VLOOKUP($B707,FoodDB!$A$2:$I$1024,5,0)</f>
        <v>0</v>
      </c>
      <c r="G707" s="73">
        <f>$C707*VLOOKUP($B707,FoodDB!$A$2:$I$1024,6,0)</f>
        <v>0</v>
      </c>
      <c r="H707" s="73">
        <f>$C707*VLOOKUP($B707,FoodDB!$A$2:$I$1024,7,0)</f>
        <v>0</v>
      </c>
      <c r="I707" s="73">
        <f>$C707*VLOOKUP($B707,FoodDB!$A$2:$I$1024,8,0)</f>
        <v>0</v>
      </c>
      <c r="J707" s="73">
        <f>$C707*VLOOKUP($B707,FoodDB!$A$2:$I$1024,9,0)</f>
        <v>0</v>
      </c>
      <c r="K707" s="73"/>
      <c r="L707" s="73"/>
      <c r="M707" s="73"/>
      <c r="N707" s="73"/>
      <c r="O707" s="73"/>
      <c r="P707" s="73"/>
      <c r="Q707" s="73"/>
      <c r="R707" s="73"/>
      <c r="S707" s="73"/>
    </row>
    <row r="708" spans="1:19" x14ac:dyDescent="0.25">
      <c r="A708" t="s">
        <v>99</v>
      </c>
      <c r="D708" s="73"/>
      <c r="E708" s="73"/>
      <c r="F708" s="73"/>
      <c r="G708" s="73">
        <f>SUM(G701:G707)</f>
        <v>0</v>
      </c>
      <c r="H708" s="73">
        <f>SUM(H701:H707)</f>
        <v>0</v>
      </c>
      <c r="I708" s="73">
        <f>SUM(I701:I707)</f>
        <v>0</v>
      </c>
      <c r="J708" s="73">
        <f>SUM(G708:I708)</f>
        <v>0</v>
      </c>
      <c r="K708" s="73"/>
      <c r="L708" s="73"/>
      <c r="M708" s="73"/>
      <c r="N708" s="73"/>
      <c r="O708" s="73"/>
      <c r="P708" s="73"/>
      <c r="Q708" s="73"/>
      <c r="R708" s="73"/>
      <c r="S708" s="73"/>
    </row>
    <row r="709" spans="1:19" x14ac:dyDescent="0.25">
      <c r="A709" t="s">
        <v>100</v>
      </c>
      <c r="B709" t="s">
        <v>101</v>
      </c>
      <c r="D709" s="73"/>
      <c r="E709" s="73"/>
      <c r="F709" s="73"/>
      <c r="G709" s="73">
        <f>VLOOKUP($A701,LossChart!$A$3:$AB$73,14,0)</f>
        <v>758.63300279178361</v>
      </c>
      <c r="H709" s="73">
        <f>VLOOKUP($A701,LossChart!$A$3:$AB$73,15,0)</f>
        <v>80</v>
      </c>
      <c r="I709" s="73">
        <f>VLOOKUP($A701,LossChart!$A$3:$AB$73,16,0)</f>
        <v>463.76562996293683</v>
      </c>
      <c r="J709" s="73">
        <f>VLOOKUP($A701,LossChart!$A$3:$AB$73,17,0)</f>
        <v>1302.3986327547204</v>
      </c>
      <c r="K709" s="73"/>
      <c r="L709" s="73"/>
      <c r="M709" s="73"/>
      <c r="N709" s="73"/>
      <c r="O709" s="73"/>
      <c r="P709" s="73"/>
      <c r="Q709" s="73"/>
      <c r="R709" s="73"/>
      <c r="S709" s="73"/>
    </row>
    <row r="710" spans="1:19" x14ac:dyDescent="0.25">
      <c r="A710" t="s">
        <v>102</v>
      </c>
      <c r="D710" s="73"/>
      <c r="E710" s="73"/>
      <c r="F710" s="73"/>
      <c r="G710" s="73">
        <f>G709-G708</f>
        <v>758.63300279178361</v>
      </c>
      <c r="H710" s="73">
        <f>H709-H708</f>
        <v>80</v>
      </c>
      <c r="I710" s="73">
        <f>I709-I708</f>
        <v>463.76562996293683</v>
      </c>
      <c r="J710" s="73">
        <f>J709-J708</f>
        <v>1302.3986327547204</v>
      </c>
      <c r="K710" s="73"/>
      <c r="L710" s="73"/>
      <c r="M710" s="73"/>
      <c r="N710" s="73"/>
      <c r="O710" s="73"/>
      <c r="P710" s="73"/>
      <c r="Q710" s="73"/>
      <c r="R710" s="73"/>
      <c r="S710" s="73"/>
    </row>
    <row r="712" spans="1:19" ht="60" x14ac:dyDescent="0.25">
      <c r="A712" s="25" t="s">
        <v>63</v>
      </c>
      <c r="B712" s="25" t="s">
        <v>80</v>
      </c>
      <c r="C712" s="25" t="s">
        <v>81</v>
      </c>
      <c r="D712" s="69" t="str">
        <f>FoodDB!$C$1</f>
        <v>Fat
(g)</v>
      </c>
      <c r="E712" s="69" t="str">
        <f>FoodDB!$D$1</f>
        <v xml:space="preserve"> Net
Carbs
(g)</v>
      </c>
      <c r="F712" s="69" t="str">
        <f>FoodDB!$E$1</f>
        <v>Protein
(g)</v>
      </c>
      <c r="G712" s="69" t="str">
        <f>FoodDB!$F$1</f>
        <v>Fat
(Cal)</v>
      </c>
      <c r="H712" s="69" t="str">
        <f>FoodDB!$G$1</f>
        <v>Carb
(Cal)</v>
      </c>
      <c r="I712" s="69" t="str">
        <f>FoodDB!$H$1</f>
        <v>Protein
(Cal)</v>
      </c>
      <c r="J712" s="69" t="str">
        <f>FoodDB!$I$1</f>
        <v>Total
Calories</v>
      </c>
      <c r="K712" s="69"/>
      <c r="L712" s="69" t="s">
        <v>82</v>
      </c>
      <c r="M712" s="69" t="s">
        <v>83</v>
      </c>
      <c r="N712" s="69" t="s">
        <v>84</v>
      </c>
      <c r="O712" s="69" t="s">
        <v>85</v>
      </c>
      <c r="P712" s="69" t="s">
        <v>86</v>
      </c>
      <c r="Q712" s="69" t="s">
        <v>87</v>
      </c>
      <c r="R712" s="69" t="s">
        <v>88</v>
      </c>
      <c r="S712" s="69" t="s">
        <v>89</v>
      </c>
    </row>
    <row r="713" spans="1:19" x14ac:dyDescent="0.25">
      <c r="A713" s="70">
        <f>A701+1</f>
        <v>43090</v>
      </c>
      <c r="B713" s="71" t="s">
        <v>95</v>
      </c>
      <c r="C713" s="72">
        <v>1</v>
      </c>
      <c r="D713" s="73">
        <f>$C713*VLOOKUP($B713,FoodDB!$A$2:$I$1024,3,0)</f>
        <v>0</v>
      </c>
      <c r="E713" s="73">
        <f>$C713*VLOOKUP($B713,FoodDB!$A$2:$I$1024,4,0)</f>
        <v>0</v>
      </c>
      <c r="F713" s="73">
        <f>$C713*VLOOKUP($B713,FoodDB!$A$2:$I$1024,5,0)</f>
        <v>0</v>
      </c>
      <c r="G713" s="73">
        <f>$C713*VLOOKUP($B713,FoodDB!$A$2:$I$1024,6,0)</f>
        <v>0</v>
      </c>
      <c r="H713" s="73">
        <f>$C713*VLOOKUP($B713,FoodDB!$A$2:$I$1024,7,0)</f>
        <v>0</v>
      </c>
      <c r="I713" s="73">
        <f>$C713*VLOOKUP($B713,FoodDB!$A$2:$I$1024,8,0)</f>
        <v>0</v>
      </c>
      <c r="J713" s="73">
        <f>$C713*VLOOKUP($B713,FoodDB!$A$2:$I$1024,9,0)</f>
        <v>0</v>
      </c>
      <c r="K713" s="73"/>
      <c r="L713" s="73">
        <f>SUM(G713:G719)</f>
        <v>0</v>
      </c>
      <c r="M713" s="73">
        <f>SUM(H713:H719)</f>
        <v>0</v>
      </c>
      <c r="N713" s="73">
        <f>SUM(I713:I719)</f>
        <v>0</v>
      </c>
      <c r="O713" s="73">
        <f>SUM(L713:N713)</f>
        <v>0</v>
      </c>
      <c r="P713" s="73">
        <f>VLOOKUP($A713,LossChart!$A$3:$AB$73,14,0)-L713</f>
        <v>763.32746165914227</v>
      </c>
      <c r="Q713" s="73">
        <f>VLOOKUP($A713,LossChart!$A$3:$AB$73,15,0)-M713</f>
        <v>80</v>
      </c>
      <c r="R713" s="73">
        <f>VLOOKUP($A713,LossChart!$A$3:$AB$73,16,0)-N713</f>
        <v>463.76562996293683</v>
      </c>
      <c r="S713" s="73">
        <f>VLOOKUP($A713,LossChart!$A$3:$AB$73,17,0)-O713</f>
        <v>1307.0930916220791</v>
      </c>
    </row>
    <row r="714" spans="1:19" x14ac:dyDescent="0.25">
      <c r="B714" s="71" t="s">
        <v>95</v>
      </c>
      <c r="C714" s="72">
        <v>1</v>
      </c>
      <c r="D714" s="73">
        <f>$C714*VLOOKUP($B714,FoodDB!$A$2:$I$1024,3,0)</f>
        <v>0</v>
      </c>
      <c r="E714" s="73">
        <f>$C714*VLOOKUP($B714,FoodDB!$A$2:$I$1024,4,0)</f>
        <v>0</v>
      </c>
      <c r="F714" s="73">
        <f>$C714*VLOOKUP($B714,FoodDB!$A$2:$I$1024,5,0)</f>
        <v>0</v>
      </c>
      <c r="G714" s="73">
        <f>$C714*VLOOKUP($B714,FoodDB!$A$2:$I$1024,6,0)</f>
        <v>0</v>
      </c>
      <c r="H714" s="73">
        <f>$C714*VLOOKUP($B714,FoodDB!$A$2:$I$1024,7,0)</f>
        <v>0</v>
      </c>
      <c r="I714" s="73">
        <f>$C714*VLOOKUP($B714,FoodDB!$A$2:$I$1024,8,0)</f>
        <v>0</v>
      </c>
      <c r="J714" s="73">
        <f>$C714*VLOOKUP($B714,FoodDB!$A$2:$I$1024,9,0)</f>
        <v>0</v>
      </c>
      <c r="K714" s="73"/>
      <c r="L714" s="73"/>
      <c r="M714" s="73"/>
      <c r="N714" s="73"/>
      <c r="O714" s="73"/>
      <c r="P714" s="73"/>
      <c r="Q714" s="73"/>
      <c r="R714" s="73"/>
      <c r="S714" s="73"/>
    </row>
    <row r="715" spans="1:19" x14ac:dyDescent="0.25">
      <c r="B715" s="71" t="s">
        <v>95</v>
      </c>
      <c r="C715" s="72">
        <v>1</v>
      </c>
      <c r="D715" s="73">
        <f>$C715*VLOOKUP($B715,FoodDB!$A$2:$I$1024,3,0)</f>
        <v>0</v>
      </c>
      <c r="E715" s="73">
        <f>$C715*VLOOKUP($B715,FoodDB!$A$2:$I$1024,4,0)</f>
        <v>0</v>
      </c>
      <c r="F715" s="73">
        <f>$C715*VLOOKUP($B715,FoodDB!$A$2:$I$1024,5,0)</f>
        <v>0</v>
      </c>
      <c r="G715" s="73">
        <f>$C715*VLOOKUP($B715,FoodDB!$A$2:$I$1024,6,0)</f>
        <v>0</v>
      </c>
      <c r="H715" s="73">
        <f>$C715*VLOOKUP($B715,FoodDB!$A$2:$I$1024,7,0)</f>
        <v>0</v>
      </c>
      <c r="I715" s="73">
        <f>$C715*VLOOKUP($B715,FoodDB!$A$2:$I$1024,8,0)</f>
        <v>0</v>
      </c>
      <c r="J715" s="73">
        <f>$C715*VLOOKUP($B715,FoodDB!$A$2:$I$1024,9,0)</f>
        <v>0</v>
      </c>
      <c r="K715" s="73"/>
      <c r="L715" s="73"/>
      <c r="M715" s="73"/>
      <c r="N715" s="73"/>
      <c r="O715" s="73"/>
      <c r="P715" s="73"/>
      <c r="Q715" s="73"/>
      <c r="R715" s="73"/>
      <c r="S715" s="73"/>
    </row>
    <row r="716" spans="1:19" x14ac:dyDescent="0.25">
      <c r="B716" s="71" t="s">
        <v>95</v>
      </c>
      <c r="C716" s="72">
        <v>1</v>
      </c>
      <c r="D716" s="73">
        <f>$C716*VLOOKUP($B716,FoodDB!$A$2:$I$1024,3,0)</f>
        <v>0</v>
      </c>
      <c r="E716" s="73">
        <f>$C716*VLOOKUP($B716,FoodDB!$A$2:$I$1024,4,0)</f>
        <v>0</v>
      </c>
      <c r="F716" s="73">
        <f>$C716*VLOOKUP($B716,FoodDB!$A$2:$I$1024,5,0)</f>
        <v>0</v>
      </c>
      <c r="G716" s="73">
        <f>$C716*VLOOKUP($B716,FoodDB!$A$2:$I$1024,6,0)</f>
        <v>0</v>
      </c>
      <c r="H716" s="73">
        <f>$C716*VLOOKUP($B716,FoodDB!$A$2:$I$1024,7,0)</f>
        <v>0</v>
      </c>
      <c r="I716" s="73">
        <f>$C716*VLOOKUP($B716,FoodDB!$A$2:$I$1024,8,0)</f>
        <v>0</v>
      </c>
      <c r="J716" s="73">
        <f>$C716*VLOOKUP($B716,FoodDB!$A$2:$I$1024,9,0)</f>
        <v>0</v>
      </c>
      <c r="K716" s="73"/>
      <c r="L716" s="73"/>
      <c r="M716" s="73"/>
      <c r="N716" s="73"/>
      <c r="O716" s="73"/>
      <c r="P716" s="73"/>
      <c r="Q716" s="73"/>
      <c r="R716" s="73"/>
      <c r="S716" s="73"/>
    </row>
    <row r="717" spans="1:19" x14ac:dyDescent="0.25">
      <c r="B717" s="71" t="s">
        <v>95</v>
      </c>
      <c r="C717" s="72">
        <v>1</v>
      </c>
      <c r="D717" s="73">
        <f>$C717*VLOOKUP($B717,FoodDB!$A$2:$I$1024,3,0)</f>
        <v>0</v>
      </c>
      <c r="E717" s="73">
        <f>$C717*VLOOKUP($B717,FoodDB!$A$2:$I$1024,4,0)</f>
        <v>0</v>
      </c>
      <c r="F717" s="73">
        <f>$C717*VLOOKUP($B717,FoodDB!$A$2:$I$1024,5,0)</f>
        <v>0</v>
      </c>
      <c r="G717" s="73">
        <f>$C717*VLOOKUP($B717,FoodDB!$A$2:$I$1024,6,0)</f>
        <v>0</v>
      </c>
      <c r="H717" s="73">
        <f>$C717*VLOOKUP($B717,FoodDB!$A$2:$I$1024,7,0)</f>
        <v>0</v>
      </c>
      <c r="I717" s="73">
        <f>$C717*VLOOKUP($B717,FoodDB!$A$2:$I$1024,8,0)</f>
        <v>0</v>
      </c>
      <c r="J717" s="73">
        <f>$C717*VLOOKUP($B717,FoodDB!$A$2:$I$1024,9,0)</f>
        <v>0</v>
      </c>
      <c r="K717" s="73"/>
      <c r="L717" s="73"/>
      <c r="M717" s="73"/>
      <c r="N717" s="73"/>
      <c r="O717" s="73"/>
      <c r="P717" s="73"/>
      <c r="Q717" s="73"/>
      <c r="R717" s="73"/>
      <c r="S717" s="73"/>
    </row>
    <row r="718" spans="1:19" x14ac:dyDescent="0.25">
      <c r="B718" s="71" t="s">
        <v>95</v>
      </c>
      <c r="C718" s="72">
        <v>1</v>
      </c>
      <c r="D718" s="73">
        <f>$C718*VLOOKUP($B718,FoodDB!$A$2:$I$1024,3,0)</f>
        <v>0</v>
      </c>
      <c r="E718" s="73">
        <f>$C718*VLOOKUP($B718,FoodDB!$A$2:$I$1024,4,0)</f>
        <v>0</v>
      </c>
      <c r="F718" s="73">
        <f>$C718*VLOOKUP($B718,FoodDB!$A$2:$I$1024,5,0)</f>
        <v>0</v>
      </c>
      <c r="G718" s="73">
        <f>$C718*VLOOKUP($B718,FoodDB!$A$2:$I$1024,6,0)</f>
        <v>0</v>
      </c>
      <c r="H718" s="73">
        <f>$C718*VLOOKUP($B718,FoodDB!$A$2:$I$1024,7,0)</f>
        <v>0</v>
      </c>
      <c r="I718" s="73">
        <f>$C718*VLOOKUP($B718,FoodDB!$A$2:$I$1024,8,0)</f>
        <v>0</v>
      </c>
      <c r="J718" s="73">
        <f>$C718*VLOOKUP($B718,FoodDB!$A$2:$I$1024,9,0)</f>
        <v>0</v>
      </c>
      <c r="K718" s="73"/>
      <c r="L718" s="73"/>
      <c r="M718" s="73"/>
      <c r="N718" s="73"/>
      <c r="O718" s="73"/>
      <c r="P718" s="73"/>
      <c r="Q718" s="73"/>
      <c r="R718" s="73"/>
      <c r="S718" s="73"/>
    </row>
    <row r="719" spans="1:19" x14ac:dyDescent="0.25">
      <c r="B719" s="71" t="s">
        <v>95</v>
      </c>
      <c r="C719" s="72">
        <v>1</v>
      </c>
      <c r="D719" s="73">
        <f>$C719*VLOOKUP($B719,FoodDB!$A$2:$I$1024,3,0)</f>
        <v>0</v>
      </c>
      <c r="E719" s="73">
        <f>$C719*VLOOKUP($B719,FoodDB!$A$2:$I$1024,4,0)</f>
        <v>0</v>
      </c>
      <c r="F719" s="73">
        <f>$C719*VLOOKUP($B719,FoodDB!$A$2:$I$1024,5,0)</f>
        <v>0</v>
      </c>
      <c r="G719" s="73">
        <f>$C719*VLOOKUP($B719,FoodDB!$A$2:$I$1024,6,0)</f>
        <v>0</v>
      </c>
      <c r="H719" s="73">
        <f>$C719*VLOOKUP($B719,FoodDB!$A$2:$I$1024,7,0)</f>
        <v>0</v>
      </c>
      <c r="I719" s="73">
        <f>$C719*VLOOKUP($B719,FoodDB!$A$2:$I$1024,8,0)</f>
        <v>0</v>
      </c>
      <c r="J719" s="73">
        <f>$C719*VLOOKUP($B719,FoodDB!$A$2:$I$1024,9,0)</f>
        <v>0</v>
      </c>
      <c r="K719" s="73"/>
      <c r="L719" s="73"/>
      <c r="M719" s="73"/>
      <c r="N719" s="73"/>
      <c r="O719" s="73"/>
      <c r="P719" s="73"/>
      <c r="Q719" s="73"/>
      <c r="R719" s="73"/>
      <c r="S719" s="73"/>
    </row>
    <row r="720" spans="1:19" x14ac:dyDescent="0.25">
      <c r="A720" t="s">
        <v>99</v>
      </c>
      <c r="D720" s="73"/>
      <c r="E720" s="73"/>
      <c r="F720" s="73"/>
      <c r="G720" s="73">
        <f>SUM(G713:G719)</f>
        <v>0</v>
      </c>
      <c r="H720" s="73">
        <f>SUM(H713:H719)</f>
        <v>0</v>
      </c>
      <c r="I720" s="73">
        <f>SUM(I713:I719)</f>
        <v>0</v>
      </c>
      <c r="J720" s="73">
        <f>SUM(G720:I720)</f>
        <v>0</v>
      </c>
      <c r="K720" s="73"/>
      <c r="L720" s="73"/>
      <c r="M720" s="73"/>
      <c r="N720" s="73"/>
      <c r="O720" s="73"/>
      <c r="P720" s="73"/>
      <c r="Q720" s="73"/>
      <c r="R720" s="73"/>
      <c r="S720" s="73"/>
    </row>
    <row r="721" spans="1:19" x14ac:dyDescent="0.25">
      <c r="A721" t="s">
        <v>100</v>
      </c>
      <c r="B721" t="s">
        <v>101</v>
      </c>
      <c r="D721" s="73"/>
      <c r="E721" s="73"/>
      <c r="F721" s="73"/>
      <c r="G721" s="73">
        <f>VLOOKUP($A713,LossChart!$A$3:$AB$73,14,0)</f>
        <v>763.32746165914227</v>
      </c>
      <c r="H721" s="73">
        <f>VLOOKUP($A713,LossChart!$A$3:$AB$73,15,0)</f>
        <v>80</v>
      </c>
      <c r="I721" s="73">
        <f>VLOOKUP($A713,LossChart!$A$3:$AB$73,16,0)</f>
        <v>463.76562996293683</v>
      </c>
      <c r="J721" s="73">
        <f>VLOOKUP($A713,LossChart!$A$3:$AB$73,17,0)</f>
        <v>1307.0930916220791</v>
      </c>
      <c r="K721" s="73"/>
      <c r="L721" s="73"/>
      <c r="M721" s="73"/>
      <c r="N721" s="73"/>
      <c r="O721" s="73"/>
      <c r="P721" s="73"/>
      <c r="Q721" s="73"/>
      <c r="R721" s="73"/>
      <c r="S721" s="73"/>
    </row>
    <row r="722" spans="1:19" x14ac:dyDescent="0.25">
      <c r="A722" t="s">
        <v>102</v>
      </c>
      <c r="D722" s="73"/>
      <c r="E722" s="73"/>
      <c r="F722" s="73"/>
      <c r="G722" s="73">
        <f>G721-G720</f>
        <v>763.32746165914227</v>
      </c>
      <c r="H722" s="73">
        <f>H721-H720</f>
        <v>80</v>
      </c>
      <c r="I722" s="73">
        <f>I721-I720</f>
        <v>463.76562996293683</v>
      </c>
      <c r="J722" s="73">
        <f>J721-J720</f>
        <v>1307.0930916220791</v>
      </c>
      <c r="K722" s="73"/>
      <c r="L722" s="73"/>
      <c r="M722" s="73"/>
      <c r="N722" s="73"/>
      <c r="O722" s="73"/>
      <c r="P722" s="73"/>
      <c r="Q722" s="73"/>
      <c r="R722" s="73"/>
      <c r="S722" s="73"/>
    </row>
    <row r="724" spans="1:19" ht="60" x14ac:dyDescent="0.25">
      <c r="A724" s="25" t="s">
        <v>63</v>
      </c>
      <c r="B724" s="25" t="s">
        <v>80</v>
      </c>
      <c r="C724" s="25" t="s">
        <v>81</v>
      </c>
      <c r="D724" s="69" t="str">
        <f>FoodDB!$C$1</f>
        <v>Fat
(g)</v>
      </c>
      <c r="E724" s="69" t="str">
        <f>FoodDB!$D$1</f>
        <v xml:space="preserve"> Net
Carbs
(g)</v>
      </c>
      <c r="F724" s="69" t="str">
        <f>FoodDB!$E$1</f>
        <v>Protein
(g)</v>
      </c>
      <c r="G724" s="69" t="str">
        <f>FoodDB!$F$1</f>
        <v>Fat
(Cal)</v>
      </c>
      <c r="H724" s="69" t="str">
        <f>FoodDB!$G$1</f>
        <v>Carb
(Cal)</v>
      </c>
      <c r="I724" s="69" t="str">
        <f>FoodDB!$H$1</f>
        <v>Protein
(Cal)</v>
      </c>
      <c r="J724" s="69" t="str">
        <f>FoodDB!$I$1</f>
        <v>Total
Calories</v>
      </c>
      <c r="K724" s="69"/>
      <c r="L724" s="69" t="s">
        <v>82</v>
      </c>
      <c r="M724" s="69" t="s">
        <v>83</v>
      </c>
      <c r="N724" s="69" t="s">
        <v>84</v>
      </c>
      <c r="O724" s="69" t="s">
        <v>85</v>
      </c>
      <c r="P724" s="69" t="s">
        <v>86</v>
      </c>
      <c r="Q724" s="69" t="s">
        <v>87</v>
      </c>
      <c r="R724" s="69" t="s">
        <v>88</v>
      </c>
      <c r="S724" s="69" t="s">
        <v>89</v>
      </c>
    </row>
    <row r="725" spans="1:19" x14ac:dyDescent="0.25">
      <c r="A725" s="70">
        <f>A713+1</f>
        <v>43091</v>
      </c>
      <c r="B725" s="71" t="s">
        <v>95</v>
      </c>
      <c r="C725" s="72">
        <v>1</v>
      </c>
      <c r="D725" s="73">
        <f>$C725*VLOOKUP($B725,FoodDB!$A$2:$I$1024,3,0)</f>
        <v>0</v>
      </c>
      <c r="E725" s="73">
        <f>$C725*VLOOKUP($B725,FoodDB!$A$2:$I$1024,4,0)</f>
        <v>0</v>
      </c>
      <c r="F725" s="73">
        <f>$C725*VLOOKUP($B725,FoodDB!$A$2:$I$1024,5,0)</f>
        <v>0</v>
      </c>
      <c r="G725" s="73">
        <f>$C725*VLOOKUP($B725,FoodDB!$A$2:$I$1024,6,0)</f>
        <v>0</v>
      </c>
      <c r="H725" s="73">
        <f>$C725*VLOOKUP($B725,FoodDB!$A$2:$I$1024,7,0)</f>
        <v>0</v>
      </c>
      <c r="I725" s="73">
        <f>$C725*VLOOKUP($B725,FoodDB!$A$2:$I$1024,8,0)</f>
        <v>0</v>
      </c>
      <c r="J725" s="73">
        <f>$C725*VLOOKUP($B725,FoodDB!$A$2:$I$1024,9,0)</f>
        <v>0</v>
      </c>
      <c r="K725" s="73"/>
      <c r="L725" s="73">
        <f>SUM(G725:G731)</f>
        <v>0</v>
      </c>
      <c r="M725" s="73">
        <f>SUM(H725:H731)</f>
        <v>0</v>
      </c>
      <c r="N725" s="73">
        <f>SUM(I725:I731)</f>
        <v>0</v>
      </c>
      <c r="O725" s="73">
        <f>SUM(L725:N725)</f>
        <v>0</v>
      </c>
      <c r="P725" s="73">
        <f>VLOOKUP($A725,LossChart!$A$3:$AB$73,14,0)-L725</f>
        <v>767.98034103367581</v>
      </c>
      <c r="Q725" s="73">
        <f>VLOOKUP($A725,LossChart!$A$3:$AB$73,15,0)-M725</f>
        <v>80</v>
      </c>
      <c r="R725" s="73">
        <f>VLOOKUP($A725,LossChart!$A$3:$AB$73,16,0)-N725</f>
        <v>463.76562996293683</v>
      </c>
      <c r="S725" s="73">
        <f>VLOOKUP($A725,LossChart!$A$3:$AB$73,17,0)-O725</f>
        <v>1311.7459709966126</v>
      </c>
    </row>
    <row r="726" spans="1:19" x14ac:dyDescent="0.25">
      <c r="B726" s="71" t="s">
        <v>95</v>
      </c>
      <c r="C726" s="72">
        <v>1</v>
      </c>
      <c r="D726" s="73">
        <f>$C726*VLOOKUP($B726,FoodDB!$A$2:$I$1024,3,0)</f>
        <v>0</v>
      </c>
      <c r="E726" s="73">
        <f>$C726*VLOOKUP($B726,FoodDB!$A$2:$I$1024,4,0)</f>
        <v>0</v>
      </c>
      <c r="F726" s="73">
        <f>$C726*VLOOKUP($B726,FoodDB!$A$2:$I$1024,5,0)</f>
        <v>0</v>
      </c>
      <c r="G726" s="73">
        <f>$C726*VLOOKUP($B726,FoodDB!$A$2:$I$1024,6,0)</f>
        <v>0</v>
      </c>
      <c r="H726" s="73">
        <f>$C726*VLOOKUP($B726,FoodDB!$A$2:$I$1024,7,0)</f>
        <v>0</v>
      </c>
      <c r="I726" s="73">
        <f>$C726*VLOOKUP($B726,FoodDB!$A$2:$I$1024,8,0)</f>
        <v>0</v>
      </c>
      <c r="J726" s="73">
        <f>$C726*VLOOKUP($B726,FoodDB!$A$2:$I$1024,9,0)</f>
        <v>0</v>
      </c>
      <c r="K726" s="73"/>
      <c r="L726" s="73"/>
      <c r="M726" s="73"/>
      <c r="N726" s="73"/>
      <c r="O726" s="73"/>
      <c r="P726" s="73"/>
      <c r="Q726" s="73"/>
      <c r="R726" s="73"/>
      <c r="S726" s="73"/>
    </row>
    <row r="727" spans="1:19" x14ac:dyDescent="0.25">
      <c r="B727" s="71" t="s">
        <v>95</v>
      </c>
      <c r="C727" s="72">
        <v>1</v>
      </c>
      <c r="D727" s="73">
        <f>$C727*VLOOKUP($B727,FoodDB!$A$2:$I$1024,3,0)</f>
        <v>0</v>
      </c>
      <c r="E727" s="73">
        <f>$C727*VLOOKUP($B727,FoodDB!$A$2:$I$1024,4,0)</f>
        <v>0</v>
      </c>
      <c r="F727" s="73">
        <f>$C727*VLOOKUP($B727,FoodDB!$A$2:$I$1024,5,0)</f>
        <v>0</v>
      </c>
      <c r="G727" s="73">
        <f>$C727*VLOOKUP($B727,FoodDB!$A$2:$I$1024,6,0)</f>
        <v>0</v>
      </c>
      <c r="H727" s="73">
        <f>$C727*VLOOKUP($B727,FoodDB!$A$2:$I$1024,7,0)</f>
        <v>0</v>
      </c>
      <c r="I727" s="73">
        <f>$C727*VLOOKUP($B727,FoodDB!$A$2:$I$1024,8,0)</f>
        <v>0</v>
      </c>
      <c r="J727" s="73">
        <f>$C727*VLOOKUP($B727,FoodDB!$A$2:$I$1024,9,0)</f>
        <v>0</v>
      </c>
      <c r="K727" s="73"/>
      <c r="L727" s="73"/>
      <c r="M727" s="73"/>
      <c r="N727" s="73"/>
      <c r="O727" s="73"/>
      <c r="P727" s="73"/>
      <c r="Q727" s="73"/>
      <c r="R727" s="73"/>
      <c r="S727" s="73"/>
    </row>
    <row r="728" spans="1:19" x14ac:dyDescent="0.25">
      <c r="B728" s="71" t="s">
        <v>95</v>
      </c>
      <c r="C728" s="72">
        <v>1</v>
      </c>
      <c r="D728" s="73">
        <f>$C728*VLOOKUP($B728,FoodDB!$A$2:$I$1024,3,0)</f>
        <v>0</v>
      </c>
      <c r="E728" s="73">
        <f>$C728*VLOOKUP($B728,FoodDB!$A$2:$I$1024,4,0)</f>
        <v>0</v>
      </c>
      <c r="F728" s="73">
        <f>$C728*VLOOKUP($B728,FoodDB!$A$2:$I$1024,5,0)</f>
        <v>0</v>
      </c>
      <c r="G728" s="73">
        <f>$C728*VLOOKUP($B728,FoodDB!$A$2:$I$1024,6,0)</f>
        <v>0</v>
      </c>
      <c r="H728" s="73">
        <f>$C728*VLOOKUP($B728,FoodDB!$A$2:$I$1024,7,0)</f>
        <v>0</v>
      </c>
      <c r="I728" s="73">
        <f>$C728*VLOOKUP($B728,FoodDB!$A$2:$I$1024,8,0)</f>
        <v>0</v>
      </c>
      <c r="J728" s="73">
        <f>$C728*VLOOKUP($B728,FoodDB!$A$2:$I$1024,9,0)</f>
        <v>0</v>
      </c>
      <c r="K728" s="73"/>
      <c r="L728" s="73"/>
      <c r="M728" s="73"/>
      <c r="N728" s="73"/>
      <c r="O728" s="73"/>
      <c r="P728" s="73"/>
      <c r="Q728" s="73"/>
      <c r="R728" s="73"/>
      <c r="S728" s="73"/>
    </row>
    <row r="729" spans="1:19" x14ac:dyDescent="0.25">
      <c r="B729" s="71" t="s">
        <v>95</v>
      </c>
      <c r="C729" s="72">
        <v>1</v>
      </c>
      <c r="D729" s="73">
        <f>$C729*VLOOKUP($B729,FoodDB!$A$2:$I$1024,3,0)</f>
        <v>0</v>
      </c>
      <c r="E729" s="73">
        <f>$C729*VLOOKUP($B729,FoodDB!$A$2:$I$1024,4,0)</f>
        <v>0</v>
      </c>
      <c r="F729" s="73">
        <f>$C729*VLOOKUP($B729,FoodDB!$A$2:$I$1024,5,0)</f>
        <v>0</v>
      </c>
      <c r="G729" s="73">
        <f>$C729*VLOOKUP($B729,FoodDB!$A$2:$I$1024,6,0)</f>
        <v>0</v>
      </c>
      <c r="H729" s="73">
        <f>$C729*VLOOKUP($B729,FoodDB!$A$2:$I$1024,7,0)</f>
        <v>0</v>
      </c>
      <c r="I729" s="73">
        <f>$C729*VLOOKUP($B729,FoodDB!$A$2:$I$1024,8,0)</f>
        <v>0</v>
      </c>
      <c r="J729" s="73">
        <f>$C729*VLOOKUP($B729,FoodDB!$A$2:$I$1024,9,0)</f>
        <v>0</v>
      </c>
      <c r="K729" s="73"/>
      <c r="L729" s="73"/>
      <c r="M729" s="73"/>
      <c r="N729" s="73"/>
      <c r="O729" s="73"/>
      <c r="P729" s="73"/>
      <c r="Q729" s="73"/>
      <c r="R729" s="73"/>
      <c r="S729" s="73"/>
    </row>
    <row r="730" spans="1:19" x14ac:dyDescent="0.25">
      <c r="B730" s="71" t="s">
        <v>95</v>
      </c>
      <c r="C730" s="72">
        <v>1</v>
      </c>
      <c r="D730" s="73">
        <f>$C730*VLOOKUP($B730,FoodDB!$A$2:$I$1024,3,0)</f>
        <v>0</v>
      </c>
      <c r="E730" s="73">
        <f>$C730*VLOOKUP($B730,FoodDB!$A$2:$I$1024,4,0)</f>
        <v>0</v>
      </c>
      <c r="F730" s="73">
        <f>$C730*VLOOKUP($B730,FoodDB!$A$2:$I$1024,5,0)</f>
        <v>0</v>
      </c>
      <c r="G730" s="73">
        <f>$C730*VLOOKUP($B730,FoodDB!$A$2:$I$1024,6,0)</f>
        <v>0</v>
      </c>
      <c r="H730" s="73">
        <f>$C730*VLOOKUP($B730,FoodDB!$A$2:$I$1024,7,0)</f>
        <v>0</v>
      </c>
      <c r="I730" s="73">
        <f>$C730*VLOOKUP($B730,FoodDB!$A$2:$I$1024,8,0)</f>
        <v>0</v>
      </c>
      <c r="J730" s="73">
        <f>$C730*VLOOKUP($B730,FoodDB!$A$2:$I$1024,9,0)</f>
        <v>0</v>
      </c>
      <c r="K730" s="73"/>
      <c r="L730" s="73"/>
      <c r="M730" s="73"/>
      <c r="N730" s="73"/>
      <c r="O730" s="73"/>
      <c r="P730" s="73"/>
      <c r="Q730" s="73"/>
      <c r="R730" s="73"/>
      <c r="S730" s="73"/>
    </row>
    <row r="731" spans="1:19" x14ac:dyDescent="0.25">
      <c r="B731" s="71" t="s">
        <v>95</v>
      </c>
      <c r="C731" s="72">
        <v>1</v>
      </c>
      <c r="D731" s="73">
        <f>$C731*VLOOKUP($B731,FoodDB!$A$2:$I$1024,3,0)</f>
        <v>0</v>
      </c>
      <c r="E731" s="73">
        <f>$C731*VLOOKUP($B731,FoodDB!$A$2:$I$1024,4,0)</f>
        <v>0</v>
      </c>
      <c r="F731" s="73">
        <f>$C731*VLOOKUP($B731,FoodDB!$A$2:$I$1024,5,0)</f>
        <v>0</v>
      </c>
      <c r="G731" s="73">
        <f>$C731*VLOOKUP($B731,FoodDB!$A$2:$I$1024,6,0)</f>
        <v>0</v>
      </c>
      <c r="H731" s="73">
        <f>$C731*VLOOKUP($B731,FoodDB!$A$2:$I$1024,7,0)</f>
        <v>0</v>
      </c>
      <c r="I731" s="73">
        <f>$C731*VLOOKUP($B731,FoodDB!$A$2:$I$1024,8,0)</f>
        <v>0</v>
      </c>
      <c r="J731" s="73">
        <f>$C731*VLOOKUP($B731,FoodDB!$A$2:$I$1024,9,0)</f>
        <v>0</v>
      </c>
      <c r="K731" s="73"/>
      <c r="L731" s="73"/>
      <c r="M731" s="73"/>
      <c r="N731" s="73"/>
      <c r="O731" s="73"/>
      <c r="P731" s="73"/>
      <c r="Q731" s="73"/>
      <c r="R731" s="73"/>
      <c r="S731" s="73"/>
    </row>
    <row r="732" spans="1:19" x14ac:dyDescent="0.25">
      <c r="A732" t="s">
        <v>99</v>
      </c>
      <c r="D732" s="73"/>
      <c r="E732" s="73"/>
      <c r="F732" s="73"/>
      <c r="G732" s="73">
        <f>SUM(G725:G731)</f>
        <v>0</v>
      </c>
      <c r="H732" s="73">
        <f>SUM(H725:H731)</f>
        <v>0</v>
      </c>
      <c r="I732" s="73">
        <f>SUM(I725:I731)</f>
        <v>0</v>
      </c>
      <c r="J732" s="73">
        <f>SUM(G732:I732)</f>
        <v>0</v>
      </c>
      <c r="K732" s="73"/>
      <c r="L732" s="73"/>
      <c r="M732" s="73"/>
      <c r="N732" s="73"/>
      <c r="O732" s="73"/>
      <c r="P732" s="73"/>
      <c r="Q732" s="73"/>
      <c r="R732" s="73"/>
      <c r="S732" s="73"/>
    </row>
    <row r="733" spans="1:19" x14ac:dyDescent="0.25">
      <c r="A733" t="s">
        <v>100</v>
      </c>
      <c r="B733" t="s">
        <v>101</v>
      </c>
      <c r="D733" s="73"/>
      <c r="E733" s="73"/>
      <c r="F733" s="73"/>
      <c r="G733" s="73">
        <f>VLOOKUP($A725,LossChart!$A$3:$AB$73,14,0)</f>
        <v>767.98034103367581</v>
      </c>
      <c r="H733" s="73">
        <f>VLOOKUP($A725,LossChart!$A$3:$AB$73,15,0)</f>
        <v>80</v>
      </c>
      <c r="I733" s="73">
        <f>VLOOKUP($A725,LossChart!$A$3:$AB$73,16,0)</f>
        <v>463.76562996293683</v>
      </c>
      <c r="J733" s="73">
        <f>VLOOKUP($A725,LossChart!$A$3:$AB$73,17,0)</f>
        <v>1311.7459709966126</v>
      </c>
      <c r="K733" s="73"/>
      <c r="L733" s="73"/>
      <c r="M733" s="73"/>
      <c r="N733" s="73"/>
      <c r="O733" s="73"/>
      <c r="P733" s="73"/>
      <c r="Q733" s="73"/>
      <c r="R733" s="73"/>
      <c r="S733" s="73"/>
    </row>
    <row r="734" spans="1:19" x14ac:dyDescent="0.25">
      <c r="A734" t="s">
        <v>102</v>
      </c>
      <c r="D734" s="73"/>
      <c r="E734" s="73"/>
      <c r="F734" s="73"/>
      <c r="G734" s="73">
        <f>G733-G732</f>
        <v>767.98034103367581</v>
      </c>
      <c r="H734" s="73">
        <f>H733-H732</f>
        <v>80</v>
      </c>
      <c r="I734" s="73">
        <f>I733-I732</f>
        <v>463.76562996293683</v>
      </c>
      <c r="J734" s="73">
        <f>J733-J732</f>
        <v>1311.7459709966126</v>
      </c>
      <c r="K734" s="73"/>
      <c r="L734" s="73"/>
      <c r="M734" s="73"/>
      <c r="N734" s="73"/>
      <c r="O734" s="73"/>
      <c r="P734" s="73"/>
      <c r="Q734" s="73"/>
      <c r="R734" s="73"/>
      <c r="S734" s="73"/>
    </row>
    <row r="736" spans="1:19" ht="60" x14ac:dyDescent="0.25">
      <c r="A736" s="25" t="s">
        <v>63</v>
      </c>
      <c r="B736" s="25" t="s">
        <v>80</v>
      </c>
      <c r="C736" s="25" t="s">
        <v>81</v>
      </c>
      <c r="D736" s="69" t="str">
        <f>FoodDB!$C$1</f>
        <v>Fat
(g)</v>
      </c>
      <c r="E736" s="69" t="str">
        <f>FoodDB!$D$1</f>
        <v xml:space="preserve"> Net
Carbs
(g)</v>
      </c>
      <c r="F736" s="69" t="str">
        <f>FoodDB!$E$1</f>
        <v>Protein
(g)</v>
      </c>
      <c r="G736" s="69" t="str">
        <f>FoodDB!$F$1</f>
        <v>Fat
(Cal)</v>
      </c>
      <c r="H736" s="69" t="str">
        <f>FoodDB!$G$1</f>
        <v>Carb
(Cal)</v>
      </c>
      <c r="I736" s="69" t="str">
        <f>FoodDB!$H$1</f>
        <v>Protein
(Cal)</v>
      </c>
      <c r="J736" s="69" t="str">
        <f>FoodDB!$I$1</f>
        <v>Total
Calories</v>
      </c>
      <c r="K736" s="69"/>
      <c r="L736" s="69" t="s">
        <v>82</v>
      </c>
      <c r="M736" s="69" t="s">
        <v>83</v>
      </c>
      <c r="N736" s="69" t="s">
        <v>84</v>
      </c>
      <c r="O736" s="69" t="s">
        <v>85</v>
      </c>
      <c r="P736" s="69" t="s">
        <v>86</v>
      </c>
      <c r="Q736" s="69" t="s">
        <v>87</v>
      </c>
      <c r="R736" s="69" t="s">
        <v>88</v>
      </c>
      <c r="S736" s="69" t="s">
        <v>89</v>
      </c>
    </row>
    <row r="737" spans="1:19" x14ac:dyDescent="0.25">
      <c r="A737" s="70">
        <f>A725+1</f>
        <v>43092</v>
      </c>
      <c r="B737" s="71" t="s">
        <v>95</v>
      </c>
      <c r="C737" s="72">
        <v>1</v>
      </c>
      <c r="D737" s="73">
        <f>$C737*VLOOKUP($B737,FoodDB!$A$2:$I$1024,3,0)</f>
        <v>0</v>
      </c>
      <c r="E737" s="73">
        <f>$C737*VLOOKUP($B737,FoodDB!$A$2:$I$1024,4,0)</f>
        <v>0</v>
      </c>
      <c r="F737" s="73">
        <f>$C737*VLOOKUP($B737,FoodDB!$A$2:$I$1024,5,0)</f>
        <v>0</v>
      </c>
      <c r="G737" s="73">
        <f>$C737*VLOOKUP($B737,FoodDB!$A$2:$I$1024,6,0)</f>
        <v>0</v>
      </c>
      <c r="H737" s="73">
        <f>$C737*VLOOKUP($B737,FoodDB!$A$2:$I$1024,7,0)</f>
        <v>0</v>
      </c>
      <c r="I737" s="73">
        <f>$C737*VLOOKUP($B737,FoodDB!$A$2:$I$1024,8,0)</f>
        <v>0</v>
      </c>
      <c r="J737" s="73">
        <f>$C737*VLOOKUP($B737,FoodDB!$A$2:$I$1024,9,0)</f>
        <v>0</v>
      </c>
      <c r="K737" s="73"/>
      <c r="L737" s="73">
        <f>SUM(G737:G743)</f>
        <v>0</v>
      </c>
      <c r="M737" s="73">
        <f>SUM(H737:H743)</f>
        <v>0</v>
      </c>
      <c r="N737" s="73">
        <f>SUM(I737:I743)</f>
        <v>0</v>
      </c>
      <c r="O737" s="73">
        <f>SUM(L737:N737)</f>
        <v>0</v>
      </c>
      <c r="P737" s="73">
        <f>VLOOKUP($A737,LossChart!$A$3:$AB$73,14,0)-L737</f>
        <v>772.59200919089221</v>
      </c>
      <c r="Q737" s="73">
        <f>VLOOKUP($A737,LossChart!$A$3:$AB$73,15,0)-M737</f>
        <v>80</v>
      </c>
      <c r="R737" s="73">
        <f>VLOOKUP($A737,LossChart!$A$3:$AB$73,16,0)-N737</f>
        <v>463.76562996293683</v>
      </c>
      <c r="S737" s="73">
        <f>VLOOKUP($A737,LossChart!$A$3:$AB$73,17,0)-O737</f>
        <v>1316.357639153829</v>
      </c>
    </row>
    <row r="738" spans="1:19" x14ac:dyDescent="0.25">
      <c r="B738" s="71" t="s">
        <v>95</v>
      </c>
      <c r="C738" s="72">
        <v>1</v>
      </c>
      <c r="D738" s="73">
        <f>$C738*VLOOKUP($B738,FoodDB!$A$2:$I$1024,3,0)</f>
        <v>0</v>
      </c>
      <c r="E738" s="73">
        <f>$C738*VLOOKUP($B738,FoodDB!$A$2:$I$1024,4,0)</f>
        <v>0</v>
      </c>
      <c r="F738" s="73">
        <f>$C738*VLOOKUP($B738,FoodDB!$A$2:$I$1024,5,0)</f>
        <v>0</v>
      </c>
      <c r="G738" s="73">
        <f>$C738*VLOOKUP($B738,FoodDB!$A$2:$I$1024,6,0)</f>
        <v>0</v>
      </c>
      <c r="H738" s="73">
        <f>$C738*VLOOKUP($B738,FoodDB!$A$2:$I$1024,7,0)</f>
        <v>0</v>
      </c>
      <c r="I738" s="73">
        <f>$C738*VLOOKUP($B738,FoodDB!$A$2:$I$1024,8,0)</f>
        <v>0</v>
      </c>
      <c r="J738" s="73">
        <f>$C738*VLOOKUP($B738,FoodDB!$A$2:$I$1024,9,0)</f>
        <v>0</v>
      </c>
      <c r="K738" s="73"/>
      <c r="L738" s="73"/>
      <c r="M738" s="73"/>
      <c r="N738" s="73"/>
      <c r="O738" s="73"/>
      <c r="P738" s="73"/>
      <c r="Q738" s="73"/>
      <c r="R738" s="73"/>
      <c r="S738" s="73"/>
    </row>
    <row r="739" spans="1:19" x14ac:dyDescent="0.25">
      <c r="B739" s="71" t="s">
        <v>95</v>
      </c>
      <c r="C739" s="72">
        <v>1</v>
      </c>
      <c r="D739" s="73">
        <f>$C739*VLOOKUP($B739,FoodDB!$A$2:$I$1024,3,0)</f>
        <v>0</v>
      </c>
      <c r="E739" s="73">
        <f>$C739*VLOOKUP($B739,FoodDB!$A$2:$I$1024,4,0)</f>
        <v>0</v>
      </c>
      <c r="F739" s="73">
        <f>$C739*VLOOKUP($B739,FoodDB!$A$2:$I$1024,5,0)</f>
        <v>0</v>
      </c>
      <c r="G739" s="73">
        <f>$C739*VLOOKUP($B739,FoodDB!$A$2:$I$1024,6,0)</f>
        <v>0</v>
      </c>
      <c r="H739" s="73">
        <f>$C739*VLOOKUP($B739,FoodDB!$A$2:$I$1024,7,0)</f>
        <v>0</v>
      </c>
      <c r="I739" s="73">
        <f>$C739*VLOOKUP($B739,FoodDB!$A$2:$I$1024,8,0)</f>
        <v>0</v>
      </c>
      <c r="J739" s="73">
        <f>$C739*VLOOKUP($B739,FoodDB!$A$2:$I$1024,9,0)</f>
        <v>0</v>
      </c>
      <c r="K739" s="73"/>
      <c r="L739" s="73"/>
      <c r="M739" s="73"/>
      <c r="N739" s="73"/>
      <c r="O739" s="73"/>
      <c r="P739" s="73"/>
      <c r="Q739" s="73"/>
      <c r="R739" s="73"/>
      <c r="S739" s="73"/>
    </row>
    <row r="740" spans="1:19" x14ac:dyDescent="0.25">
      <c r="B740" s="71" t="s">
        <v>95</v>
      </c>
      <c r="C740" s="72">
        <v>1</v>
      </c>
      <c r="D740" s="73">
        <f>$C740*VLOOKUP($B740,FoodDB!$A$2:$I$1024,3,0)</f>
        <v>0</v>
      </c>
      <c r="E740" s="73">
        <f>$C740*VLOOKUP($B740,FoodDB!$A$2:$I$1024,4,0)</f>
        <v>0</v>
      </c>
      <c r="F740" s="73">
        <f>$C740*VLOOKUP($B740,FoodDB!$A$2:$I$1024,5,0)</f>
        <v>0</v>
      </c>
      <c r="G740" s="73">
        <f>$C740*VLOOKUP($B740,FoodDB!$A$2:$I$1024,6,0)</f>
        <v>0</v>
      </c>
      <c r="H740" s="73">
        <f>$C740*VLOOKUP($B740,FoodDB!$A$2:$I$1024,7,0)</f>
        <v>0</v>
      </c>
      <c r="I740" s="73">
        <f>$C740*VLOOKUP($B740,FoodDB!$A$2:$I$1024,8,0)</f>
        <v>0</v>
      </c>
      <c r="J740" s="73">
        <f>$C740*VLOOKUP($B740,FoodDB!$A$2:$I$1024,9,0)</f>
        <v>0</v>
      </c>
      <c r="K740" s="73"/>
      <c r="L740" s="73"/>
      <c r="M740" s="73"/>
      <c r="N740" s="73"/>
      <c r="O740" s="73"/>
      <c r="P740" s="73"/>
      <c r="Q740" s="73"/>
      <c r="R740" s="73"/>
      <c r="S740" s="73"/>
    </row>
    <row r="741" spans="1:19" x14ac:dyDescent="0.25">
      <c r="B741" s="71" t="s">
        <v>95</v>
      </c>
      <c r="C741" s="72">
        <v>1</v>
      </c>
      <c r="D741" s="73">
        <f>$C741*VLOOKUP($B741,FoodDB!$A$2:$I$1024,3,0)</f>
        <v>0</v>
      </c>
      <c r="E741" s="73">
        <f>$C741*VLOOKUP($B741,FoodDB!$A$2:$I$1024,4,0)</f>
        <v>0</v>
      </c>
      <c r="F741" s="73">
        <f>$C741*VLOOKUP($B741,FoodDB!$A$2:$I$1024,5,0)</f>
        <v>0</v>
      </c>
      <c r="G741" s="73">
        <f>$C741*VLOOKUP($B741,FoodDB!$A$2:$I$1024,6,0)</f>
        <v>0</v>
      </c>
      <c r="H741" s="73">
        <f>$C741*VLOOKUP($B741,FoodDB!$A$2:$I$1024,7,0)</f>
        <v>0</v>
      </c>
      <c r="I741" s="73">
        <f>$C741*VLOOKUP($B741,FoodDB!$A$2:$I$1024,8,0)</f>
        <v>0</v>
      </c>
      <c r="J741" s="73">
        <f>$C741*VLOOKUP($B741,FoodDB!$A$2:$I$1024,9,0)</f>
        <v>0</v>
      </c>
      <c r="K741" s="73"/>
      <c r="L741" s="73"/>
      <c r="M741" s="73"/>
      <c r="N741" s="73"/>
      <c r="O741" s="73"/>
      <c r="P741" s="73"/>
      <c r="Q741" s="73"/>
      <c r="R741" s="73"/>
      <c r="S741" s="73"/>
    </row>
    <row r="742" spans="1:19" x14ac:dyDescent="0.25">
      <c r="B742" s="71" t="s">
        <v>95</v>
      </c>
      <c r="C742" s="72">
        <v>1</v>
      </c>
      <c r="D742" s="73">
        <f>$C742*VLOOKUP($B742,FoodDB!$A$2:$I$1024,3,0)</f>
        <v>0</v>
      </c>
      <c r="E742" s="73">
        <f>$C742*VLOOKUP($B742,FoodDB!$A$2:$I$1024,4,0)</f>
        <v>0</v>
      </c>
      <c r="F742" s="73">
        <f>$C742*VLOOKUP($B742,FoodDB!$A$2:$I$1024,5,0)</f>
        <v>0</v>
      </c>
      <c r="G742" s="73">
        <f>$C742*VLOOKUP($B742,FoodDB!$A$2:$I$1024,6,0)</f>
        <v>0</v>
      </c>
      <c r="H742" s="73">
        <f>$C742*VLOOKUP($B742,FoodDB!$A$2:$I$1024,7,0)</f>
        <v>0</v>
      </c>
      <c r="I742" s="73">
        <f>$C742*VLOOKUP($B742,FoodDB!$A$2:$I$1024,8,0)</f>
        <v>0</v>
      </c>
      <c r="J742" s="73">
        <f>$C742*VLOOKUP($B742,FoodDB!$A$2:$I$1024,9,0)</f>
        <v>0</v>
      </c>
      <c r="K742" s="73"/>
      <c r="L742" s="73"/>
      <c r="M742" s="73"/>
      <c r="N742" s="73"/>
      <c r="O742" s="73"/>
      <c r="P742" s="73"/>
      <c r="Q742" s="73"/>
      <c r="R742" s="73"/>
      <c r="S742" s="73"/>
    </row>
    <row r="743" spans="1:19" x14ac:dyDescent="0.25">
      <c r="B743" s="71" t="s">
        <v>95</v>
      </c>
      <c r="C743" s="72">
        <v>1</v>
      </c>
      <c r="D743" s="73">
        <f>$C743*VLOOKUP($B743,FoodDB!$A$2:$I$1024,3,0)</f>
        <v>0</v>
      </c>
      <c r="E743" s="73">
        <f>$C743*VLOOKUP($B743,FoodDB!$A$2:$I$1024,4,0)</f>
        <v>0</v>
      </c>
      <c r="F743" s="73">
        <f>$C743*VLOOKUP($B743,FoodDB!$A$2:$I$1024,5,0)</f>
        <v>0</v>
      </c>
      <c r="G743" s="73">
        <f>$C743*VLOOKUP($B743,FoodDB!$A$2:$I$1024,6,0)</f>
        <v>0</v>
      </c>
      <c r="H743" s="73">
        <f>$C743*VLOOKUP($B743,FoodDB!$A$2:$I$1024,7,0)</f>
        <v>0</v>
      </c>
      <c r="I743" s="73">
        <f>$C743*VLOOKUP($B743,FoodDB!$A$2:$I$1024,8,0)</f>
        <v>0</v>
      </c>
      <c r="J743" s="73">
        <f>$C743*VLOOKUP($B743,FoodDB!$A$2:$I$1024,9,0)</f>
        <v>0</v>
      </c>
      <c r="K743" s="73"/>
      <c r="L743" s="73"/>
      <c r="M743" s="73"/>
      <c r="N743" s="73"/>
      <c r="O743" s="73"/>
      <c r="P743" s="73"/>
      <c r="Q743" s="73"/>
      <c r="R743" s="73"/>
      <c r="S743" s="73"/>
    </row>
    <row r="744" spans="1:19" x14ac:dyDescent="0.25">
      <c r="A744" t="s">
        <v>99</v>
      </c>
      <c r="D744" s="73"/>
      <c r="E744" s="73"/>
      <c r="F744" s="73"/>
      <c r="G744" s="73">
        <f>SUM(G737:G743)</f>
        <v>0</v>
      </c>
      <c r="H744" s="73">
        <f>SUM(H737:H743)</f>
        <v>0</v>
      </c>
      <c r="I744" s="73">
        <f>SUM(I737:I743)</f>
        <v>0</v>
      </c>
      <c r="J744" s="73">
        <f>SUM(G744:I744)</f>
        <v>0</v>
      </c>
      <c r="K744" s="73"/>
      <c r="L744" s="73"/>
      <c r="M744" s="73"/>
      <c r="N744" s="73"/>
      <c r="O744" s="73"/>
      <c r="P744" s="73"/>
      <c r="Q744" s="73"/>
      <c r="R744" s="73"/>
      <c r="S744" s="73"/>
    </row>
    <row r="745" spans="1:19" x14ac:dyDescent="0.25">
      <c r="A745" t="s">
        <v>100</v>
      </c>
      <c r="B745" t="s">
        <v>101</v>
      </c>
      <c r="D745" s="73"/>
      <c r="E745" s="73"/>
      <c r="F745" s="73"/>
      <c r="G745" s="73">
        <f>VLOOKUP($A737,LossChart!$A$3:$AB$73,14,0)</f>
        <v>772.59200919089221</v>
      </c>
      <c r="H745" s="73">
        <f>VLOOKUP($A737,LossChart!$A$3:$AB$73,15,0)</f>
        <v>80</v>
      </c>
      <c r="I745" s="73">
        <f>VLOOKUP($A737,LossChart!$A$3:$AB$73,16,0)</f>
        <v>463.76562996293683</v>
      </c>
      <c r="J745" s="73">
        <f>VLOOKUP($A737,LossChart!$A$3:$AB$73,17,0)</f>
        <v>1316.357639153829</v>
      </c>
      <c r="K745" s="73"/>
      <c r="L745" s="73"/>
      <c r="M745" s="73"/>
      <c r="N745" s="73"/>
      <c r="O745" s="73"/>
      <c r="P745" s="73"/>
      <c r="Q745" s="73"/>
      <c r="R745" s="73"/>
      <c r="S745" s="73"/>
    </row>
    <row r="746" spans="1:19" x14ac:dyDescent="0.25">
      <c r="A746" t="s">
        <v>102</v>
      </c>
      <c r="D746" s="73"/>
      <c r="E746" s="73"/>
      <c r="F746" s="73"/>
      <c r="G746" s="73">
        <f>G745-G744</f>
        <v>772.59200919089221</v>
      </c>
      <c r="H746" s="73">
        <f>H745-H744</f>
        <v>80</v>
      </c>
      <c r="I746" s="73">
        <f>I745-I744</f>
        <v>463.76562996293683</v>
      </c>
      <c r="J746" s="73">
        <f>J745-J744</f>
        <v>1316.357639153829</v>
      </c>
      <c r="K746" s="73"/>
      <c r="L746" s="73"/>
      <c r="M746" s="73"/>
      <c r="N746" s="73"/>
      <c r="O746" s="73"/>
      <c r="P746" s="73"/>
      <c r="Q746" s="73"/>
      <c r="R746" s="73"/>
      <c r="S746" s="73"/>
    </row>
    <row r="748" spans="1:19" ht="60" x14ac:dyDescent="0.25">
      <c r="A748" s="25" t="s">
        <v>63</v>
      </c>
      <c r="B748" s="25" t="s">
        <v>80</v>
      </c>
      <c r="C748" s="25" t="s">
        <v>81</v>
      </c>
      <c r="D748" s="69" t="str">
        <f>FoodDB!$C$1</f>
        <v>Fat
(g)</v>
      </c>
      <c r="E748" s="69" t="str">
        <f>FoodDB!$D$1</f>
        <v xml:space="preserve"> Net
Carbs
(g)</v>
      </c>
      <c r="F748" s="69" t="str">
        <f>FoodDB!$E$1</f>
        <v>Protein
(g)</v>
      </c>
      <c r="G748" s="69" t="str">
        <f>FoodDB!$F$1</f>
        <v>Fat
(Cal)</v>
      </c>
      <c r="H748" s="69" t="str">
        <f>FoodDB!$G$1</f>
        <v>Carb
(Cal)</v>
      </c>
      <c r="I748" s="69" t="str">
        <f>FoodDB!$H$1</f>
        <v>Protein
(Cal)</v>
      </c>
      <c r="J748" s="69" t="str">
        <f>FoodDB!$I$1</f>
        <v>Total
Calories</v>
      </c>
      <c r="K748" s="69"/>
      <c r="L748" s="69" t="s">
        <v>82</v>
      </c>
      <c r="M748" s="69" t="s">
        <v>83</v>
      </c>
      <c r="N748" s="69" t="s">
        <v>84</v>
      </c>
      <c r="O748" s="69" t="s">
        <v>85</v>
      </c>
      <c r="P748" s="69" t="s">
        <v>86</v>
      </c>
      <c r="Q748" s="69" t="s">
        <v>87</v>
      </c>
      <c r="R748" s="69" t="s">
        <v>88</v>
      </c>
      <c r="S748" s="69" t="s">
        <v>89</v>
      </c>
    </row>
    <row r="749" spans="1:19" x14ac:dyDescent="0.25">
      <c r="A749" s="70">
        <f>A737+1</f>
        <v>43093</v>
      </c>
      <c r="B749" s="71" t="s">
        <v>95</v>
      </c>
      <c r="C749" s="72">
        <v>1</v>
      </c>
      <c r="D749" s="73">
        <f>$C749*VLOOKUP($B749,FoodDB!$A$2:$I$1024,3,0)</f>
        <v>0</v>
      </c>
      <c r="E749" s="73">
        <f>$C749*VLOOKUP($B749,FoodDB!$A$2:$I$1024,4,0)</f>
        <v>0</v>
      </c>
      <c r="F749" s="73">
        <f>$C749*VLOOKUP($B749,FoodDB!$A$2:$I$1024,5,0)</f>
        <v>0</v>
      </c>
      <c r="G749" s="73">
        <f>$C749*VLOOKUP($B749,FoodDB!$A$2:$I$1024,6,0)</f>
        <v>0</v>
      </c>
      <c r="H749" s="73">
        <f>$C749*VLOOKUP($B749,FoodDB!$A$2:$I$1024,7,0)</f>
        <v>0</v>
      </c>
      <c r="I749" s="73">
        <f>$C749*VLOOKUP($B749,FoodDB!$A$2:$I$1024,8,0)</f>
        <v>0</v>
      </c>
      <c r="J749" s="73">
        <f>$C749*VLOOKUP($B749,FoodDB!$A$2:$I$1024,9,0)</f>
        <v>0</v>
      </c>
      <c r="K749" s="73"/>
      <c r="L749" s="73">
        <f>SUM(G749:G755)</f>
        <v>0</v>
      </c>
      <c r="M749" s="73">
        <f>SUM(H749:H755)</f>
        <v>0</v>
      </c>
      <c r="N749" s="73">
        <f>SUM(I749:I755)</f>
        <v>0</v>
      </c>
      <c r="O749" s="73">
        <f>SUM(L749:N749)</f>
        <v>0</v>
      </c>
      <c r="P749" s="73">
        <f>VLOOKUP($A749,LossChart!$A$3:$AB$73,14,0)-L749</f>
        <v>777.16283114443036</v>
      </c>
      <c r="Q749" s="73">
        <f>VLOOKUP($A749,LossChart!$A$3:$AB$73,15,0)-M749</f>
        <v>80</v>
      </c>
      <c r="R749" s="73">
        <f>VLOOKUP($A749,LossChart!$A$3:$AB$73,16,0)-N749</f>
        <v>463.76562996293683</v>
      </c>
      <c r="S749" s="73">
        <f>VLOOKUP($A749,LossChart!$A$3:$AB$73,17,0)-O749</f>
        <v>1320.9284611073672</v>
      </c>
    </row>
    <row r="750" spans="1:19" x14ac:dyDescent="0.25">
      <c r="B750" s="71" t="s">
        <v>95</v>
      </c>
      <c r="C750" s="72">
        <v>1</v>
      </c>
      <c r="D750" s="73">
        <f>$C750*VLOOKUP($B750,FoodDB!$A$2:$I$1024,3,0)</f>
        <v>0</v>
      </c>
      <c r="E750" s="73">
        <f>$C750*VLOOKUP($B750,FoodDB!$A$2:$I$1024,4,0)</f>
        <v>0</v>
      </c>
      <c r="F750" s="73">
        <f>$C750*VLOOKUP($B750,FoodDB!$A$2:$I$1024,5,0)</f>
        <v>0</v>
      </c>
      <c r="G750" s="73">
        <f>$C750*VLOOKUP($B750,FoodDB!$A$2:$I$1024,6,0)</f>
        <v>0</v>
      </c>
      <c r="H750" s="73">
        <f>$C750*VLOOKUP($B750,FoodDB!$A$2:$I$1024,7,0)</f>
        <v>0</v>
      </c>
      <c r="I750" s="73">
        <f>$C750*VLOOKUP($B750,FoodDB!$A$2:$I$1024,8,0)</f>
        <v>0</v>
      </c>
      <c r="J750" s="73">
        <f>$C750*VLOOKUP($B750,FoodDB!$A$2:$I$1024,9,0)</f>
        <v>0</v>
      </c>
      <c r="K750" s="73"/>
      <c r="L750" s="73"/>
      <c r="M750" s="73"/>
      <c r="N750" s="73"/>
      <c r="O750" s="73"/>
      <c r="P750" s="73"/>
      <c r="Q750" s="73"/>
      <c r="R750" s="73"/>
      <c r="S750" s="73"/>
    </row>
    <row r="751" spans="1:19" x14ac:dyDescent="0.25">
      <c r="B751" s="71" t="s">
        <v>95</v>
      </c>
      <c r="C751" s="72">
        <v>1</v>
      </c>
      <c r="D751" s="73">
        <f>$C751*VLOOKUP($B751,FoodDB!$A$2:$I$1024,3,0)</f>
        <v>0</v>
      </c>
      <c r="E751" s="73">
        <f>$C751*VLOOKUP($B751,FoodDB!$A$2:$I$1024,4,0)</f>
        <v>0</v>
      </c>
      <c r="F751" s="73">
        <f>$C751*VLOOKUP($B751,FoodDB!$A$2:$I$1024,5,0)</f>
        <v>0</v>
      </c>
      <c r="G751" s="73">
        <f>$C751*VLOOKUP($B751,FoodDB!$A$2:$I$1024,6,0)</f>
        <v>0</v>
      </c>
      <c r="H751" s="73">
        <f>$C751*VLOOKUP($B751,FoodDB!$A$2:$I$1024,7,0)</f>
        <v>0</v>
      </c>
      <c r="I751" s="73">
        <f>$C751*VLOOKUP($B751,FoodDB!$A$2:$I$1024,8,0)</f>
        <v>0</v>
      </c>
      <c r="J751" s="73">
        <f>$C751*VLOOKUP($B751,FoodDB!$A$2:$I$1024,9,0)</f>
        <v>0</v>
      </c>
      <c r="K751" s="73"/>
      <c r="L751" s="73"/>
      <c r="M751" s="73"/>
      <c r="N751" s="73"/>
      <c r="O751" s="73"/>
      <c r="P751" s="73"/>
      <c r="Q751" s="73"/>
      <c r="R751" s="73"/>
      <c r="S751" s="73"/>
    </row>
    <row r="752" spans="1:19" x14ac:dyDescent="0.25">
      <c r="B752" s="71" t="s">
        <v>95</v>
      </c>
      <c r="C752" s="72">
        <v>1</v>
      </c>
      <c r="D752" s="73">
        <f>$C752*VLOOKUP($B752,FoodDB!$A$2:$I$1024,3,0)</f>
        <v>0</v>
      </c>
      <c r="E752" s="73">
        <f>$C752*VLOOKUP($B752,FoodDB!$A$2:$I$1024,4,0)</f>
        <v>0</v>
      </c>
      <c r="F752" s="73">
        <f>$C752*VLOOKUP($B752,FoodDB!$A$2:$I$1024,5,0)</f>
        <v>0</v>
      </c>
      <c r="G752" s="73">
        <f>$C752*VLOOKUP($B752,FoodDB!$A$2:$I$1024,6,0)</f>
        <v>0</v>
      </c>
      <c r="H752" s="73">
        <f>$C752*VLOOKUP($B752,FoodDB!$A$2:$I$1024,7,0)</f>
        <v>0</v>
      </c>
      <c r="I752" s="73">
        <f>$C752*VLOOKUP($B752,FoodDB!$A$2:$I$1024,8,0)</f>
        <v>0</v>
      </c>
      <c r="J752" s="73">
        <f>$C752*VLOOKUP($B752,FoodDB!$A$2:$I$1024,9,0)</f>
        <v>0</v>
      </c>
      <c r="K752" s="73"/>
      <c r="L752" s="73"/>
      <c r="M752" s="73"/>
      <c r="N752" s="73"/>
      <c r="O752" s="73"/>
      <c r="P752" s="73"/>
      <c r="Q752" s="73"/>
      <c r="R752" s="73"/>
      <c r="S752" s="73"/>
    </row>
    <row r="753" spans="1:19" x14ac:dyDescent="0.25">
      <c r="B753" s="71" t="s">
        <v>95</v>
      </c>
      <c r="C753" s="72">
        <v>1</v>
      </c>
      <c r="D753" s="73">
        <f>$C753*VLOOKUP($B753,FoodDB!$A$2:$I$1024,3,0)</f>
        <v>0</v>
      </c>
      <c r="E753" s="73">
        <f>$C753*VLOOKUP($B753,FoodDB!$A$2:$I$1024,4,0)</f>
        <v>0</v>
      </c>
      <c r="F753" s="73">
        <f>$C753*VLOOKUP($B753,FoodDB!$A$2:$I$1024,5,0)</f>
        <v>0</v>
      </c>
      <c r="G753" s="73">
        <f>$C753*VLOOKUP($B753,FoodDB!$A$2:$I$1024,6,0)</f>
        <v>0</v>
      </c>
      <c r="H753" s="73">
        <f>$C753*VLOOKUP($B753,FoodDB!$A$2:$I$1024,7,0)</f>
        <v>0</v>
      </c>
      <c r="I753" s="73">
        <f>$C753*VLOOKUP($B753,FoodDB!$A$2:$I$1024,8,0)</f>
        <v>0</v>
      </c>
      <c r="J753" s="73">
        <f>$C753*VLOOKUP($B753,FoodDB!$A$2:$I$1024,9,0)</f>
        <v>0</v>
      </c>
      <c r="K753" s="73"/>
      <c r="L753" s="73"/>
      <c r="M753" s="73"/>
      <c r="N753" s="73"/>
      <c r="O753" s="73"/>
      <c r="P753" s="73"/>
      <c r="Q753" s="73"/>
      <c r="R753" s="73"/>
      <c r="S753" s="73"/>
    </row>
    <row r="754" spans="1:19" x14ac:dyDescent="0.25">
      <c r="B754" s="71" t="s">
        <v>95</v>
      </c>
      <c r="C754" s="72">
        <v>1</v>
      </c>
      <c r="D754" s="73">
        <f>$C754*VLOOKUP($B754,FoodDB!$A$2:$I$1024,3,0)</f>
        <v>0</v>
      </c>
      <c r="E754" s="73">
        <f>$C754*VLOOKUP($B754,FoodDB!$A$2:$I$1024,4,0)</f>
        <v>0</v>
      </c>
      <c r="F754" s="73">
        <f>$C754*VLOOKUP($B754,FoodDB!$A$2:$I$1024,5,0)</f>
        <v>0</v>
      </c>
      <c r="G754" s="73">
        <f>$C754*VLOOKUP($B754,FoodDB!$A$2:$I$1024,6,0)</f>
        <v>0</v>
      </c>
      <c r="H754" s="73">
        <f>$C754*VLOOKUP($B754,FoodDB!$A$2:$I$1024,7,0)</f>
        <v>0</v>
      </c>
      <c r="I754" s="73">
        <f>$C754*VLOOKUP($B754,FoodDB!$A$2:$I$1024,8,0)</f>
        <v>0</v>
      </c>
      <c r="J754" s="73">
        <f>$C754*VLOOKUP($B754,FoodDB!$A$2:$I$1024,9,0)</f>
        <v>0</v>
      </c>
      <c r="K754" s="73"/>
      <c r="L754" s="73"/>
      <c r="M754" s="73"/>
      <c r="N754" s="73"/>
      <c r="O754" s="73"/>
      <c r="P754" s="73"/>
      <c r="Q754" s="73"/>
      <c r="R754" s="73"/>
      <c r="S754" s="73"/>
    </row>
    <row r="755" spans="1:19" x14ac:dyDescent="0.25">
      <c r="B755" s="71" t="s">
        <v>95</v>
      </c>
      <c r="C755" s="72">
        <v>1</v>
      </c>
      <c r="D755" s="73">
        <f>$C755*VLOOKUP($B755,FoodDB!$A$2:$I$1024,3,0)</f>
        <v>0</v>
      </c>
      <c r="E755" s="73">
        <f>$C755*VLOOKUP($B755,FoodDB!$A$2:$I$1024,4,0)</f>
        <v>0</v>
      </c>
      <c r="F755" s="73">
        <f>$C755*VLOOKUP($B755,FoodDB!$A$2:$I$1024,5,0)</f>
        <v>0</v>
      </c>
      <c r="G755" s="73">
        <f>$C755*VLOOKUP($B755,FoodDB!$A$2:$I$1024,6,0)</f>
        <v>0</v>
      </c>
      <c r="H755" s="73">
        <f>$C755*VLOOKUP($B755,FoodDB!$A$2:$I$1024,7,0)</f>
        <v>0</v>
      </c>
      <c r="I755" s="73">
        <f>$C755*VLOOKUP($B755,FoodDB!$A$2:$I$1024,8,0)</f>
        <v>0</v>
      </c>
      <c r="J755" s="73">
        <f>$C755*VLOOKUP($B755,FoodDB!$A$2:$I$1024,9,0)</f>
        <v>0</v>
      </c>
      <c r="K755" s="73"/>
      <c r="L755" s="73"/>
      <c r="M755" s="73"/>
      <c r="N755" s="73"/>
      <c r="O755" s="73"/>
      <c r="P755" s="73"/>
      <c r="Q755" s="73"/>
      <c r="R755" s="73"/>
      <c r="S755" s="73"/>
    </row>
    <row r="756" spans="1:19" x14ac:dyDescent="0.25">
      <c r="A756" t="s">
        <v>99</v>
      </c>
      <c r="D756" s="73"/>
      <c r="E756" s="73"/>
      <c r="F756" s="73"/>
      <c r="G756" s="73">
        <f>SUM(G749:G755)</f>
        <v>0</v>
      </c>
      <c r="H756" s="73">
        <f>SUM(H749:H755)</f>
        <v>0</v>
      </c>
      <c r="I756" s="73">
        <f>SUM(I749:I755)</f>
        <v>0</v>
      </c>
      <c r="J756" s="73">
        <f>SUM(G756:I756)</f>
        <v>0</v>
      </c>
      <c r="K756" s="73"/>
      <c r="L756" s="73"/>
      <c r="M756" s="73"/>
      <c r="N756" s="73"/>
      <c r="O756" s="73"/>
      <c r="P756" s="73"/>
      <c r="Q756" s="73"/>
      <c r="R756" s="73"/>
      <c r="S756" s="73"/>
    </row>
    <row r="757" spans="1:19" x14ac:dyDescent="0.25">
      <c r="A757" t="s">
        <v>100</v>
      </c>
      <c r="B757" t="s">
        <v>101</v>
      </c>
      <c r="D757" s="73"/>
      <c r="E757" s="73"/>
      <c r="F757" s="73"/>
      <c r="G757" s="73">
        <f>VLOOKUP($A749,LossChart!$A$3:$AB$73,14,0)</f>
        <v>777.16283114443036</v>
      </c>
      <c r="H757" s="73">
        <f>VLOOKUP($A749,LossChart!$A$3:$AB$73,15,0)</f>
        <v>80</v>
      </c>
      <c r="I757" s="73">
        <f>VLOOKUP($A749,LossChart!$A$3:$AB$73,16,0)</f>
        <v>463.76562996293683</v>
      </c>
      <c r="J757" s="73">
        <f>VLOOKUP($A749,LossChart!$A$3:$AB$73,17,0)</f>
        <v>1320.9284611073672</v>
      </c>
      <c r="K757" s="73"/>
      <c r="L757" s="73"/>
      <c r="M757" s="73"/>
      <c r="N757" s="73"/>
      <c r="O757" s="73"/>
      <c r="P757" s="73"/>
      <c r="Q757" s="73"/>
      <c r="R757" s="73"/>
      <c r="S757" s="73"/>
    </row>
    <row r="758" spans="1:19" x14ac:dyDescent="0.25">
      <c r="A758" t="s">
        <v>102</v>
      </c>
      <c r="D758" s="73"/>
      <c r="E758" s="73"/>
      <c r="F758" s="73"/>
      <c r="G758" s="73">
        <f>G757-G756</f>
        <v>777.16283114443036</v>
      </c>
      <c r="H758" s="73">
        <f>H757-H756</f>
        <v>80</v>
      </c>
      <c r="I758" s="73">
        <f>I757-I756</f>
        <v>463.76562996293683</v>
      </c>
      <c r="J758" s="73">
        <f>J757-J756</f>
        <v>1320.9284611073672</v>
      </c>
      <c r="K758" s="73"/>
      <c r="L758" s="73"/>
      <c r="M758" s="73"/>
      <c r="N758" s="73"/>
      <c r="O758" s="73"/>
      <c r="P758" s="73"/>
      <c r="Q758" s="73"/>
      <c r="R758" s="73"/>
      <c r="S758" s="73"/>
    </row>
    <row r="760" spans="1:19" ht="60" x14ac:dyDescent="0.25">
      <c r="A760" s="25" t="s">
        <v>63</v>
      </c>
      <c r="B760" s="25" t="s">
        <v>80</v>
      </c>
      <c r="C760" s="25" t="s">
        <v>81</v>
      </c>
      <c r="D760" s="69" t="str">
        <f>FoodDB!$C$1</f>
        <v>Fat
(g)</v>
      </c>
      <c r="E760" s="69" t="str">
        <f>FoodDB!$D$1</f>
        <v xml:space="preserve"> Net
Carbs
(g)</v>
      </c>
      <c r="F760" s="69" t="str">
        <f>FoodDB!$E$1</f>
        <v>Protein
(g)</v>
      </c>
      <c r="G760" s="69" t="str">
        <f>FoodDB!$F$1</f>
        <v>Fat
(Cal)</v>
      </c>
      <c r="H760" s="69" t="str">
        <f>FoodDB!$G$1</f>
        <v>Carb
(Cal)</v>
      </c>
      <c r="I760" s="69" t="str">
        <f>FoodDB!$H$1</f>
        <v>Protein
(Cal)</v>
      </c>
      <c r="J760" s="69" t="str">
        <f>FoodDB!$I$1</f>
        <v>Total
Calories</v>
      </c>
      <c r="K760" s="69"/>
      <c r="L760" s="69" t="s">
        <v>82</v>
      </c>
      <c r="M760" s="69" t="s">
        <v>83</v>
      </c>
      <c r="N760" s="69" t="s">
        <v>84</v>
      </c>
      <c r="O760" s="69" t="s">
        <v>85</v>
      </c>
      <c r="P760" s="69" t="s">
        <v>86</v>
      </c>
      <c r="Q760" s="69" t="s">
        <v>87</v>
      </c>
      <c r="R760" s="69" t="s">
        <v>88</v>
      </c>
      <c r="S760" s="69" t="s">
        <v>89</v>
      </c>
    </row>
    <row r="761" spans="1:19" x14ac:dyDescent="0.25">
      <c r="A761" s="70">
        <f>A749+1</f>
        <v>43094</v>
      </c>
      <c r="B761" s="71" t="s">
        <v>95</v>
      </c>
      <c r="C761" s="72">
        <v>1</v>
      </c>
      <c r="D761" s="73">
        <f>$C761*VLOOKUP($B761,FoodDB!$A$2:$I$1024,3,0)</f>
        <v>0</v>
      </c>
      <c r="E761" s="73">
        <f>$C761*VLOOKUP($B761,FoodDB!$A$2:$I$1024,4,0)</f>
        <v>0</v>
      </c>
      <c r="F761" s="73">
        <f>$C761*VLOOKUP($B761,FoodDB!$A$2:$I$1024,5,0)</f>
        <v>0</v>
      </c>
      <c r="G761" s="73">
        <f>$C761*VLOOKUP($B761,FoodDB!$A$2:$I$1024,6,0)</f>
        <v>0</v>
      </c>
      <c r="H761" s="73">
        <f>$C761*VLOOKUP($B761,FoodDB!$A$2:$I$1024,7,0)</f>
        <v>0</v>
      </c>
      <c r="I761" s="73">
        <f>$C761*VLOOKUP($B761,FoodDB!$A$2:$I$1024,8,0)</f>
        <v>0</v>
      </c>
      <c r="J761" s="73">
        <f>$C761*VLOOKUP($B761,FoodDB!$A$2:$I$1024,9,0)</f>
        <v>0</v>
      </c>
      <c r="K761" s="73"/>
      <c r="L761" s="73">
        <f>SUM(G761:G767)</f>
        <v>0</v>
      </c>
      <c r="M761" s="73">
        <f>SUM(H761:H767)</f>
        <v>0</v>
      </c>
      <c r="N761" s="73">
        <f>SUM(I761:I767)</f>
        <v>0</v>
      </c>
      <c r="O761" s="73">
        <f>SUM(L761:N761)</f>
        <v>0</v>
      </c>
      <c r="P761" s="73">
        <f>VLOOKUP($A761,LossChart!$A$3:$AB$73,14,0)-L761</f>
        <v>781.69316867495127</v>
      </c>
      <c r="Q761" s="73">
        <f>VLOOKUP($A761,LossChart!$A$3:$AB$73,15,0)-M761</f>
        <v>80</v>
      </c>
      <c r="R761" s="73">
        <f>VLOOKUP($A761,LossChart!$A$3:$AB$73,16,0)-N761</f>
        <v>463.76562996293683</v>
      </c>
      <c r="S761" s="73">
        <f>VLOOKUP($A761,LossChart!$A$3:$AB$73,17,0)-O761</f>
        <v>1325.4587986378881</v>
      </c>
    </row>
    <row r="762" spans="1:19" x14ac:dyDescent="0.25">
      <c r="B762" s="71" t="s">
        <v>95</v>
      </c>
      <c r="C762" s="72">
        <v>1</v>
      </c>
      <c r="D762" s="73">
        <f>$C762*VLOOKUP($B762,FoodDB!$A$2:$I$1024,3,0)</f>
        <v>0</v>
      </c>
      <c r="E762" s="73">
        <f>$C762*VLOOKUP($B762,FoodDB!$A$2:$I$1024,4,0)</f>
        <v>0</v>
      </c>
      <c r="F762" s="73">
        <f>$C762*VLOOKUP($B762,FoodDB!$A$2:$I$1024,5,0)</f>
        <v>0</v>
      </c>
      <c r="G762" s="73">
        <f>$C762*VLOOKUP($B762,FoodDB!$A$2:$I$1024,6,0)</f>
        <v>0</v>
      </c>
      <c r="H762" s="73">
        <f>$C762*VLOOKUP($B762,FoodDB!$A$2:$I$1024,7,0)</f>
        <v>0</v>
      </c>
      <c r="I762" s="73">
        <f>$C762*VLOOKUP($B762,FoodDB!$A$2:$I$1024,8,0)</f>
        <v>0</v>
      </c>
      <c r="J762" s="73">
        <f>$C762*VLOOKUP($B762,FoodDB!$A$2:$I$1024,9,0)</f>
        <v>0</v>
      </c>
      <c r="K762" s="73"/>
      <c r="L762" s="73"/>
      <c r="M762" s="73"/>
      <c r="N762" s="73"/>
      <c r="O762" s="73"/>
      <c r="P762" s="73"/>
      <c r="Q762" s="73"/>
      <c r="R762" s="73"/>
      <c r="S762" s="73"/>
    </row>
    <row r="763" spans="1:19" x14ac:dyDescent="0.25">
      <c r="B763" s="71" t="s">
        <v>95</v>
      </c>
      <c r="C763" s="72">
        <v>1</v>
      </c>
      <c r="D763" s="73">
        <f>$C763*VLOOKUP($B763,FoodDB!$A$2:$I$1024,3,0)</f>
        <v>0</v>
      </c>
      <c r="E763" s="73">
        <f>$C763*VLOOKUP($B763,FoodDB!$A$2:$I$1024,4,0)</f>
        <v>0</v>
      </c>
      <c r="F763" s="73">
        <f>$C763*VLOOKUP($B763,FoodDB!$A$2:$I$1024,5,0)</f>
        <v>0</v>
      </c>
      <c r="G763" s="73">
        <f>$C763*VLOOKUP($B763,FoodDB!$A$2:$I$1024,6,0)</f>
        <v>0</v>
      </c>
      <c r="H763" s="73">
        <f>$C763*VLOOKUP($B763,FoodDB!$A$2:$I$1024,7,0)</f>
        <v>0</v>
      </c>
      <c r="I763" s="73">
        <f>$C763*VLOOKUP($B763,FoodDB!$A$2:$I$1024,8,0)</f>
        <v>0</v>
      </c>
      <c r="J763" s="73">
        <f>$C763*VLOOKUP($B763,FoodDB!$A$2:$I$1024,9,0)</f>
        <v>0</v>
      </c>
      <c r="K763" s="73"/>
      <c r="L763" s="73"/>
      <c r="M763" s="73"/>
      <c r="N763" s="73"/>
      <c r="O763" s="73"/>
      <c r="P763" s="73"/>
      <c r="Q763" s="73"/>
      <c r="R763" s="73"/>
      <c r="S763" s="73"/>
    </row>
    <row r="764" spans="1:19" x14ac:dyDescent="0.25">
      <c r="B764" s="71" t="s">
        <v>95</v>
      </c>
      <c r="C764" s="72">
        <v>1</v>
      </c>
      <c r="D764" s="73">
        <f>$C764*VLOOKUP($B764,FoodDB!$A$2:$I$1024,3,0)</f>
        <v>0</v>
      </c>
      <c r="E764" s="73">
        <f>$C764*VLOOKUP($B764,FoodDB!$A$2:$I$1024,4,0)</f>
        <v>0</v>
      </c>
      <c r="F764" s="73">
        <f>$C764*VLOOKUP($B764,FoodDB!$A$2:$I$1024,5,0)</f>
        <v>0</v>
      </c>
      <c r="G764" s="73">
        <f>$C764*VLOOKUP($B764,FoodDB!$A$2:$I$1024,6,0)</f>
        <v>0</v>
      </c>
      <c r="H764" s="73">
        <f>$C764*VLOOKUP($B764,FoodDB!$A$2:$I$1024,7,0)</f>
        <v>0</v>
      </c>
      <c r="I764" s="73">
        <f>$C764*VLOOKUP($B764,FoodDB!$A$2:$I$1024,8,0)</f>
        <v>0</v>
      </c>
      <c r="J764" s="73">
        <f>$C764*VLOOKUP($B764,FoodDB!$A$2:$I$1024,9,0)</f>
        <v>0</v>
      </c>
      <c r="K764" s="73"/>
      <c r="L764" s="73"/>
      <c r="M764" s="73"/>
      <c r="N764" s="73"/>
      <c r="O764" s="73"/>
      <c r="P764" s="73"/>
      <c r="Q764" s="73"/>
      <c r="R764" s="73"/>
      <c r="S764" s="73"/>
    </row>
    <row r="765" spans="1:19" x14ac:dyDescent="0.25">
      <c r="B765" s="71" t="s">
        <v>95</v>
      </c>
      <c r="C765" s="72">
        <v>1</v>
      </c>
      <c r="D765" s="73">
        <f>$C765*VLOOKUP($B765,FoodDB!$A$2:$I$1024,3,0)</f>
        <v>0</v>
      </c>
      <c r="E765" s="73">
        <f>$C765*VLOOKUP($B765,FoodDB!$A$2:$I$1024,4,0)</f>
        <v>0</v>
      </c>
      <c r="F765" s="73">
        <f>$C765*VLOOKUP($B765,FoodDB!$A$2:$I$1024,5,0)</f>
        <v>0</v>
      </c>
      <c r="G765" s="73">
        <f>$C765*VLOOKUP($B765,FoodDB!$A$2:$I$1024,6,0)</f>
        <v>0</v>
      </c>
      <c r="H765" s="73">
        <f>$C765*VLOOKUP($B765,FoodDB!$A$2:$I$1024,7,0)</f>
        <v>0</v>
      </c>
      <c r="I765" s="73">
        <f>$C765*VLOOKUP($B765,FoodDB!$A$2:$I$1024,8,0)</f>
        <v>0</v>
      </c>
      <c r="J765" s="73">
        <f>$C765*VLOOKUP($B765,FoodDB!$A$2:$I$1024,9,0)</f>
        <v>0</v>
      </c>
      <c r="K765" s="73"/>
      <c r="L765" s="73"/>
      <c r="M765" s="73"/>
      <c r="N765" s="73"/>
      <c r="O765" s="73"/>
      <c r="P765" s="73"/>
      <c r="Q765" s="73"/>
      <c r="R765" s="73"/>
      <c r="S765" s="73"/>
    </row>
    <row r="766" spans="1:19" x14ac:dyDescent="0.25">
      <c r="B766" s="71" t="s">
        <v>95</v>
      </c>
      <c r="C766" s="72">
        <v>1</v>
      </c>
      <c r="D766" s="73">
        <f>$C766*VLOOKUP($B766,FoodDB!$A$2:$I$1024,3,0)</f>
        <v>0</v>
      </c>
      <c r="E766" s="73">
        <f>$C766*VLOOKUP($B766,FoodDB!$A$2:$I$1024,4,0)</f>
        <v>0</v>
      </c>
      <c r="F766" s="73">
        <f>$C766*VLOOKUP($B766,FoodDB!$A$2:$I$1024,5,0)</f>
        <v>0</v>
      </c>
      <c r="G766" s="73">
        <f>$C766*VLOOKUP($B766,FoodDB!$A$2:$I$1024,6,0)</f>
        <v>0</v>
      </c>
      <c r="H766" s="73">
        <f>$C766*VLOOKUP($B766,FoodDB!$A$2:$I$1024,7,0)</f>
        <v>0</v>
      </c>
      <c r="I766" s="73">
        <f>$C766*VLOOKUP($B766,FoodDB!$A$2:$I$1024,8,0)</f>
        <v>0</v>
      </c>
      <c r="J766" s="73">
        <f>$C766*VLOOKUP($B766,FoodDB!$A$2:$I$1024,9,0)</f>
        <v>0</v>
      </c>
      <c r="K766" s="73"/>
      <c r="L766" s="73"/>
      <c r="M766" s="73"/>
      <c r="N766" s="73"/>
      <c r="O766" s="73"/>
      <c r="P766" s="73"/>
      <c r="Q766" s="73"/>
      <c r="R766" s="73"/>
      <c r="S766" s="73"/>
    </row>
    <row r="767" spans="1:19" x14ac:dyDescent="0.25">
      <c r="B767" s="71" t="s">
        <v>95</v>
      </c>
      <c r="C767" s="72">
        <v>1</v>
      </c>
      <c r="D767" s="73">
        <f>$C767*VLOOKUP($B767,FoodDB!$A$2:$I$1024,3,0)</f>
        <v>0</v>
      </c>
      <c r="E767" s="73">
        <f>$C767*VLOOKUP($B767,FoodDB!$A$2:$I$1024,4,0)</f>
        <v>0</v>
      </c>
      <c r="F767" s="73">
        <f>$C767*VLOOKUP($B767,FoodDB!$A$2:$I$1024,5,0)</f>
        <v>0</v>
      </c>
      <c r="G767" s="73">
        <f>$C767*VLOOKUP($B767,FoodDB!$A$2:$I$1024,6,0)</f>
        <v>0</v>
      </c>
      <c r="H767" s="73">
        <f>$C767*VLOOKUP($B767,FoodDB!$A$2:$I$1024,7,0)</f>
        <v>0</v>
      </c>
      <c r="I767" s="73">
        <f>$C767*VLOOKUP($B767,FoodDB!$A$2:$I$1024,8,0)</f>
        <v>0</v>
      </c>
      <c r="J767" s="73">
        <f>$C767*VLOOKUP($B767,FoodDB!$A$2:$I$1024,9,0)</f>
        <v>0</v>
      </c>
      <c r="K767" s="73"/>
      <c r="L767" s="73"/>
      <c r="M767" s="73"/>
      <c r="N767" s="73"/>
      <c r="O767" s="73"/>
      <c r="P767" s="73"/>
      <c r="Q767" s="73"/>
      <c r="R767" s="73"/>
      <c r="S767" s="73"/>
    </row>
    <row r="768" spans="1:19" x14ac:dyDescent="0.25">
      <c r="A768" t="s">
        <v>99</v>
      </c>
      <c r="D768" s="73"/>
      <c r="E768" s="73"/>
      <c r="F768" s="73"/>
      <c r="G768" s="73">
        <f>SUM(G761:G767)</f>
        <v>0</v>
      </c>
      <c r="H768" s="73">
        <f>SUM(H761:H767)</f>
        <v>0</v>
      </c>
      <c r="I768" s="73">
        <f>SUM(I761:I767)</f>
        <v>0</v>
      </c>
      <c r="J768" s="73">
        <f>SUM(G768:I768)</f>
        <v>0</v>
      </c>
      <c r="K768" s="73"/>
      <c r="L768" s="73"/>
      <c r="M768" s="73"/>
      <c r="N768" s="73"/>
      <c r="O768" s="73"/>
      <c r="P768" s="73"/>
      <c r="Q768" s="73"/>
      <c r="R768" s="73"/>
      <c r="S768" s="73"/>
    </row>
    <row r="769" spans="1:19" x14ac:dyDescent="0.25">
      <c r="A769" t="s">
        <v>100</v>
      </c>
      <c r="B769" t="s">
        <v>101</v>
      </c>
      <c r="D769" s="73"/>
      <c r="E769" s="73"/>
      <c r="F769" s="73"/>
      <c r="G769" s="73">
        <f>VLOOKUP($A761,LossChart!$A$3:$AB$73,14,0)</f>
        <v>781.69316867495127</v>
      </c>
      <c r="H769" s="73">
        <f>VLOOKUP($A761,LossChart!$A$3:$AB$73,15,0)</f>
        <v>80</v>
      </c>
      <c r="I769" s="73">
        <f>VLOOKUP($A761,LossChart!$A$3:$AB$73,16,0)</f>
        <v>463.76562996293683</v>
      </c>
      <c r="J769" s="73">
        <f>VLOOKUP($A761,LossChart!$A$3:$AB$73,17,0)</f>
        <v>1325.4587986378881</v>
      </c>
      <c r="K769" s="73"/>
      <c r="L769" s="73"/>
      <c r="M769" s="73"/>
      <c r="N769" s="73"/>
      <c r="O769" s="73"/>
      <c r="P769" s="73"/>
      <c r="Q769" s="73"/>
      <c r="R769" s="73"/>
      <c r="S769" s="73"/>
    </row>
    <row r="770" spans="1:19" x14ac:dyDescent="0.25">
      <c r="A770" t="s">
        <v>102</v>
      </c>
      <c r="D770" s="73"/>
      <c r="E770" s="73"/>
      <c r="F770" s="73"/>
      <c r="G770" s="73">
        <f>G769-G768</f>
        <v>781.69316867495127</v>
      </c>
      <c r="H770" s="73">
        <f>H769-H768</f>
        <v>80</v>
      </c>
      <c r="I770" s="73">
        <f>I769-I768</f>
        <v>463.76562996293683</v>
      </c>
      <c r="J770" s="73">
        <f>J769-J768</f>
        <v>1325.4587986378881</v>
      </c>
      <c r="K770" s="73"/>
      <c r="L770" s="73"/>
      <c r="M770" s="73"/>
      <c r="N770" s="73"/>
      <c r="O770" s="73"/>
      <c r="P770" s="73"/>
      <c r="Q770" s="73"/>
      <c r="R770" s="73"/>
      <c r="S770" s="73"/>
    </row>
    <row r="772" spans="1:19" ht="60" x14ac:dyDescent="0.25">
      <c r="A772" s="25" t="s">
        <v>63</v>
      </c>
      <c r="B772" s="25" t="s">
        <v>80</v>
      </c>
      <c r="C772" s="25" t="s">
        <v>81</v>
      </c>
      <c r="D772" s="69" t="str">
        <f>FoodDB!$C$1</f>
        <v>Fat
(g)</v>
      </c>
      <c r="E772" s="69" t="str">
        <f>FoodDB!$D$1</f>
        <v xml:space="preserve"> Net
Carbs
(g)</v>
      </c>
      <c r="F772" s="69" t="str">
        <f>FoodDB!$E$1</f>
        <v>Protein
(g)</v>
      </c>
      <c r="G772" s="69" t="str">
        <f>FoodDB!$F$1</f>
        <v>Fat
(Cal)</v>
      </c>
      <c r="H772" s="69" t="str">
        <f>FoodDB!$G$1</f>
        <v>Carb
(Cal)</v>
      </c>
      <c r="I772" s="69" t="str">
        <f>FoodDB!$H$1</f>
        <v>Protein
(Cal)</v>
      </c>
      <c r="J772" s="69" t="str">
        <f>FoodDB!$I$1</f>
        <v>Total
Calories</v>
      </c>
      <c r="K772" s="69"/>
      <c r="L772" s="69" t="s">
        <v>82</v>
      </c>
      <c r="M772" s="69" t="s">
        <v>83</v>
      </c>
      <c r="N772" s="69" t="s">
        <v>84</v>
      </c>
      <c r="O772" s="69" t="s">
        <v>85</v>
      </c>
      <c r="P772" s="69" t="s">
        <v>86</v>
      </c>
      <c r="Q772" s="69" t="s">
        <v>87</v>
      </c>
      <c r="R772" s="69" t="s">
        <v>88</v>
      </c>
      <c r="S772" s="69" t="s">
        <v>89</v>
      </c>
    </row>
    <row r="773" spans="1:19" x14ac:dyDescent="0.25">
      <c r="A773" s="70">
        <f>A761+1</f>
        <v>43095</v>
      </c>
      <c r="B773" s="71" t="s">
        <v>95</v>
      </c>
      <c r="C773" s="72">
        <v>1</v>
      </c>
      <c r="D773" s="73">
        <f>$C773*VLOOKUP($B773,FoodDB!$A$2:$I$1024,3,0)</f>
        <v>0</v>
      </c>
      <c r="E773" s="73">
        <f>$C773*VLOOKUP($B773,FoodDB!$A$2:$I$1024,4,0)</f>
        <v>0</v>
      </c>
      <c r="F773" s="73">
        <f>$C773*VLOOKUP($B773,FoodDB!$A$2:$I$1024,5,0)</f>
        <v>0</v>
      </c>
      <c r="G773" s="73">
        <f>$C773*VLOOKUP($B773,FoodDB!$A$2:$I$1024,6,0)</f>
        <v>0</v>
      </c>
      <c r="H773" s="73">
        <f>$C773*VLOOKUP($B773,FoodDB!$A$2:$I$1024,7,0)</f>
        <v>0</v>
      </c>
      <c r="I773" s="73">
        <f>$C773*VLOOKUP($B773,FoodDB!$A$2:$I$1024,8,0)</f>
        <v>0</v>
      </c>
      <c r="J773" s="73">
        <f>$C773*VLOOKUP($B773,FoodDB!$A$2:$I$1024,9,0)</f>
        <v>0</v>
      </c>
      <c r="K773" s="73"/>
      <c r="L773" s="73">
        <f>SUM(G773:G779)</f>
        <v>0</v>
      </c>
      <c r="M773" s="73">
        <f>SUM(H773:H779)</f>
        <v>0</v>
      </c>
      <c r="N773" s="73">
        <f>SUM(I773:I779)</f>
        <v>0</v>
      </c>
      <c r="O773" s="73">
        <f>SUM(L773:N773)</f>
        <v>0</v>
      </c>
      <c r="P773" s="73">
        <f>VLOOKUP($A773,LossChart!$A$3:$AB$961,14,0)-L773</f>
        <v>786.18338035877355</v>
      </c>
      <c r="Q773" s="73">
        <f>VLOOKUP($A773,LossChart!$A$3:$AB$961,15,0)-M773</f>
        <v>80</v>
      </c>
      <c r="R773" s="73">
        <f>VLOOKUP($A773,LossChart!$A$3:$AB$961,16,0)-N773</f>
        <v>463.76562996293683</v>
      </c>
      <c r="S773" s="73">
        <f>VLOOKUP($A773,LossChart!$A$3:$AB$961,17,0)-O773</f>
        <v>1329.9490103217104</v>
      </c>
    </row>
    <row r="774" spans="1:19" x14ac:dyDescent="0.25">
      <c r="B774" s="71" t="s">
        <v>95</v>
      </c>
      <c r="C774" s="72">
        <v>1</v>
      </c>
      <c r="D774" s="73">
        <f>$C774*VLOOKUP($B774,FoodDB!$A$2:$I$1024,3,0)</f>
        <v>0</v>
      </c>
      <c r="E774" s="73">
        <f>$C774*VLOOKUP($B774,FoodDB!$A$2:$I$1024,4,0)</f>
        <v>0</v>
      </c>
      <c r="F774" s="73">
        <f>$C774*VLOOKUP($B774,FoodDB!$A$2:$I$1024,5,0)</f>
        <v>0</v>
      </c>
      <c r="G774" s="73">
        <f>$C774*VLOOKUP($B774,FoodDB!$A$2:$I$1024,6,0)</f>
        <v>0</v>
      </c>
      <c r="H774" s="73">
        <f>$C774*VLOOKUP($B774,FoodDB!$A$2:$I$1024,7,0)</f>
        <v>0</v>
      </c>
      <c r="I774" s="73">
        <f>$C774*VLOOKUP($B774,FoodDB!$A$2:$I$1024,8,0)</f>
        <v>0</v>
      </c>
      <c r="J774" s="73">
        <f>$C774*VLOOKUP($B774,FoodDB!$A$2:$I$1024,9,0)</f>
        <v>0</v>
      </c>
      <c r="K774" s="73"/>
      <c r="L774" s="73"/>
      <c r="M774" s="73"/>
      <c r="N774" s="73"/>
      <c r="O774" s="73"/>
      <c r="P774" s="73"/>
      <c r="Q774" s="73"/>
      <c r="R774" s="73"/>
      <c r="S774" s="73"/>
    </row>
    <row r="775" spans="1:19" x14ac:dyDescent="0.25">
      <c r="B775" s="71" t="s">
        <v>95</v>
      </c>
      <c r="C775" s="72">
        <v>1</v>
      </c>
      <c r="D775" s="73">
        <f>$C775*VLOOKUP($B775,FoodDB!$A$2:$I$1024,3,0)</f>
        <v>0</v>
      </c>
      <c r="E775" s="73">
        <f>$C775*VLOOKUP($B775,FoodDB!$A$2:$I$1024,4,0)</f>
        <v>0</v>
      </c>
      <c r="F775" s="73">
        <f>$C775*VLOOKUP($B775,FoodDB!$A$2:$I$1024,5,0)</f>
        <v>0</v>
      </c>
      <c r="G775" s="73">
        <f>$C775*VLOOKUP($B775,FoodDB!$A$2:$I$1024,6,0)</f>
        <v>0</v>
      </c>
      <c r="H775" s="73">
        <f>$C775*VLOOKUP($B775,FoodDB!$A$2:$I$1024,7,0)</f>
        <v>0</v>
      </c>
      <c r="I775" s="73">
        <f>$C775*VLOOKUP($B775,FoodDB!$A$2:$I$1024,8,0)</f>
        <v>0</v>
      </c>
      <c r="J775" s="73">
        <f>$C775*VLOOKUP($B775,FoodDB!$A$2:$I$1024,9,0)</f>
        <v>0</v>
      </c>
      <c r="K775" s="73"/>
      <c r="L775" s="73"/>
      <c r="M775" s="73"/>
      <c r="N775" s="73"/>
      <c r="O775" s="73"/>
      <c r="P775" s="73"/>
      <c r="Q775" s="73"/>
      <c r="R775" s="73"/>
      <c r="S775" s="73"/>
    </row>
    <row r="776" spans="1:19" x14ac:dyDescent="0.25">
      <c r="B776" s="71" t="s">
        <v>95</v>
      </c>
      <c r="C776" s="72">
        <v>1</v>
      </c>
      <c r="D776" s="73">
        <f>$C776*VLOOKUP($B776,FoodDB!$A$2:$I$1024,3,0)</f>
        <v>0</v>
      </c>
      <c r="E776" s="73">
        <f>$C776*VLOOKUP($B776,FoodDB!$A$2:$I$1024,4,0)</f>
        <v>0</v>
      </c>
      <c r="F776" s="73">
        <f>$C776*VLOOKUP($B776,FoodDB!$A$2:$I$1024,5,0)</f>
        <v>0</v>
      </c>
      <c r="G776" s="73">
        <f>$C776*VLOOKUP($B776,FoodDB!$A$2:$I$1024,6,0)</f>
        <v>0</v>
      </c>
      <c r="H776" s="73">
        <f>$C776*VLOOKUP($B776,FoodDB!$A$2:$I$1024,7,0)</f>
        <v>0</v>
      </c>
      <c r="I776" s="73">
        <f>$C776*VLOOKUP($B776,FoodDB!$A$2:$I$1024,8,0)</f>
        <v>0</v>
      </c>
      <c r="J776" s="73">
        <f>$C776*VLOOKUP($B776,FoodDB!$A$2:$I$1024,9,0)</f>
        <v>0</v>
      </c>
      <c r="K776" s="73"/>
      <c r="L776" s="73"/>
      <c r="M776" s="73"/>
      <c r="N776" s="73"/>
      <c r="O776" s="73"/>
      <c r="P776" s="73"/>
      <c r="Q776" s="73"/>
      <c r="R776" s="73"/>
      <c r="S776" s="73"/>
    </row>
    <row r="777" spans="1:19" x14ac:dyDescent="0.25">
      <c r="B777" s="71" t="s">
        <v>95</v>
      </c>
      <c r="C777" s="72">
        <v>1</v>
      </c>
      <c r="D777" s="73">
        <f>$C777*VLOOKUP($B777,FoodDB!$A$2:$I$1024,3,0)</f>
        <v>0</v>
      </c>
      <c r="E777" s="73">
        <f>$C777*VLOOKUP($B777,FoodDB!$A$2:$I$1024,4,0)</f>
        <v>0</v>
      </c>
      <c r="F777" s="73">
        <f>$C777*VLOOKUP($B777,FoodDB!$A$2:$I$1024,5,0)</f>
        <v>0</v>
      </c>
      <c r="G777" s="73">
        <f>$C777*VLOOKUP($B777,FoodDB!$A$2:$I$1024,6,0)</f>
        <v>0</v>
      </c>
      <c r="H777" s="73">
        <f>$C777*VLOOKUP($B777,FoodDB!$A$2:$I$1024,7,0)</f>
        <v>0</v>
      </c>
      <c r="I777" s="73">
        <f>$C777*VLOOKUP($B777,FoodDB!$A$2:$I$1024,8,0)</f>
        <v>0</v>
      </c>
      <c r="J777" s="73">
        <f>$C777*VLOOKUP($B777,FoodDB!$A$2:$I$1024,9,0)</f>
        <v>0</v>
      </c>
      <c r="K777" s="73"/>
      <c r="L777" s="73"/>
      <c r="M777" s="73"/>
      <c r="N777" s="73"/>
      <c r="O777" s="73"/>
      <c r="P777" s="73"/>
      <c r="Q777" s="73"/>
      <c r="R777" s="73"/>
      <c r="S777" s="73"/>
    </row>
    <row r="778" spans="1:19" x14ac:dyDescent="0.25">
      <c r="B778" s="71" t="s">
        <v>95</v>
      </c>
      <c r="C778" s="72">
        <v>1</v>
      </c>
      <c r="D778" s="73">
        <f>$C778*VLOOKUP($B778,FoodDB!$A$2:$I$1024,3,0)</f>
        <v>0</v>
      </c>
      <c r="E778" s="73">
        <f>$C778*VLOOKUP($B778,FoodDB!$A$2:$I$1024,4,0)</f>
        <v>0</v>
      </c>
      <c r="F778" s="73">
        <f>$C778*VLOOKUP($B778,FoodDB!$A$2:$I$1024,5,0)</f>
        <v>0</v>
      </c>
      <c r="G778" s="73">
        <f>$C778*VLOOKUP($B778,FoodDB!$A$2:$I$1024,6,0)</f>
        <v>0</v>
      </c>
      <c r="H778" s="73">
        <f>$C778*VLOOKUP($B778,FoodDB!$A$2:$I$1024,7,0)</f>
        <v>0</v>
      </c>
      <c r="I778" s="73">
        <f>$C778*VLOOKUP($B778,FoodDB!$A$2:$I$1024,8,0)</f>
        <v>0</v>
      </c>
      <c r="J778" s="73">
        <f>$C778*VLOOKUP($B778,FoodDB!$A$2:$I$1024,9,0)</f>
        <v>0</v>
      </c>
      <c r="K778" s="73"/>
      <c r="L778" s="73"/>
      <c r="M778" s="73"/>
      <c r="N778" s="73"/>
      <c r="O778" s="73"/>
      <c r="P778" s="73"/>
      <c r="Q778" s="73"/>
      <c r="R778" s="73"/>
      <c r="S778" s="73"/>
    </row>
    <row r="779" spans="1:19" x14ac:dyDescent="0.25">
      <c r="B779" s="71" t="s">
        <v>95</v>
      </c>
      <c r="C779" s="72">
        <v>1</v>
      </c>
      <c r="D779" s="73">
        <f>$C779*VLOOKUP($B779,FoodDB!$A$2:$I$1024,3,0)</f>
        <v>0</v>
      </c>
      <c r="E779" s="73">
        <f>$C779*VLOOKUP($B779,FoodDB!$A$2:$I$1024,4,0)</f>
        <v>0</v>
      </c>
      <c r="F779" s="73">
        <f>$C779*VLOOKUP($B779,FoodDB!$A$2:$I$1024,5,0)</f>
        <v>0</v>
      </c>
      <c r="G779" s="73">
        <f>$C779*VLOOKUP($B779,FoodDB!$A$2:$I$1024,6,0)</f>
        <v>0</v>
      </c>
      <c r="H779" s="73">
        <f>$C779*VLOOKUP($B779,FoodDB!$A$2:$I$1024,7,0)</f>
        <v>0</v>
      </c>
      <c r="I779" s="73">
        <f>$C779*VLOOKUP($B779,FoodDB!$A$2:$I$1024,8,0)</f>
        <v>0</v>
      </c>
      <c r="J779" s="73">
        <f>$C779*VLOOKUP($B779,FoodDB!$A$2:$I$1024,9,0)</f>
        <v>0</v>
      </c>
      <c r="K779" s="73"/>
      <c r="L779" s="73"/>
      <c r="M779" s="73"/>
      <c r="N779" s="73"/>
      <c r="O779" s="73"/>
      <c r="P779" s="73"/>
      <c r="Q779" s="73"/>
      <c r="R779" s="73"/>
      <c r="S779" s="73"/>
    </row>
    <row r="780" spans="1:19" x14ac:dyDescent="0.25">
      <c r="A780" t="s">
        <v>99</v>
      </c>
      <c r="D780" s="73"/>
      <c r="E780" s="73"/>
      <c r="F780" s="73"/>
      <c r="G780" s="73">
        <f>SUM(G773:G779)</f>
        <v>0</v>
      </c>
      <c r="H780" s="73">
        <f>SUM(H773:H779)</f>
        <v>0</v>
      </c>
      <c r="I780" s="73">
        <f>SUM(I773:I779)</f>
        <v>0</v>
      </c>
      <c r="J780" s="73">
        <f>SUM(G780:I780)</f>
        <v>0</v>
      </c>
      <c r="K780" s="73"/>
      <c r="L780" s="73"/>
      <c r="M780" s="73"/>
      <c r="N780" s="73"/>
      <c r="O780" s="73"/>
      <c r="P780" s="73"/>
      <c r="Q780" s="73"/>
      <c r="R780" s="73"/>
      <c r="S780" s="73"/>
    </row>
    <row r="781" spans="1:19" x14ac:dyDescent="0.25">
      <c r="A781" t="s">
        <v>100</v>
      </c>
      <c r="B781" t="s">
        <v>101</v>
      </c>
      <c r="D781" s="73"/>
      <c r="E781" s="73"/>
      <c r="F781" s="73"/>
      <c r="G781" s="73">
        <f>VLOOKUP($A773,LossChart!$A$3:$AB$73,14,0)</f>
        <v>786.18338035877355</v>
      </c>
      <c r="H781" s="73">
        <f>VLOOKUP($A773,LossChart!$A$3:$AB$73,15,0)</f>
        <v>80</v>
      </c>
      <c r="I781" s="73">
        <f>VLOOKUP($A773,LossChart!$A$3:$AB$73,16,0)</f>
        <v>463.76562996293683</v>
      </c>
      <c r="J781" s="73">
        <f>VLOOKUP($A773,LossChart!$A$3:$AB$73,17,0)</f>
        <v>1329.9490103217104</v>
      </c>
      <c r="K781" s="73"/>
      <c r="L781" s="73"/>
      <c r="M781" s="73"/>
      <c r="N781" s="73"/>
      <c r="O781" s="73"/>
      <c r="P781" s="73"/>
      <c r="Q781" s="73"/>
      <c r="R781" s="73"/>
      <c r="S781" s="73"/>
    </row>
    <row r="782" spans="1:19" x14ac:dyDescent="0.25">
      <c r="A782" t="s">
        <v>102</v>
      </c>
      <c r="D782" s="73"/>
      <c r="E782" s="73"/>
      <c r="F782" s="73"/>
      <c r="G782" s="73">
        <f>G781-G780</f>
        <v>786.18338035877355</v>
      </c>
      <c r="H782" s="73">
        <f>H781-H780</f>
        <v>80</v>
      </c>
      <c r="I782" s="73">
        <f>I781-I780</f>
        <v>463.76562996293683</v>
      </c>
      <c r="J782" s="73">
        <f>J781-J780</f>
        <v>1329.9490103217104</v>
      </c>
      <c r="K782" s="73"/>
      <c r="L782" s="73"/>
      <c r="M782" s="73"/>
      <c r="N782" s="73"/>
      <c r="O782" s="73"/>
      <c r="P782" s="73"/>
      <c r="Q782" s="73"/>
      <c r="R782" s="73"/>
      <c r="S782" s="73"/>
    </row>
    <row r="784" spans="1:19" ht="60" x14ac:dyDescent="0.25">
      <c r="A784" s="25" t="s">
        <v>63</v>
      </c>
      <c r="B784" s="25" t="s">
        <v>80</v>
      </c>
      <c r="C784" s="25" t="s">
        <v>81</v>
      </c>
      <c r="D784" s="69" t="str">
        <f>FoodDB!$C$1</f>
        <v>Fat
(g)</v>
      </c>
      <c r="E784" s="69" t="str">
        <f>FoodDB!$D$1</f>
        <v xml:space="preserve"> Net
Carbs
(g)</v>
      </c>
      <c r="F784" s="69" t="str">
        <f>FoodDB!$E$1</f>
        <v>Protein
(g)</v>
      </c>
      <c r="G784" s="69" t="str">
        <f>FoodDB!$F$1</f>
        <v>Fat
(Cal)</v>
      </c>
      <c r="H784" s="69" t="str">
        <f>FoodDB!$G$1</f>
        <v>Carb
(Cal)</v>
      </c>
      <c r="I784" s="69" t="str">
        <f>FoodDB!$H$1</f>
        <v>Protein
(Cal)</v>
      </c>
      <c r="J784" s="69" t="str">
        <f>FoodDB!$I$1</f>
        <v>Total
Calories</v>
      </c>
      <c r="K784" s="69"/>
      <c r="L784" s="69" t="s">
        <v>82</v>
      </c>
      <c r="M784" s="69" t="s">
        <v>83</v>
      </c>
      <c r="N784" s="69" t="s">
        <v>84</v>
      </c>
      <c r="O784" s="69" t="s">
        <v>85</v>
      </c>
      <c r="P784" s="69" t="s">
        <v>86</v>
      </c>
      <c r="Q784" s="69" t="s">
        <v>87</v>
      </c>
      <c r="R784" s="69" t="s">
        <v>88</v>
      </c>
      <c r="S784" s="69" t="s">
        <v>89</v>
      </c>
    </row>
    <row r="785" spans="1:19" x14ac:dyDescent="0.25">
      <c r="A785" s="70">
        <f>A773+1</f>
        <v>43096</v>
      </c>
      <c r="B785" s="71" t="s">
        <v>95</v>
      </c>
      <c r="C785" s="72">
        <v>1</v>
      </c>
      <c r="D785" s="73">
        <f>$C785*VLOOKUP($B785,FoodDB!$A$2:$I$1024,3,0)</f>
        <v>0</v>
      </c>
      <c r="E785" s="73">
        <f>$C785*VLOOKUP($B785,FoodDB!$A$2:$I$1024,4,0)</f>
        <v>0</v>
      </c>
      <c r="F785" s="73">
        <f>$C785*VLOOKUP($B785,FoodDB!$A$2:$I$1024,5,0)</f>
        <v>0</v>
      </c>
      <c r="G785" s="73">
        <f>$C785*VLOOKUP($B785,FoodDB!$A$2:$I$1024,6,0)</f>
        <v>0</v>
      </c>
      <c r="H785" s="73">
        <f>$C785*VLOOKUP($B785,FoodDB!$A$2:$I$1024,7,0)</f>
        <v>0</v>
      </c>
      <c r="I785" s="73">
        <f>$C785*VLOOKUP($B785,FoodDB!$A$2:$I$1024,8,0)</f>
        <v>0</v>
      </c>
      <c r="J785" s="73">
        <f>$C785*VLOOKUP($B785,FoodDB!$A$2:$I$1024,9,0)</f>
        <v>0</v>
      </c>
      <c r="K785" s="73"/>
      <c r="L785" s="73">
        <f>SUM(G785:G791)</f>
        <v>0</v>
      </c>
      <c r="M785" s="73">
        <f>SUM(H785:H791)</f>
        <v>0</v>
      </c>
      <c r="N785" s="73">
        <f>SUM(I785:I791)</f>
        <v>0</v>
      </c>
      <c r="O785" s="73">
        <f>SUM(L785:N785)</f>
        <v>0</v>
      </c>
      <c r="P785" s="73">
        <f>VLOOKUP($A785,LossChart!$A$3:$AB$961,14,0)-L785</f>
        <v>790.63382159625348</v>
      </c>
      <c r="Q785" s="73">
        <f>VLOOKUP($A785,LossChart!$A$3:$AB$961,15,0)-M785</f>
        <v>80</v>
      </c>
      <c r="R785" s="73">
        <f>VLOOKUP($A785,LossChart!$A$3:$AB$961,16,0)-N785</f>
        <v>463.76562996293683</v>
      </c>
      <c r="S785" s="73">
        <f>VLOOKUP($A785,LossChart!$A$3:$AB$961,17,0)-O785</f>
        <v>1334.3994515591903</v>
      </c>
    </row>
    <row r="786" spans="1:19" x14ac:dyDescent="0.25">
      <c r="B786" s="71" t="s">
        <v>95</v>
      </c>
      <c r="C786" s="72">
        <v>1</v>
      </c>
      <c r="D786" s="73">
        <f>$C786*VLOOKUP($B786,FoodDB!$A$2:$I$1024,3,0)</f>
        <v>0</v>
      </c>
      <c r="E786" s="73">
        <f>$C786*VLOOKUP($B786,FoodDB!$A$2:$I$1024,4,0)</f>
        <v>0</v>
      </c>
      <c r="F786" s="73">
        <f>$C786*VLOOKUP($B786,FoodDB!$A$2:$I$1024,5,0)</f>
        <v>0</v>
      </c>
      <c r="G786" s="73">
        <f>$C786*VLOOKUP($B786,FoodDB!$A$2:$I$1024,6,0)</f>
        <v>0</v>
      </c>
      <c r="H786" s="73">
        <f>$C786*VLOOKUP($B786,FoodDB!$A$2:$I$1024,7,0)</f>
        <v>0</v>
      </c>
      <c r="I786" s="73">
        <f>$C786*VLOOKUP($B786,FoodDB!$A$2:$I$1024,8,0)</f>
        <v>0</v>
      </c>
      <c r="J786" s="73">
        <f>$C786*VLOOKUP($B786,FoodDB!$A$2:$I$1024,9,0)</f>
        <v>0</v>
      </c>
      <c r="K786" s="73"/>
      <c r="L786" s="73"/>
      <c r="M786" s="73"/>
      <c r="N786" s="73"/>
      <c r="O786" s="73"/>
      <c r="P786" s="73"/>
      <c r="Q786" s="73"/>
      <c r="R786" s="73"/>
      <c r="S786" s="73"/>
    </row>
    <row r="787" spans="1:19" x14ac:dyDescent="0.25">
      <c r="B787" s="71" t="s">
        <v>95</v>
      </c>
      <c r="C787" s="72">
        <v>1</v>
      </c>
      <c r="D787" s="73">
        <f>$C787*VLOOKUP($B787,FoodDB!$A$2:$I$1024,3,0)</f>
        <v>0</v>
      </c>
      <c r="E787" s="73">
        <f>$C787*VLOOKUP($B787,FoodDB!$A$2:$I$1024,4,0)</f>
        <v>0</v>
      </c>
      <c r="F787" s="73">
        <f>$C787*VLOOKUP($B787,FoodDB!$A$2:$I$1024,5,0)</f>
        <v>0</v>
      </c>
      <c r="G787" s="73">
        <f>$C787*VLOOKUP($B787,FoodDB!$A$2:$I$1024,6,0)</f>
        <v>0</v>
      </c>
      <c r="H787" s="73">
        <f>$C787*VLOOKUP($B787,FoodDB!$A$2:$I$1024,7,0)</f>
        <v>0</v>
      </c>
      <c r="I787" s="73">
        <f>$C787*VLOOKUP($B787,FoodDB!$A$2:$I$1024,8,0)</f>
        <v>0</v>
      </c>
      <c r="J787" s="73">
        <f>$C787*VLOOKUP($B787,FoodDB!$A$2:$I$1024,9,0)</f>
        <v>0</v>
      </c>
      <c r="K787" s="73"/>
      <c r="L787" s="73"/>
      <c r="M787" s="73"/>
      <c r="N787" s="73"/>
      <c r="O787" s="73"/>
      <c r="P787" s="73"/>
      <c r="Q787" s="73"/>
      <c r="R787" s="73"/>
      <c r="S787" s="73"/>
    </row>
    <row r="788" spans="1:19" x14ac:dyDescent="0.25">
      <c r="B788" s="71" t="s">
        <v>95</v>
      </c>
      <c r="C788" s="72">
        <v>1</v>
      </c>
      <c r="D788" s="73">
        <f>$C788*VLOOKUP($B788,FoodDB!$A$2:$I$1024,3,0)</f>
        <v>0</v>
      </c>
      <c r="E788" s="73">
        <f>$C788*VLOOKUP($B788,FoodDB!$A$2:$I$1024,4,0)</f>
        <v>0</v>
      </c>
      <c r="F788" s="73">
        <f>$C788*VLOOKUP($B788,FoodDB!$A$2:$I$1024,5,0)</f>
        <v>0</v>
      </c>
      <c r="G788" s="73">
        <f>$C788*VLOOKUP($B788,FoodDB!$A$2:$I$1024,6,0)</f>
        <v>0</v>
      </c>
      <c r="H788" s="73">
        <f>$C788*VLOOKUP($B788,FoodDB!$A$2:$I$1024,7,0)</f>
        <v>0</v>
      </c>
      <c r="I788" s="73">
        <f>$C788*VLOOKUP($B788,FoodDB!$A$2:$I$1024,8,0)</f>
        <v>0</v>
      </c>
      <c r="J788" s="73">
        <f>$C788*VLOOKUP($B788,FoodDB!$A$2:$I$1024,9,0)</f>
        <v>0</v>
      </c>
      <c r="K788" s="73"/>
      <c r="L788" s="73"/>
      <c r="M788" s="73"/>
      <c r="N788" s="73"/>
      <c r="O788" s="73"/>
      <c r="P788" s="73"/>
      <c r="Q788" s="73"/>
      <c r="R788" s="73"/>
      <c r="S788" s="73"/>
    </row>
    <row r="789" spans="1:19" x14ac:dyDescent="0.25">
      <c r="B789" s="71" t="s">
        <v>95</v>
      </c>
      <c r="C789" s="72">
        <v>1</v>
      </c>
      <c r="D789" s="73">
        <f>$C789*VLOOKUP($B789,FoodDB!$A$2:$I$1024,3,0)</f>
        <v>0</v>
      </c>
      <c r="E789" s="73">
        <f>$C789*VLOOKUP($B789,FoodDB!$A$2:$I$1024,4,0)</f>
        <v>0</v>
      </c>
      <c r="F789" s="73">
        <f>$C789*VLOOKUP($B789,FoodDB!$A$2:$I$1024,5,0)</f>
        <v>0</v>
      </c>
      <c r="G789" s="73">
        <f>$C789*VLOOKUP($B789,FoodDB!$A$2:$I$1024,6,0)</f>
        <v>0</v>
      </c>
      <c r="H789" s="73">
        <f>$C789*VLOOKUP($B789,FoodDB!$A$2:$I$1024,7,0)</f>
        <v>0</v>
      </c>
      <c r="I789" s="73">
        <f>$C789*VLOOKUP($B789,FoodDB!$A$2:$I$1024,8,0)</f>
        <v>0</v>
      </c>
      <c r="J789" s="73">
        <f>$C789*VLOOKUP($B789,FoodDB!$A$2:$I$1024,9,0)</f>
        <v>0</v>
      </c>
      <c r="K789" s="73"/>
      <c r="L789" s="73"/>
      <c r="M789" s="73"/>
      <c r="N789" s="73"/>
      <c r="O789" s="73"/>
      <c r="P789" s="73"/>
      <c r="Q789" s="73"/>
      <c r="R789" s="73"/>
      <c r="S789" s="73"/>
    </row>
    <row r="790" spans="1:19" x14ac:dyDescent="0.25">
      <c r="B790" s="71" t="s">
        <v>95</v>
      </c>
      <c r="C790" s="72">
        <v>1</v>
      </c>
      <c r="D790" s="73">
        <f>$C790*VLOOKUP($B790,FoodDB!$A$2:$I$1024,3,0)</f>
        <v>0</v>
      </c>
      <c r="E790" s="73">
        <f>$C790*VLOOKUP($B790,FoodDB!$A$2:$I$1024,4,0)</f>
        <v>0</v>
      </c>
      <c r="F790" s="73">
        <f>$C790*VLOOKUP($B790,FoodDB!$A$2:$I$1024,5,0)</f>
        <v>0</v>
      </c>
      <c r="G790" s="73">
        <f>$C790*VLOOKUP($B790,FoodDB!$A$2:$I$1024,6,0)</f>
        <v>0</v>
      </c>
      <c r="H790" s="73">
        <f>$C790*VLOOKUP($B790,FoodDB!$A$2:$I$1024,7,0)</f>
        <v>0</v>
      </c>
      <c r="I790" s="73">
        <f>$C790*VLOOKUP($B790,FoodDB!$A$2:$I$1024,8,0)</f>
        <v>0</v>
      </c>
      <c r="J790" s="73">
        <f>$C790*VLOOKUP($B790,FoodDB!$A$2:$I$1024,9,0)</f>
        <v>0</v>
      </c>
      <c r="K790" s="73"/>
      <c r="L790" s="73"/>
      <c r="M790" s="73"/>
      <c r="N790" s="73"/>
      <c r="O790" s="73"/>
      <c r="P790" s="73"/>
      <c r="Q790" s="73"/>
      <c r="R790" s="73"/>
      <c r="S790" s="73"/>
    </row>
    <row r="791" spans="1:19" x14ac:dyDescent="0.25">
      <c r="B791" s="71" t="s">
        <v>95</v>
      </c>
      <c r="C791" s="72">
        <v>1</v>
      </c>
      <c r="D791" s="73">
        <f>$C791*VLOOKUP($B791,FoodDB!$A$2:$I$1024,3,0)</f>
        <v>0</v>
      </c>
      <c r="E791" s="73">
        <f>$C791*VLOOKUP($B791,FoodDB!$A$2:$I$1024,4,0)</f>
        <v>0</v>
      </c>
      <c r="F791" s="73">
        <f>$C791*VLOOKUP($B791,FoodDB!$A$2:$I$1024,5,0)</f>
        <v>0</v>
      </c>
      <c r="G791" s="73">
        <f>$C791*VLOOKUP($B791,FoodDB!$A$2:$I$1024,6,0)</f>
        <v>0</v>
      </c>
      <c r="H791" s="73">
        <f>$C791*VLOOKUP($B791,FoodDB!$A$2:$I$1024,7,0)</f>
        <v>0</v>
      </c>
      <c r="I791" s="73">
        <f>$C791*VLOOKUP($B791,FoodDB!$A$2:$I$1024,8,0)</f>
        <v>0</v>
      </c>
      <c r="J791" s="73">
        <f>$C791*VLOOKUP($B791,FoodDB!$A$2:$I$1024,9,0)</f>
        <v>0</v>
      </c>
      <c r="K791" s="73"/>
      <c r="L791" s="73"/>
      <c r="M791" s="73"/>
      <c r="N791" s="73"/>
      <c r="O791" s="73"/>
      <c r="P791" s="73"/>
      <c r="Q791" s="73"/>
      <c r="R791" s="73"/>
      <c r="S791" s="73"/>
    </row>
    <row r="792" spans="1:19" x14ac:dyDescent="0.25">
      <c r="A792" t="s">
        <v>99</v>
      </c>
      <c r="D792" s="73"/>
      <c r="E792" s="73"/>
      <c r="F792" s="73"/>
      <c r="G792" s="73">
        <f>SUM(G785:G791)</f>
        <v>0</v>
      </c>
      <c r="H792" s="73">
        <f>SUM(H785:H791)</f>
        <v>0</v>
      </c>
      <c r="I792" s="73">
        <f>SUM(I785:I791)</f>
        <v>0</v>
      </c>
      <c r="J792" s="73">
        <f>SUM(G792:I792)</f>
        <v>0</v>
      </c>
      <c r="K792" s="73"/>
      <c r="L792" s="73"/>
      <c r="M792" s="73"/>
      <c r="N792" s="73"/>
      <c r="O792" s="73"/>
      <c r="P792" s="73"/>
      <c r="Q792" s="73"/>
      <c r="R792" s="73"/>
      <c r="S792" s="73"/>
    </row>
    <row r="793" spans="1:19" x14ac:dyDescent="0.25">
      <c r="A793" t="s">
        <v>100</v>
      </c>
      <c r="B793" t="s">
        <v>101</v>
      </c>
      <c r="D793" s="73"/>
      <c r="E793" s="73"/>
      <c r="F793" s="73"/>
      <c r="G793" s="73">
        <f>VLOOKUP($A785,LossChart!$A$3:$AB$73,14,0)</f>
        <v>790.63382159625348</v>
      </c>
      <c r="H793" s="73">
        <f>VLOOKUP($A785,LossChart!$A$3:$AB$73,15,0)</f>
        <v>80</v>
      </c>
      <c r="I793" s="73">
        <f>VLOOKUP($A785,LossChart!$A$3:$AB$73,16,0)</f>
        <v>463.76562996293683</v>
      </c>
      <c r="J793" s="73">
        <f>VLOOKUP($A785,LossChart!$A$3:$AB$73,17,0)</f>
        <v>1334.3994515591903</v>
      </c>
      <c r="K793" s="73"/>
      <c r="L793" s="73"/>
      <c r="M793" s="73"/>
      <c r="N793" s="73"/>
      <c r="O793" s="73"/>
      <c r="P793" s="73"/>
      <c r="Q793" s="73"/>
      <c r="R793" s="73"/>
      <c r="S793" s="73"/>
    </row>
    <row r="794" spans="1:19" x14ac:dyDescent="0.25">
      <c r="A794" t="s">
        <v>102</v>
      </c>
      <c r="D794" s="73"/>
      <c r="E794" s="73"/>
      <c r="F794" s="73"/>
      <c r="G794" s="73">
        <f>G793-G792</f>
        <v>790.63382159625348</v>
      </c>
      <c r="H794" s="73">
        <f>H793-H792</f>
        <v>80</v>
      </c>
      <c r="I794" s="73">
        <f>I793-I792</f>
        <v>463.76562996293683</v>
      </c>
      <c r="J794" s="73">
        <f>J793-J792</f>
        <v>1334.3994515591903</v>
      </c>
      <c r="K794" s="73"/>
      <c r="L794" s="73"/>
      <c r="M794" s="73"/>
      <c r="N794" s="73"/>
      <c r="O794" s="73"/>
      <c r="P794" s="73"/>
      <c r="Q794" s="73"/>
      <c r="R794" s="73"/>
      <c r="S794" s="73"/>
    </row>
    <row r="796" spans="1:19" ht="60" x14ac:dyDescent="0.25">
      <c r="A796" s="25" t="s">
        <v>63</v>
      </c>
      <c r="B796" s="25" t="s">
        <v>80</v>
      </c>
      <c r="C796" s="25" t="s">
        <v>81</v>
      </c>
      <c r="D796" s="69" t="str">
        <f>FoodDB!$C$1</f>
        <v>Fat
(g)</v>
      </c>
      <c r="E796" s="69" t="str">
        <f>FoodDB!$D$1</f>
        <v xml:space="preserve"> Net
Carbs
(g)</v>
      </c>
      <c r="F796" s="69" t="str">
        <f>FoodDB!$E$1</f>
        <v>Protein
(g)</v>
      </c>
      <c r="G796" s="69" t="str">
        <f>FoodDB!$F$1</f>
        <v>Fat
(Cal)</v>
      </c>
      <c r="H796" s="69" t="str">
        <f>FoodDB!$G$1</f>
        <v>Carb
(Cal)</v>
      </c>
      <c r="I796" s="69" t="str">
        <f>FoodDB!$H$1</f>
        <v>Protein
(Cal)</v>
      </c>
      <c r="J796" s="69" t="str">
        <f>FoodDB!$I$1</f>
        <v>Total
Calories</v>
      </c>
      <c r="K796" s="69"/>
      <c r="L796" s="69" t="s">
        <v>82</v>
      </c>
      <c r="M796" s="69" t="s">
        <v>83</v>
      </c>
      <c r="N796" s="69" t="s">
        <v>84</v>
      </c>
      <c r="O796" s="69" t="s">
        <v>85</v>
      </c>
      <c r="P796" s="69" t="s">
        <v>86</v>
      </c>
      <c r="Q796" s="69" t="s">
        <v>87</v>
      </c>
      <c r="R796" s="69" t="s">
        <v>88</v>
      </c>
      <c r="S796" s="69" t="s">
        <v>89</v>
      </c>
    </row>
    <row r="797" spans="1:19" x14ac:dyDescent="0.25">
      <c r="A797" s="70">
        <f>A785+1</f>
        <v>43097</v>
      </c>
      <c r="B797" s="71" t="s">
        <v>95</v>
      </c>
      <c r="C797" s="72">
        <v>1</v>
      </c>
      <c r="D797" s="73">
        <f>$C797*VLOOKUP($B797,FoodDB!$A$2:$I$1024,3,0)</f>
        <v>0</v>
      </c>
      <c r="E797" s="73">
        <f>$C797*VLOOKUP($B797,FoodDB!$A$2:$I$1024,4,0)</f>
        <v>0</v>
      </c>
      <c r="F797" s="73">
        <f>$C797*VLOOKUP($B797,FoodDB!$A$2:$I$1024,5,0)</f>
        <v>0</v>
      </c>
      <c r="G797" s="73">
        <f>$C797*VLOOKUP($B797,FoodDB!$A$2:$I$1024,6,0)</f>
        <v>0</v>
      </c>
      <c r="H797" s="73">
        <f>$C797*VLOOKUP($B797,FoodDB!$A$2:$I$1024,7,0)</f>
        <v>0</v>
      </c>
      <c r="I797" s="73">
        <f>$C797*VLOOKUP($B797,FoodDB!$A$2:$I$1024,8,0)</f>
        <v>0</v>
      </c>
      <c r="J797" s="73">
        <f>$C797*VLOOKUP($B797,FoodDB!$A$2:$I$1024,9,0)</f>
        <v>0</v>
      </c>
      <c r="K797" s="73"/>
      <c r="L797" s="73">
        <f>SUM(G797:G803)</f>
        <v>0</v>
      </c>
      <c r="M797" s="73">
        <f>SUM(H797:H803)</f>
        <v>0</v>
      </c>
      <c r="N797" s="73">
        <f>SUM(I797:I803)</f>
        <v>0</v>
      </c>
      <c r="O797" s="73">
        <f>SUM(L797:N797)</f>
        <v>0</v>
      </c>
      <c r="P797" s="73">
        <f>VLOOKUP($A797,LossChart!$A$3:$AB$961,14,0)-L797</f>
        <v>795.04484463991571</v>
      </c>
      <c r="Q797" s="73">
        <f>VLOOKUP($A797,LossChart!$A$3:$AB$961,15,0)-M797</f>
        <v>80</v>
      </c>
      <c r="R797" s="73">
        <f>VLOOKUP($A797,LossChart!$A$3:$AB$961,16,0)-N797</f>
        <v>463.76562996293683</v>
      </c>
      <c r="S797" s="73">
        <f>VLOOKUP($A797,LossChart!$A$3:$AB$961,17,0)-O797</f>
        <v>1338.8104746028525</v>
      </c>
    </row>
    <row r="798" spans="1:19" x14ac:dyDescent="0.25">
      <c r="B798" s="71" t="s">
        <v>95</v>
      </c>
      <c r="C798" s="72">
        <v>1</v>
      </c>
      <c r="D798" s="73">
        <f>$C798*VLOOKUP($B798,FoodDB!$A$2:$I$1024,3,0)</f>
        <v>0</v>
      </c>
      <c r="E798" s="73">
        <f>$C798*VLOOKUP($B798,FoodDB!$A$2:$I$1024,4,0)</f>
        <v>0</v>
      </c>
      <c r="F798" s="73">
        <f>$C798*VLOOKUP($B798,FoodDB!$A$2:$I$1024,5,0)</f>
        <v>0</v>
      </c>
      <c r="G798" s="73">
        <f>$C798*VLOOKUP($B798,FoodDB!$A$2:$I$1024,6,0)</f>
        <v>0</v>
      </c>
      <c r="H798" s="73">
        <f>$C798*VLOOKUP($B798,FoodDB!$A$2:$I$1024,7,0)</f>
        <v>0</v>
      </c>
      <c r="I798" s="73">
        <f>$C798*VLOOKUP($B798,FoodDB!$A$2:$I$1024,8,0)</f>
        <v>0</v>
      </c>
      <c r="J798" s="73">
        <f>$C798*VLOOKUP($B798,FoodDB!$A$2:$I$1024,9,0)</f>
        <v>0</v>
      </c>
      <c r="K798" s="73"/>
      <c r="L798" s="73"/>
      <c r="M798" s="73"/>
      <c r="N798" s="73"/>
      <c r="O798" s="73"/>
      <c r="P798" s="73"/>
      <c r="Q798" s="73"/>
      <c r="R798" s="73"/>
      <c r="S798" s="73"/>
    </row>
    <row r="799" spans="1:19" x14ac:dyDescent="0.25">
      <c r="B799" s="71" t="s">
        <v>95</v>
      </c>
      <c r="C799" s="72">
        <v>1</v>
      </c>
      <c r="D799" s="73">
        <f>$C799*VLOOKUP($B799,FoodDB!$A$2:$I$1024,3,0)</f>
        <v>0</v>
      </c>
      <c r="E799" s="73">
        <f>$C799*VLOOKUP($B799,FoodDB!$A$2:$I$1024,4,0)</f>
        <v>0</v>
      </c>
      <c r="F799" s="73">
        <f>$C799*VLOOKUP($B799,FoodDB!$A$2:$I$1024,5,0)</f>
        <v>0</v>
      </c>
      <c r="G799" s="73">
        <f>$C799*VLOOKUP($B799,FoodDB!$A$2:$I$1024,6,0)</f>
        <v>0</v>
      </c>
      <c r="H799" s="73">
        <f>$C799*VLOOKUP($B799,FoodDB!$A$2:$I$1024,7,0)</f>
        <v>0</v>
      </c>
      <c r="I799" s="73">
        <f>$C799*VLOOKUP($B799,FoodDB!$A$2:$I$1024,8,0)</f>
        <v>0</v>
      </c>
      <c r="J799" s="73">
        <f>$C799*VLOOKUP($B799,FoodDB!$A$2:$I$1024,9,0)</f>
        <v>0</v>
      </c>
      <c r="K799" s="73"/>
      <c r="L799" s="73"/>
      <c r="M799" s="73"/>
      <c r="N799" s="73"/>
      <c r="O799" s="73"/>
      <c r="P799" s="73"/>
      <c r="Q799" s="73"/>
      <c r="R799" s="73"/>
      <c r="S799" s="73"/>
    </row>
    <row r="800" spans="1:19" x14ac:dyDescent="0.25">
      <c r="B800" s="71" t="s">
        <v>95</v>
      </c>
      <c r="C800" s="72">
        <v>1</v>
      </c>
      <c r="D800" s="73">
        <f>$C800*VLOOKUP($B800,FoodDB!$A$2:$I$1024,3,0)</f>
        <v>0</v>
      </c>
      <c r="E800" s="73">
        <f>$C800*VLOOKUP($B800,FoodDB!$A$2:$I$1024,4,0)</f>
        <v>0</v>
      </c>
      <c r="F800" s="73">
        <f>$C800*VLOOKUP($B800,FoodDB!$A$2:$I$1024,5,0)</f>
        <v>0</v>
      </c>
      <c r="G800" s="73">
        <f>$C800*VLOOKUP($B800,FoodDB!$A$2:$I$1024,6,0)</f>
        <v>0</v>
      </c>
      <c r="H800" s="73">
        <f>$C800*VLOOKUP($B800,FoodDB!$A$2:$I$1024,7,0)</f>
        <v>0</v>
      </c>
      <c r="I800" s="73">
        <f>$C800*VLOOKUP($B800,FoodDB!$A$2:$I$1024,8,0)</f>
        <v>0</v>
      </c>
      <c r="J800" s="73">
        <f>$C800*VLOOKUP($B800,FoodDB!$A$2:$I$1024,9,0)</f>
        <v>0</v>
      </c>
      <c r="K800" s="73"/>
      <c r="L800" s="73"/>
      <c r="M800" s="73"/>
      <c r="N800" s="73"/>
      <c r="O800" s="73"/>
      <c r="P800" s="73"/>
      <c r="Q800" s="73"/>
      <c r="R800" s="73"/>
      <c r="S800" s="73"/>
    </row>
    <row r="801" spans="1:19" x14ac:dyDescent="0.25">
      <c r="B801" s="71" t="s">
        <v>95</v>
      </c>
      <c r="C801" s="72">
        <v>1</v>
      </c>
      <c r="D801" s="73">
        <f>$C801*VLOOKUP($B801,FoodDB!$A$2:$I$1024,3,0)</f>
        <v>0</v>
      </c>
      <c r="E801" s="73">
        <f>$C801*VLOOKUP($B801,FoodDB!$A$2:$I$1024,4,0)</f>
        <v>0</v>
      </c>
      <c r="F801" s="73">
        <f>$C801*VLOOKUP($B801,FoodDB!$A$2:$I$1024,5,0)</f>
        <v>0</v>
      </c>
      <c r="G801" s="73">
        <f>$C801*VLOOKUP($B801,FoodDB!$A$2:$I$1024,6,0)</f>
        <v>0</v>
      </c>
      <c r="H801" s="73">
        <f>$C801*VLOOKUP($B801,FoodDB!$A$2:$I$1024,7,0)</f>
        <v>0</v>
      </c>
      <c r="I801" s="73">
        <f>$C801*VLOOKUP($B801,FoodDB!$A$2:$I$1024,8,0)</f>
        <v>0</v>
      </c>
      <c r="J801" s="73">
        <f>$C801*VLOOKUP($B801,FoodDB!$A$2:$I$1024,9,0)</f>
        <v>0</v>
      </c>
      <c r="K801" s="73"/>
      <c r="L801" s="73"/>
      <c r="M801" s="73"/>
      <c r="N801" s="73"/>
      <c r="O801" s="73"/>
      <c r="P801" s="73"/>
      <c r="Q801" s="73"/>
      <c r="R801" s="73"/>
      <c r="S801" s="73"/>
    </row>
    <row r="802" spans="1:19" x14ac:dyDescent="0.25">
      <c r="B802" s="71" t="s">
        <v>95</v>
      </c>
      <c r="C802" s="72">
        <v>1</v>
      </c>
      <c r="D802" s="73">
        <f>$C802*VLOOKUP($B802,FoodDB!$A$2:$I$1024,3,0)</f>
        <v>0</v>
      </c>
      <c r="E802" s="73">
        <f>$C802*VLOOKUP($B802,FoodDB!$A$2:$I$1024,4,0)</f>
        <v>0</v>
      </c>
      <c r="F802" s="73">
        <f>$C802*VLOOKUP($B802,FoodDB!$A$2:$I$1024,5,0)</f>
        <v>0</v>
      </c>
      <c r="G802" s="73">
        <f>$C802*VLOOKUP($B802,FoodDB!$A$2:$I$1024,6,0)</f>
        <v>0</v>
      </c>
      <c r="H802" s="73">
        <f>$C802*VLOOKUP($B802,FoodDB!$A$2:$I$1024,7,0)</f>
        <v>0</v>
      </c>
      <c r="I802" s="73">
        <f>$C802*VLOOKUP($B802,FoodDB!$A$2:$I$1024,8,0)</f>
        <v>0</v>
      </c>
      <c r="J802" s="73">
        <f>$C802*VLOOKUP($B802,FoodDB!$A$2:$I$1024,9,0)</f>
        <v>0</v>
      </c>
      <c r="K802" s="73"/>
      <c r="L802" s="73"/>
      <c r="M802" s="73"/>
      <c r="N802" s="73"/>
      <c r="O802" s="73"/>
      <c r="P802" s="73"/>
      <c r="Q802" s="73"/>
      <c r="R802" s="73"/>
      <c r="S802" s="73"/>
    </row>
    <row r="803" spans="1:19" x14ac:dyDescent="0.25">
      <c r="B803" s="71" t="s">
        <v>95</v>
      </c>
      <c r="C803" s="72">
        <v>1</v>
      </c>
      <c r="D803" s="73">
        <f>$C803*VLOOKUP($B803,FoodDB!$A$2:$I$1024,3,0)</f>
        <v>0</v>
      </c>
      <c r="E803" s="73">
        <f>$C803*VLOOKUP($B803,FoodDB!$A$2:$I$1024,4,0)</f>
        <v>0</v>
      </c>
      <c r="F803" s="73">
        <f>$C803*VLOOKUP($B803,FoodDB!$A$2:$I$1024,5,0)</f>
        <v>0</v>
      </c>
      <c r="G803" s="73">
        <f>$C803*VLOOKUP($B803,FoodDB!$A$2:$I$1024,6,0)</f>
        <v>0</v>
      </c>
      <c r="H803" s="73">
        <f>$C803*VLOOKUP($B803,FoodDB!$A$2:$I$1024,7,0)</f>
        <v>0</v>
      </c>
      <c r="I803" s="73">
        <f>$C803*VLOOKUP($B803,FoodDB!$A$2:$I$1024,8,0)</f>
        <v>0</v>
      </c>
      <c r="J803" s="73">
        <f>$C803*VLOOKUP($B803,FoodDB!$A$2:$I$1024,9,0)</f>
        <v>0</v>
      </c>
      <c r="K803" s="73"/>
      <c r="L803" s="73"/>
      <c r="M803" s="73"/>
      <c r="N803" s="73"/>
      <c r="O803" s="73"/>
      <c r="P803" s="73"/>
      <c r="Q803" s="73"/>
      <c r="R803" s="73"/>
      <c r="S803" s="73"/>
    </row>
    <row r="804" spans="1:19" x14ac:dyDescent="0.25">
      <c r="A804" t="s">
        <v>99</v>
      </c>
      <c r="D804" s="73"/>
      <c r="E804" s="73"/>
      <c r="F804" s="73"/>
      <c r="G804" s="73">
        <f>SUM(G797:G803)</f>
        <v>0</v>
      </c>
      <c r="H804" s="73">
        <f>SUM(H797:H803)</f>
        <v>0</v>
      </c>
      <c r="I804" s="73">
        <f>SUM(I797:I803)</f>
        <v>0</v>
      </c>
      <c r="J804" s="73">
        <f>SUM(G804:I804)</f>
        <v>0</v>
      </c>
      <c r="K804" s="73"/>
      <c r="L804" s="73"/>
      <c r="M804" s="73"/>
      <c r="N804" s="73"/>
      <c r="O804" s="73"/>
      <c r="P804" s="73"/>
      <c r="Q804" s="73"/>
      <c r="R804" s="73"/>
      <c r="S804" s="73"/>
    </row>
    <row r="805" spans="1:19" x14ac:dyDescent="0.25">
      <c r="A805" t="s">
        <v>100</v>
      </c>
      <c r="B805" t="s">
        <v>101</v>
      </c>
      <c r="D805" s="73"/>
      <c r="E805" s="73"/>
      <c r="F805" s="73"/>
      <c r="G805" s="73">
        <f>VLOOKUP($A797,LossChart!$A$3:$AB$73,14,0)</f>
        <v>795.04484463991571</v>
      </c>
      <c r="H805" s="73">
        <f>VLOOKUP($A797,LossChart!$A$3:$AB$73,15,0)</f>
        <v>80</v>
      </c>
      <c r="I805" s="73">
        <f>VLOOKUP($A797,LossChart!$A$3:$AB$73,16,0)</f>
        <v>463.76562996293683</v>
      </c>
      <c r="J805" s="73">
        <f>VLOOKUP($A797,LossChart!$A$3:$AB$73,17,0)</f>
        <v>1338.8104746028525</v>
      </c>
      <c r="K805" s="73"/>
      <c r="L805" s="73"/>
      <c r="M805" s="73"/>
      <c r="N805" s="73"/>
      <c r="O805" s="73"/>
      <c r="P805" s="73"/>
      <c r="Q805" s="73"/>
      <c r="R805" s="73"/>
      <c r="S805" s="73"/>
    </row>
    <row r="806" spans="1:19" x14ac:dyDescent="0.25">
      <c r="A806" t="s">
        <v>102</v>
      </c>
      <c r="D806" s="73"/>
      <c r="E806" s="73"/>
      <c r="F806" s="73"/>
      <c r="G806" s="73">
        <f>G805-G804</f>
        <v>795.04484463991571</v>
      </c>
      <c r="H806" s="73">
        <f>H805-H804</f>
        <v>80</v>
      </c>
      <c r="I806" s="73">
        <f>I805-I804</f>
        <v>463.76562996293683</v>
      </c>
      <c r="J806" s="73">
        <f>J805-J804</f>
        <v>1338.8104746028525</v>
      </c>
      <c r="K806" s="73"/>
      <c r="L806" s="73"/>
      <c r="M806" s="73"/>
      <c r="N806" s="73"/>
      <c r="O806" s="73"/>
      <c r="P806" s="73"/>
      <c r="Q806" s="73"/>
      <c r="R806" s="73"/>
      <c r="S806" s="73"/>
    </row>
    <row r="808" spans="1:19" ht="60" x14ac:dyDescent="0.25">
      <c r="A808" s="25" t="s">
        <v>63</v>
      </c>
      <c r="B808" s="25" t="s">
        <v>80</v>
      </c>
      <c r="C808" s="25" t="s">
        <v>81</v>
      </c>
      <c r="D808" s="69" t="str">
        <f>FoodDB!$C$1</f>
        <v>Fat
(g)</v>
      </c>
      <c r="E808" s="69" t="str">
        <f>FoodDB!$D$1</f>
        <v xml:space="preserve"> Net
Carbs
(g)</v>
      </c>
      <c r="F808" s="69" t="str">
        <f>FoodDB!$E$1</f>
        <v>Protein
(g)</v>
      </c>
      <c r="G808" s="69" t="str">
        <f>FoodDB!$F$1</f>
        <v>Fat
(Cal)</v>
      </c>
      <c r="H808" s="69" t="str">
        <f>FoodDB!$G$1</f>
        <v>Carb
(Cal)</v>
      </c>
      <c r="I808" s="69" t="str">
        <f>FoodDB!$H$1</f>
        <v>Protein
(Cal)</v>
      </c>
      <c r="J808" s="69" t="str">
        <f>FoodDB!$I$1</f>
        <v>Total
Calories</v>
      </c>
      <c r="K808" s="69"/>
      <c r="L808" s="69" t="s">
        <v>82</v>
      </c>
      <c r="M808" s="69" t="s">
        <v>83</v>
      </c>
      <c r="N808" s="69" t="s">
        <v>84</v>
      </c>
      <c r="O808" s="69" t="s">
        <v>85</v>
      </c>
      <c r="P808" s="69" t="s">
        <v>86</v>
      </c>
      <c r="Q808" s="69" t="s">
        <v>87</v>
      </c>
      <c r="R808" s="69" t="s">
        <v>88</v>
      </c>
      <c r="S808" s="69" t="s">
        <v>89</v>
      </c>
    </row>
    <row r="809" spans="1:19" x14ac:dyDescent="0.25">
      <c r="A809" s="70">
        <f>A797+1</f>
        <v>43098</v>
      </c>
      <c r="B809" s="71" t="s">
        <v>95</v>
      </c>
      <c r="C809" s="72">
        <v>1</v>
      </c>
      <c r="D809" s="73">
        <f>$C809*VLOOKUP($B809,FoodDB!$A$2:$I$1024,3,0)</f>
        <v>0</v>
      </c>
      <c r="E809" s="73">
        <f>$C809*VLOOKUP($B809,FoodDB!$A$2:$I$1024,4,0)</f>
        <v>0</v>
      </c>
      <c r="F809" s="73">
        <f>$C809*VLOOKUP($B809,FoodDB!$A$2:$I$1024,5,0)</f>
        <v>0</v>
      </c>
      <c r="G809" s="73">
        <f>$C809*VLOOKUP($B809,FoodDB!$A$2:$I$1024,6,0)</f>
        <v>0</v>
      </c>
      <c r="H809" s="73">
        <f>$C809*VLOOKUP($B809,FoodDB!$A$2:$I$1024,7,0)</f>
        <v>0</v>
      </c>
      <c r="I809" s="73">
        <f>$C809*VLOOKUP($B809,FoodDB!$A$2:$I$1024,8,0)</f>
        <v>0</v>
      </c>
      <c r="J809" s="73">
        <f>$C809*VLOOKUP($B809,FoodDB!$A$2:$I$1024,9,0)</f>
        <v>0</v>
      </c>
      <c r="K809" s="73"/>
      <c r="L809" s="73">
        <f>SUM(G809:G815)</f>
        <v>0</v>
      </c>
      <c r="M809" s="73">
        <f>SUM(H809:H815)</f>
        <v>0</v>
      </c>
      <c r="N809" s="73">
        <f>SUM(I809:I815)</f>
        <v>0</v>
      </c>
      <c r="O809" s="73">
        <f>SUM(L809:N809)</f>
        <v>0</v>
      </c>
      <c r="P809" s="73">
        <f>VLOOKUP($A809,LossChart!$A$3:$AB$961,14,0)-L809</f>
        <v>799.41679862233423</v>
      </c>
      <c r="Q809" s="73">
        <f>VLOOKUP($A809,LossChart!$A$3:$AB$961,15,0)-M809</f>
        <v>80</v>
      </c>
      <c r="R809" s="73">
        <f>VLOOKUP($A809,LossChart!$A$3:$AB$961,16,0)-N809</f>
        <v>463.76562996293683</v>
      </c>
      <c r="S809" s="73">
        <f>VLOOKUP($A809,LossChart!$A$3:$AB$961,17,0)-O809</f>
        <v>1343.1824285852711</v>
      </c>
    </row>
    <row r="810" spans="1:19" x14ac:dyDescent="0.25">
      <c r="B810" s="71" t="s">
        <v>95</v>
      </c>
      <c r="C810" s="72">
        <v>1</v>
      </c>
      <c r="D810" s="73">
        <f>$C810*VLOOKUP($B810,FoodDB!$A$2:$I$1024,3,0)</f>
        <v>0</v>
      </c>
      <c r="E810" s="73">
        <f>$C810*VLOOKUP($B810,FoodDB!$A$2:$I$1024,4,0)</f>
        <v>0</v>
      </c>
      <c r="F810" s="73">
        <f>$C810*VLOOKUP($B810,FoodDB!$A$2:$I$1024,5,0)</f>
        <v>0</v>
      </c>
      <c r="G810" s="73">
        <f>$C810*VLOOKUP($B810,FoodDB!$A$2:$I$1024,6,0)</f>
        <v>0</v>
      </c>
      <c r="H810" s="73">
        <f>$C810*VLOOKUP($B810,FoodDB!$A$2:$I$1024,7,0)</f>
        <v>0</v>
      </c>
      <c r="I810" s="73">
        <f>$C810*VLOOKUP($B810,FoodDB!$A$2:$I$1024,8,0)</f>
        <v>0</v>
      </c>
      <c r="J810" s="73">
        <f>$C810*VLOOKUP($B810,FoodDB!$A$2:$I$1024,9,0)</f>
        <v>0</v>
      </c>
      <c r="K810" s="73"/>
      <c r="L810" s="73"/>
      <c r="M810" s="73"/>
      <c r="N810" s="73"/>
      <c r="O810" s="73"/>
      <c r="P810" s="73"/>
      <c r="Q810" s="73"/>
      <c r="R810" s="73"/>
      <c r="S810" s="73"/>
    </row>
    <row r="811" spans="1:19" x14ac:dyDescent="0.25">
      <c r="B811" s="71" t="s">
        <v>95</v>
      </c>
      <c r="C811" s="72">
        <v>1</v>
      </c>
      <c r="D811" s="73">
        <f>$C811*VLOOKUP($B811,FoodDB!$A$2:$I$1024,3,0)</f>
        <v>0</v>
      </c>
      <c r="E811" s="73">
        <f>$C811*VLOOKUP($B811,FoodDB!$A$2:$I$1024,4,0)</f>
        <v>0</v>
      </c>
      <c r="F811" s="73">
        <f>$C811*VLOOKUP($B811,FoodDB!$A$2:$I$1024,5,0)</f>
        <v>0</v>
      </c>
      <c r="G811" s="73">
        <f>$C811*VLOOKUP($B811,FoodDB!$A$2:$I$1024,6,0)</f>
        <v>0</v>
      </c>
      <c r="H811" s="73">
        <f>$C811*VLOOKUP($B811,FoodDB!$A$2:$I$1024,7,0)</f>
        <v>0</v>
      </c>
      <c r="I811" s="73">
        <f>$C811*VLOOKUP($B811,FoodDB!$A$2:$I$1024,8,0)</f>
        <v>0</v>
      </c>
      <c r="J811" s="73">
        <f>$C811*VLOOKUP($B811,FoodDB!$A$2:$I$1024,9,0)</f>
        <v>0</v>
      </c>
      <c r="K811" s="73"/>
      <c r="L811" s="73"/>
      <c r="M811" s="73"/>
      <c r="N811" s="73"/>
      <c r="O811" s="73"/>
      <c r="P811" s="73"/>
      <c r="Q811" s="73"/>
      <c r="R811" s="73"/>
      <c r="S811" s="73"/>
    </row>
    <row r="812" spans="1:19" x14ac:dyDescent="0.25">
      <c r="B812" s="71" t="s">
        <v>95</v>
      </c>
      <c r="C812" s="72">
        <v>1</v>
      </c>
      <c r="D812" s="73">
        <f>$C812*VLOOKUP($B812,FoodDB!$A$2:$I$1024,3,0)</f>
        <v>0</v>
      </c>
      <c r="E812" s="73">
        <f>$C812*VLOOKUP($B812,FoodDB!$A$2:$I$1024,4,0)</f>
        <v>0</v>
      </c>
      <c r="F812" s="73">
        <f>$C812*VLOOKUP($B812,FoodDB!$A$2:$I$1024,5,0)</f>
        <v>0</v>
      </c>
      <c r="G812" s="73">
        <f>$C812*VLOOKUP($B812,FoodDB!$A$2:$I$1024,6,0)</f>
        <v>0</v>
      </c>
      <c r="H812" s="73">
        <f>$C812*VLOOKUP($B812,FoodDB!$A$2:$I$1024,7,0)</f>
        <v>0</v>
      </c>
      <c r="I812" s="73">
        <f>$C812*VLOOKUP($B812,FoodDB!$A$2:$I$1024,8,0)</f>
        <v>0</v>
      </c>
      <c r="J812" s="73">
        <f>$C812*VLOOKUP($B812,FoodDB!$A$2:$I$1024,9,0)</f>
        <v>0</v>
      </c>
      <c r="K812" s="73"/>
      <c r="L812" s="73"/>
      <c r="M812" s="73"/>
      <c r="N812" s="73"/>
      <c r="O812" s="73"/>
      <c r="P812" s="73"/>
      <c r="Q812" s="73"/>
      <c r="R812" s="73"/>
      <c r="S812" s="73"/>
    </row>
    <row r="813" spans="1:19" x14ac:dyDescent="0.25">
      <c r="B813" s="71" t="s">
        <v>95</v>
      </c>
      <c r="C813" s="72">
        <v>1</v>
      </c>
      <c r="D813" s="73">
        <f>$C813*VLOOKUP($B813,FoodDB!$A$2:$I$1024,3,0)</f>
        <v>0</v>
      </c>
      <c r="E813" s="73">
        <f>$C813*VLOOKUP($B813,FoodDB!$A$2:$I$1024,4,0)</f>
        <v>0</v>
      </c>
      <c r="F813" s="73">
        <f>$C813*VLOOKUP($B813,FoodDB!$A$2:$I$1024,5,0)</f>
        <v>0</v>
      </c>
      <c r="G813" s="73">
        <f>$C813*VLOOKUP($B813,FoodDB!$A$2:$I$1024,6,0)</f>
        <v>0</v>
      </c>
      <c r="H813" s="73">
        <f>$C813*VLOOKUP($B813,FoodDB!$A$2:$I$1024,7,0)</f>
        <v>0</v>
      </c>
      <c r="I813" s="73">
        <f>$C813*VLOOKUP($B813,FoodDB!$A$2:$I$1024,8,0)</f>
        <v>0</v>
      </c>
      <c r="J813" s="73">
        <f>$C813*VLOOKUP($B813,FoodDB!$A$2:$I$1024,9,0)</f>
        <v>0</v>
      </c>
      <c r="K813" s="73"/>
      <c r="L813" s="73"/>
      <c r="M813" s="73"/>
      <c r="N813" s="73"/>
      <c r="O813" s="73"/>
      <c r="P813" s="73"/>
      <c r="Q813" s="73"/>
      <c r="R813" s="73"/>
      <c r="S813" s="73"/>
    </row>
    <row r="814" spans="1:19" x14ac:dyDescent="0.25">
      <c r="B814" s="71" t="s">
        <v>95</v>
      </c>
      <c r="C814" s="72">
        <v>1</v>
      </c>
      <c r="D814" s="73">
        <f>$C814*VLOOKUP($B814,FoodDB!$A$2:$I$1024,3,0)</f>
        <v>0</v>
      </c>
      <c r="E814" s="73">
        <f>$C814*VLOOKUP($B814,FoodDB!$A$2:$I$1024,4,0)</f>
        <v>0</v>
      </c>
      <c r="F814" s="73">
        <f>$C814*VLOOKUP($B814,FoodDB!$A$2:$I$1024,5,0)</f>
        <v>0</v>
      </c>
      <c r="G814" s="73">
        <f>$C814*VLOOKUP($B814,FoodDB!$A$2:$I$1024,6,0)</f>
        <v>0</v>
      </c>
      <c r="H814" s="73">
        <f>$C814*VLOOKUP($B814,FoodDB!$A$2:$I$1024,7,0)</f>
        <v>0</v>
      </c>
      <c r="I814" s="73">
        <f>$C814*VLOOKUP($B814,FoodDB!$A$2:$I$1024,8,0)</f>
        <v>0</v>
      </c>
      <c r="J814" s="73">
        <f>$C814*VLOOKUP($B814,FoodDB!$A$2:$I$1024,9,0)</f>
        <v>0</v>
      </c>
      <c r="K814" s="73"/>
      <c r="L814" s="73"/>
      <c r="M814" s="73"/>
      <c r="N814" s="73"/>
      <c r="O814" s="73"/>
      <c r="P814" s="73"/>
      <c r="Q814" s="73"/>
      <c r="R814" s="73"/>
      <c r="S814" s="73"/>
    </row>
    <row r="815" spans="1:19" x14ac:dyDescent="0.25">
      <c r="B815" s="71" t="s">
        <v>95</v>
      </c>
      <c r="C815" s="72">
        <v>1</v>
      </c>
      <c r="D815" s="73">
        <f>$C815*VLOOKUP($B815,FoodDB!$A$2:$I$1024,3,0)</f>
        <v>0</v>
      </c>
      <c r="E815" s="73">
        <f>$C815*VLOOKUP($B815,FoodDB!$A$2:$I$1024,4,0)</f>
        <v>0</v>
      </c>
      <c r="F815" s="73">
        <f>$C815*VLOOKUP($B815,FoodDB!$A$2:$I$1024,5,0)</f>
        <v>0</v>
      </c>
      <c r="G815" s="73">
        <f>$C815*VLOOKUP($B815,FoodDB!$A$2:$I$1024,6,0)</f>
        <v>0</v>
      </c>
      <c r="H815" s="73">
        <f>$C815*VLOOKUP($B815,FoodDB!$A$2:$I$1024,7,0)</f>
        <v>0</v>
      </c>
      <c r="I815" s="73">
        <f>$C815*VLOOKUP($B815,FoodDB!$A$2:$I$1024,8,0)</f>
        <v>0</v>
      </c>
      <c r="J815" s="73">
        <f>$C815*VLOOKUP($B815,FoodDB!$A$2:$I$1024,9,0)</f>
        <v>0</v>
      </c>
      <c r="K815" s="73"/>
      <c r="L815" s="73"/>
      <c r="M815" s="73"/>
      <c r="N815" s="73"/>
      <c r="O815" s="73"/>
      <c r="P815" s="73"/>
      <c r="Q815" s="73"/>
      <c r="R815" s="73"/>
      <c r="S815" s="73"/>
    </row>
    <row r="816" spans="1:19" x14ac:dyDescent="0.25">
      <c r="A816" t="s">
        <v>99</v>
      </c>
      <c r="D816" s="73"/>
      <c r="E816" s="73"/>
      <c r="F816" s="73"/>
      <c r="G816" s="73">
        <f>SUM(G809:G815)</f>
        <v>0</v>
      </c>
      <c r="H816" s="73">
        <f>SUM(H809:H815)</f>
        <v>0</v>
      </c>
      <c r="I816" s="73">
        <f>SUM(I809:I815)</f>
        <v>0</v>
      </c>
      <c r="J816" s="73">
        <f>SUM(G816:I816)</f>
        <v>0</v>
      </c>
      <c r="K816" s="73"/>
      <c r="L816" s="73"/>
      <c r="M816" s="73"/>
      <c r="N816" s="73"/>
      <c r="O816" s="73"/>
      <c r="P816" s="73"/>
      <c r="Q816" s="73"/>
      <c r="R816" s="73"/>
      <c r="S816" s="73"/>
    </row>
    <row r="817" spans="1:19" x14ac:dyDescent="0.25">
      <c r="A817" t="s">
        <v>100</v>
      </c>
      <c r="B817" t="s">
        <v>101</v>
      </c>
      <c r="D817" s="73"/>
      <c r="E817" s="73"/>
      <c r="F817" s="73"/>
      <c r="G817" s="73">
        <f>VLOOKUP($A809,LossChart!$A$3:$AB$73,14,0)</f>
        <v>799.41679862233423</v>
      </c>
      <c r="H817" s="73">
        <f>VLOOKUP($A809,LossChart!$A$3:$AB$73,15,0)</f>
        <v>80</v>
      </c>
      <c r="I817" s="73">
        <f>VLOOKUP($A809,LossChart!$A$3:$AB$73,16,0)</f>
        <v>463.76562996293683</v>
      </c>
      <c r="J817" s="73">
        <f>VLOOKUP($A809,LossChart!$A$3:$AB$73,17,0)</f>
        <v>1343.1824285852711</v>
      </c>
      <c r="K817" s="73"/>
      <c r="L817" s="73"/>
      <c r="M817" s="73"/>
      <c r="N817" s="73"/>
      <c r="O817" s="73"/>
      <c r="P817" s="73"/>
      <c r="Q817" s="73"/>
      <c r="R817" s="73"/>
      <c r="S817" s="73"/>
    </row>
    <row r="818" spans="1:19" x14ac:dyDescent="0.25">
      <c r="A818" t="s">
        <v>102</v>
      </c>
      <c r="D818" s="73"/>
      <c r="E818" s="73"/>
      <c r="F818" s="73"/>
      <c r="G818" s="73">
        <f>G817-G816</f>
        <v>799.41679862233423</v>
      </c>
      <c r="H818" s="73">
        <f>H817-H816</f>
        <v>80</v>
      </c>
      <c r="I818" s="73">
        <f>I817-I816</f>
        <v>463.76562996293683</v>
      </c>
      <c r="J818" s="73">
        <f>J817-J816</f>
        <v>1343.1824285852711</v>
      </c>
      <c r="K818" s="73"/>
      <c r="L818" s="73"/>
      <c r="M818" s="73"/>
      <c r="N818" s="73"/>
      <c r="O818" s="73"/>
      <c r="P818" s="73"/>
      <c r="Q818" s="73"/>
      <c r="R818" s="73"/>
      <c r="S818" s="73"/>
    </row>
    <row r="820" spans="1:19" ht="60" x14ac:dyDescent="0.25">
      <c r="A820" s="25" t="s">
        <v>63</v>
      </c>
      <c r="B820" s="25" t="s">
        <v>80</v>
      </c>
      <c r="C820" s="25" t="s">
        <v>81</v>
      </c>
      <c r="D820" s="69" t="str">
        <f>FoodDB!$C$1</f>
        <v>Fat
(g)</v>
      </c>
      <c r="E820" s="69" t="str">
        <f>FoodDB!$D$1</f>
        <v xml:space="preserve"> Net
Carbs
(g)</v>
      </c>
      <c r="F820" s="69" t="str">
        <f>FoodDB!$E$1</f>
        <v>Protein
(g)</v>
      </c>
      <c r="G820" s="69" t="str">
        <f>FoodDB!$F$1</f>
        <v>Fat
(Cal)</v>
      </c>
      <c r="H820" s="69" t="str">
        <f>FoodDB!$G$1</f>
        <v>Carb
(Cal)</v>
      </c>
      <c r="I820" s="69" t="str">
        <f>FoodDB!$H$1</f>
        <v>Protein
(Cal)</v>
      </c>
      <c r="J820" s="69" t="str">
        <f>FoodDB!$I$1</f>
        <v>Total
Calories</v>
      </c>
      <c r="K820" s="69"/>
      <c r="L820" s="69" t="s">
        <v>82</v>
      </c>
      <c r="M820" s="69" t="s">
        <v>83</v>
      </c>
      <c r="N820" s="69" t="s">
        <v>84</v>
      </c>
      <c r="O820" s="69" t="s">
        <v>85</v>
      </c>
      <c r="P820" s="69" t="s">
        <v>86</v>
      </c>
      <c r="Q820" s="69" t="s">
        <v>87</v>
      </c>
      <c r="R820" s="69" t="s">
        <v>88</v>
      </c>
      <c r="S820" s="69" t="s">
        <v>89</v>
      </c>
    </row>
    <row r="821" spans="1:19" x14ac:dyDescent="0.25">
      <c r="A821" s="70">
        <f>A809+1</f>
        <v>43099</v>
      </c>
      <c r="B821" s="71" t="s">
        <v>95</v>
      </c>
      <c r="C821" s="72">
        <v>1</v>
      </c>
      <c r="D821" s="73">
        <f>$C821*VLOOKUP($B821,FoodDB!$A$2:$I$1024,3,0)</f>
        <v>0</v>
      </c>
      <c r="E821" s="73">
        <f>$C821*VLOOKUP($B821,FoodDB!$A$2:$I$1024,4,0)</f>
        <v>0</v>
      </c>
      <c r="F821" s="73">
        <f>$C821*VLOOKUP($B821,FoodDB!$A$2:$I$1024,5,0)</f>
        <v>0</v>
      </c>
      <c r="G821" s="73">
        <f>$C821*VLOOKUP($B821,FoodDB!$A$2:$I$1024,6,0)</f>
        <v>0</v>
      </c>
      <c r="H821" s="73">
        <f>$C821*VLOOKUP($B821,FoodDB!$A$2:$I$1024,7,0)</f>
        <v>0</v>
      </c>
      <c r="I821" s="73">
        <f>$C821*VLOOKUP($B821,FoodDB!$A$2:$I$1024,8,0)</f>
        <v>0</v>
      </c>
      <c r="J821" s="73">
        <f>$C821*VLOOKUP($B821,FoodDB!$A$2:$I$1024,9,0)</f>
        <v>0</v>
      </c>
      <c r="K821" s="73"/>
      <c r="L821" s="73">
        <f>SUM(G821:G827)</f>
        <v>0</v>
      </c>
      <c r="M821" s="73">
        <f>SUM(H821:H827)</f>
        <v>0</v>
      </c>
      <c r="N821" s="73">
        <f>SUM(I821:I827)</f>
        <v>0</v>
      </c>
      <c r="O821" s="73">
        <f>SUM(L821:N821)</f>
        <v>0</v>
      </c>
      <c r="P821" s="73">
        <f>VLOOKUP($A821,LossChart!$A$3:$AB$961,14,0)-L821</f>
        <v>803.7500295837649</v>
      </c>
      <c r="Q821" s="73">
        <f>VLOOKUP($A821,LossChart!$A$3:$AB$961,15,0)-M821</f>
        <v>80</v>
      </c>
      <c r="R821" s="73">
        <f>VLOOKUP($A821,LossChart!$A$3:$AB$961,16,0)-N821</f>
        <v>463.76562996293683</v>
      </c>
      <c r="S821" s="73">
        <f>VLOOKUP($A821,LossChart!$A$3:$AB$961,17,0)-O821</f>
        <v>1347.5156595467017</v>
      </c>
    </row>
    <row r="822" spans="1:19" x14ac:dyDescent="0.25">
      <c r="B822" s="71" t="s">
        <v>95</v>
      </c>
      <c r="C822" s="72">
        <v>1</v>
      </c>
      <c r="D822" s="73">
        <f>$C822*VLOOKUP($B822,FoodDB!$A$2:$I$1024,3,0)</f>
        <v>0</v>
      </c>
      <c r="E822" s="73">
        <f>$C822*VLOOKUP($B822,FoodDB!$A$2:$I$1024,4,0)</f>
        <v>0</v>
      </c>
      <c r="F822" s="73">
        <f>$C822*VLOOKUP($B822,FoodDB!$A$2:$I$1024,5,0)</f>
        <v>0</v>
      </c>
      <c r="G822" s="73">
        <f>$C822*VLOOKUP($B822,FoodDB!$A$2:$I$1024,6,0)</f>
        <v>0</v>
      </c>
      <c r="H822" s="73">
        <f>$C822*VLOOKUP($B822,FoodDB!$A$2:$I$1024,7,0)</f>
        <v>0</v>
      </c>
      <c r="I822" s="73">
        <f>$C822*VLOOKUP($B822,FoodDB!$A$2:$I$1024,8,0)</f>
        <v>0</v>
      </c>
      <c r="J822" s="73">
        <f>$C822*VLOOKUP($B822,FoodDB!$A$2:$I$1024,9,0)</f>
        <v>0</v>
      </c>
      <c r="K822" s="73"/>
      <c r="L822" s="73"/>
      <c r="M822" s="73"/>
      <c r="N822" s="73"/>
      <c r="O822" s="73"/>
      <c r="P822" s="73"/>
      <c r="Q822" s="73"/>
      <c r="R822" s="73"/>
      <c r="S822" s="73"/>
    </row>
    <row r="823" spans="1:19" x14ac:dyDescent="0.25">
      <c r="B823" s="71" t="s">
        <v>95</v>
      </c>
      <c r="C823" s="72">
        <v>1</v>
      </c>
      <c r="D823" s="73">
        <f>$C823*VLOOKUP($B823,FoodDB!$A$2:$I$1024,3,0)</f>
        <v>0</v>
      </c>
      <c r="E823" s="73">
        <f>$C823*VLOOKUP($B823,FoodDB!$A$2:$I$1024,4,0)</f>
        <v>0</v>
      </c>
      <c r="F823" s="73">
        <f>$C823*VLOOKUP($B823,FoodDB!$A$2:$I$1024,5,0)</f>
        <v>0</v>
      </c>
      <c r="G823" s="73">
        <f>$C823*VLOOKUP($B823,FoodDB!$A$2:$I$1024,6,0)</f>
        <v>0</v>
      </c>
      <c r="H823" s="73">
        <f>$C823*VLOOKUP($B823,FoodDB!$A$2:$I$1024,7,0)</f>
        <v>0</v>
      </c>
      <c r="I823" s="73">
        <f>$C823*VLOOKUP($B823,FoodDB!$A$2:$I$1024,8,0)</f>
        <v>0</v>
      </c>
      <c r="J823" s="73">
        <f>$C823*VLOOKUP($B823,FoodDB!$A$2:$I$1024,9,0)</f>
        <v>0</v>
      </c>
      <c r="K823" s="73"/>
      <c r="L823" s="73"/>
      <c r="M823" s="73"/>
      <c r="N823" s="73"/>
      <c r="O823" s="73"/>
      <c r="P823" s="73"/>
      <c r="Q823" s="73"/>
      <c r="R823" s="73"/>
      <c r="S823" s="73"/>
    </row>
    <row r="824" spans="1:19" x14ac:dyDescent="0.25">
      <c r="B824" s="71" t="s">
        <v>95</v>
      </c>
      <c r="C824" s="72">
        <v>1</v>
      </c>
      <c r="D824" s="73">
        <f>$C824*VLOOKUP($B824,FoodDB!$A$2:$I$1024,3,0)</f>
        <v>0</v>
      </c>
      <c r="E824" s="73">
        <f>$C824*VLOOKUP($B824,FoodDB!$A$2:$I$1024,4,0)</f>
        <v>0</v>
      </c>
      <c r="F824" s="73">
        <f>$C824*VLOOKUP($B824,FoodDB!$A$2:$I$1024,5,0)</f>
        <v>0</v>
      </c>
      <c r="G824" s="73">
        <f>$C824*VLOOKUP($B824,FoodDB!$A$2:$I$1024,6,0)</f>
        <v>0</v>
      </c>
      <c r="H824" s="73">
        <f>$C824*VLOOKUP($B824,FoodDB!$A$2:$I$1024,7,0)</f>
        <v>0</v>
      </c>
      <c r="I824" s="73">
        <f>$C824*VLOOKUP($B824,FoodDB!$A$2:$I$1024,8,0)</f>
        <v>0</v>
      </c>
      <c r="J824" s="73">
        <f>$C824*VLOOKUP($B824,FoodDB!$A$2:$I$1024,9,0)</f>
        <v>0</v>
      </c>
      <c r="K824" s="73"/>
      <c r="L824" s="73"/>
      <c r="M824" s="73"/>
      <c r="N824" s="73"/>
      <c r="O824" s="73"/>
      <c r="P824" s="73"/>
      <c r="Q824" s="73"/>
      <c r="R824" s="73"/>
      <c r="S824" s="73"/>
    </row>
    <row r="825" spans="1:19" x14ac:dyDescent="0.25">
      <c r="B825" s="71" t="s">
        <v>95</v>
      </c>
      <c r="C825" s="72">
        <v>1</v>
      </c>
      <c r="D825" s="73">
        <f>$C825*VLOOKUP($B825,FoodDB!$A$2:$I$1024,3,0)</f>
        <v>0</v>
      </c>
      <c r="E825" s="73">
        <f>$C825*VLOOKUP($B825,FoodDB!$A$2:$I$1024,4,0)</f>
        <v>0</v>
      </c>
      <c r="F825" s="73">
        <f>$C825*VLOOKUP($B825,FoodDB!$A$2:$I$1024,5,0)</f>
        <v>0</v>
      </c>
      <c r="G825" s="73">
        <f>$C825*VLOOKUP($B825,FoodDB!$A$2:$I$1024,6,0)</f>
        <v>0</v>
      </c>
      <c r="H825" s="73">
        <f>$C825*VLOOKUP($B825,FoodDB!$A$2:$I$1024,7,0)</f>
        <v>0</v>
      </c>
      <c r="I825" s="73">
        <f>$C825*VLOOKUP($B825,FoodDB!$A$2:$I$1024,8,0)</f>
        <v>0</v>
      </c>
      <c r="J825" s="73">
        <f>$C825*VLOOKUP($B825,FoodDB!$A$2:$I$1024,9,0)</f>
        <v>0</v>
      </c>
      <c r="K825" s="73"/>
      <c r="L825" s="73"/>
      <c r="M825" s="73"/>
      <c r="N825" s="73"/>
      <c r="O825" s="73"/>
      <c r="P825" s="73"/>
      <c r="Q825" s="73"/>
      <c r="R825" s="73"/>
      <c r="S825" s="73"/>
    </row>
    <row r="826" spans="1:19" x14ac:dyDescent="0.25">
      <c r="B826" s="71" t="s">
        <v>95</v>
      </c>
      <c r="C826" s="72">
        <v>1</v>
      </c>
      <c r="D826" s="73">
        <f>$C826*VLOOKUP($B826,FoodDB!$A$2:$I$1024,3,0)</f>
        <v>0</v>
      </c>
      <c r="E826" s="73">
        <f>$C826*VLOOKUP($B826,FoodDB!$A$2:$I$1024,4,0)</f>
        <v>0</v>
      </c>
      <c r="F826" s="73">
        <f>$C826*VLOOKUP($B826,FoodDB!$A$2:$I$1024,5,0)</f>
        <v>0</v>
      </c>
      <c r="G826" s="73">
        <f>$C826*VLOOKUP($B826,FoodDB!$A$2:$I$1024,6,0)</f>
        <v>0</v>
      </c>
      <c r="H826" s="73">
        <f>$C826*VLOOKUP($B826,FoodDB!$A$2:$I$1024,7,0)</f>
        <v>0</v>
      </c>
      <c r="I826" s="73">
        <f>$C826*VLOOKUP($B826,FoodDB!$A$2:$I$1024,8,0)</f>
        <v>0</v>
      </c>
      <c r="J826" s="73">
        <f>$C826*VLOOKUP($B826,FoodDB!$A$2:$I$1024,9,0)</f>
        <v>0</v>
      </c>
      <c r="K826" s="73"/>
      <c r="L826" s="73"/>
      <c r="M826" s="73"/>
      <c r="N826" s="73"/>
      <c r="O826" s="73"/>
      <c r="P826" s="73"/>
      <c r="Q826" s="73"/>
      <c r="R826" s="73"/>
      <c r="S826" s="73"/>
    </row>
    <row r="827" spans="1:19" x14ac:dyDescent="0.25">
      <c r="B827" s="71" t="s">
        <v>95</v>
      </c>
      <c r="C827" s="72">
        <v>1</v>
      </c>
      <c r="D827" s="73">
        <f>$C827*VLOOKUP($B827,FoodDB!$A$2:$I$1024,3,0)</f>
        <v>0</v>
      </c>
      <c r="E827" s="73">
        <f>$C827*VLOOKUP($B827,FoodDB!$A$2:$I$1024,4,0)</f>
        <v>0</v>
      </c>
      <c r="F827" s="73">
        <f>$C827*VLOOKUP($B827,FoodDB!$A$2:$I$1024,5,0)</f>
        <v>0</v>
      </c>
      <c r="G827" s="73">
        <f>$C827*VLOOKUP($B827,FoodDB!$A$2:$I$1024,6,0)</f>
        <v>0</v>
      </c>
      <c r="H827" s="73">
        <f>$C827*VLOOKUP($B827,FoodDB!$A$2:$I$1024,7,0)</f>
        <v>0</v>
      </c>
      <c r="I827" s="73">
        <f>$C827*VLOOKUP($B827,FoodDB!$A$2:$I$1024,8,0)</f>
        <v>0</v>
      </c>
      <c r="J827" s="73">
        <f>$C827*VLOOKUP($B827,FoodDB!$A$2:$I$1024,9,0)</f>
        <v>0</v>
      </c>
      <c r="K827" s="73"/>
      <c r="L827" s="73"/>
      <c r="M827" s="73"/>
      <c r="N827" s="73"/>
      <c r="O827" s="73"/>
      <c r="P827" s="73"/>
      <c r="Q827" s="73"/>
      <c r="R827" s="73"/>
      <c r="S827" s="73"/>
    </row>
    <row r="828" spans="1:19" x14ac:dyDescent="0.25">
      <c r="A828" t="s">
        <v>99</v>
      </c>
      <c r="D828" s="73"/>
      <c r="E828" s="73"/>
      <c r="F828" s="73"/>
      <c r="G828" s="73">
        <f>SUM(G821:G827)</f>
        <v>0</v>
      </c>
      <c r="H828" s="73">
        <f>SUM(H821:H827)</f>
        <v>0</v>
      </c>
      <c r="I828" s="73">
        <f>SUM(I821:I827)</f>
        <v>0</v>
      </c>
      <c r="J828" s="73">
        <f>SUM(G828:I828)</f>
        <v>0</v>
      </c>
      <c r="K828" s="73"/>
      <c r="L828" s="73"/>
      <c r="M828" s="73"/>
      <c r="N828" s="73"/>
      <c r="O828" s="73"/>
      <c r="P828" s="73"/>
      <c r="Q828" s="73"/>
      <c r="R828" s="73"/>
      <c r="S828" s="73"/>
    </row>
    <row r="829" spans="1:19" x14ac:dyDescent="0.25">
      <c r="A829" t="s">
        <v>100</v>
      </c>
      <c r="B829" t="s">
        <v>101</v>
      </c>
      <c r="D829" s="73"/>
      <c r="E829" s="73"/>
      <c r="F829" s="73"/>
      <c r="G829" s="73">
        <f>VLOOKUP($A821,LossChart!$A$3:$AB$73,14,0)</f>
        <v>803.7500295837649</v>
      </c>
      <c r="H829" s="73">
        <f>VLOOKUP($A821,LossChart!$A$3:$AB$73,15,0)</f>
        <v>80</v>
      </c>
      <c r="I829" s="73">
        <f>VLOOKUP($A821,LossChart!$A$3:$AB$73,16,0)</f>
        <v>463.76562996293683</v>
      </c>
      <c r="J829" s="73">
        <f>VLOOKUP($A821,LossChart!$A$3:$AB$73,17,0)</f>
        <v>1347.5156595467017</v>
      </c>
      <c r="K829" s="73"/>
      <c r="L829" s="73"/>
      <c r="M829" s="73"/>
      <c r="N829" s="73"/>
      <c r="O829" s="73"/>
      <c r="P829" s="73"/>
      <c r="Q829" s="73"/>
      <c r="R829" s="73"/>
      <c r="S829" s="73"/>
    </row>
    <row r="830" spans="1:19" x14ac:dyDescent="0.25">
      <c r="A830" t="s">
        <v>102</v>
      </c>
      <c r="D830" s="73"/>
      <c r="E830" s="73"/>
      <c r="F830" s="73"/>
      <c r="G830" s="73">
        <f>G829-G828</f>
        <v>803.7500295837649</v>
      </c>
      <c r="H830" s="73">
        <f>H829-H828</f>
        <v>80</v>
      </c>
      <c r="I830" s="73">
        <f>I829-I828</f>
        <v>463.76562996293683</v>
      </c>
      <c r="J830" s="73">
        <f>J829-J828</f>
        <v>1347.5156595467017</v>
      </c>
      <c r="K830" s="73"/>
      <c r="L830" s="73"/>
      <c r="M830" s="73"/>
      <c r="N830" s="73"/>
      <c r="O830" s="73"/>
      <c r="P830" s="73"/>
      <c r="Q830" s="73"/>
      <c r="R830" s="73"/>
      <c r="S830" s="73"/>
    </row>
    <row r="832" spans="1:19" ht="60" x14ac:dyDescent="0.25">
      <c r="A832" s="25" t="s">
        <v>63</v>
      </c>
      <c r="B832" s="25" t="s">
        <v>80</v>
      </c>
      <c r="C832" s="25" t="s">
        <v>81</v>
      </c>
      <c r="D832" s="69" t="str">
        <f>FoodDB!$C$1</f>
        <v>Fat
(g)</v>
      </c>
      <c r="E832" s="69" t="str">
        <f>FoodDB!$D$1</f>
        <v xml:space="preserve"> Net
Carbs
(g)</v>
      </c>
      <c r="F832" s="69" t="str">
        <f>FoodDB!$E$1</f>
        <v>Protein
(g)</v>
      </c>
      <c r="G832" s="69" t="str">
        <f>FoodDB!$F$1</f>
        <v>Fat
(Cal)</v>
      </c>
      <c r="H832" s="69" t="str">
        <f>FoodDB!$G$1</f>
        <v>Carb
(Cal)</v>
      </c>
      <c r="I832" s="69" t="str">
        <f>FoodDB!$H$1</f>
        <v>Protein
(Cal)</v>
      </c>
      <c r="J832" s="69" t="str">
        <f>FoodDB!$I$1</f>
        <v>Total
Calories</v>
      </c>
      <c r="K832" s="69"/>
      <c r="L832" s="69" t="s">
        <v>82</v>
      </c>
      <c r="M832" s="69" t="s">
        <v>83</v>
      </c>
      <c r="N832" s="69" t="s">
        <v>84</v>
      </c>
      <c r="O832" s="69" t="s">
        <v>85</v>
      </c>
      <c r="P832" s="69" t="s">
        <v>86</v>
      </c>
      <c r="Q832" s="69" t="s">
        <v>87</v>
      </c>
      <c r="R832" s="69" t="s">
        <v>88</v>
      </c>
      <c r="S832" s="69" t="s">
        <v>89</v>
      </c>
    </row>
    <row r="833" spans="1:19" x14ac:dyDescent="0.25">
      <c r="A833" s="70">
        <f>A821+1</f>
        <v>43100</v>
      </c>
      <c r="B833" s="71" t="s">
        <v>95</v>
      </c>
      <c r="C833" s="72">
        <v>1</v>
      </c>
      <c r="D833" s="73">
        <f>$C833*VLOOKUP($B833,FoodDB!$A$2:$I$1024,3,0)</f>
        <v>0</v>
      </c>
      <c r="E833" s="73">
        <f>$C833*VLOOKUP($B833,FoodDB!$A$2:$I$1024,4,0)</f>
        <v>0</v>
      </c>
      <c r="F833" s="73">
        <f>$C833*VLOOKUP($B833,FoodDB!$A$2:$I$1024,5,0)</f>
        <v>0</v>
      </c>
      <c r="G833" s="73">
        <f>$C833*VLOOKUP($B833,FoodDB!$A$2:$I$1024,6,0)</f>
        <v>0</v>
      </c>
      <c r="H833" s="73">
        <f>$C833*VLOOKUP($B833,FoodDB!$A$2:$I$1024,7,0)</f>
        <v>0</v>
      </c>
      <c r="I833" s="73">
        <f>$C833*VLOOKUP($B833,FoodDB!$A$2:$I$1024,8,0)</f>
        <v>0</v>
      </c>
      <c r="J833" s="73">
        <f>$C833*VLOOKUP($B833,FoodDB!$A$2:$I$1024,9,0)</f>
        <v>0</v>
      </c>
      <c r="K833" s="73"/>
      <c r="L833" s="73">
        <f>SUM(G833:G839)</f>
        <v>0</v>
      </c>
      <c r="M833" s="73">
        <f>SUM(H833:H839)</f>
        <v>0</v>
      </c>
      <c r="N833" s="73">
        <f>SUM(I833:I839)</f>
        <v>0</v>
      </c>
      <c r="O833" s="73">
        <f>SUM(L833:N833)</f>
        <v>0</v>
      </c>
      <c r="P833" s="73">
        <f>VLOOKUP($A833,LossChart!$A$3:$AB$961,14,0)-L833</f>
        <v>808.04488049953784</v>
      </c>
      <c r="Q833" s="73">
        <f>VLOOKUP($A833,LossChart!$A$3:$AB$961,15,0)-M833</f>
        <v>80</v>
      </c>
      <c r="R833" s="73">
        <f>VLOOKUP($A833,LossChart!$A$3:$AB$961,16,0)-N833</f>
        <v>463.76562996293683</v>
      </c>
      <c r="S833" s="73">
        <f>VLOOKUP($A833,LossChart!$A$3:$AB$961,17,0)-O833</f>
        <v>1351.8105104624747</v>
      </c>
    </row>
    <row r="834" spans="1:19" x14ac:dyDescent="0.25">
      <c r="B834" s="71" t="s">
        <v>95</v>
      </c>
      <c r="C834" s="72">
        <v>1</v>
      </c>
      <c r="D834" s="73">
        <f>$C834*VLOOKUP($B834,FoodDB!$A$2:$I$1024,3,0)</f>
        <v>0</v>
      </c>
      <c r="E834" s="73">
        <f>$C834*VLOOKUP($B834,FoodDB!$A$2:$I$1024,4,0)</f>
        <v>0</v>
      </c>
      <c r="F834" s="73">
        <f>$C834*VLOOKUP($B834,FoodDB!$A$2:$I$1024,5,0)</f>
        <v>0</v>
      </c>
      <c r="G834" s="73">
        <f>$C834*VLOOKUP($B834,FoodDB!$A$2:$I$1024,6,0)</f>
        <v>0</v>
      </c>
      <c r="H834" s="73">
        <f>$C834*VLOOKUP($B834,FoodDB!$A$2:$I$1024,7,0)</f>
        <v>0</v>
      </c>
      <c r="I834" s="73">
        <f>$C834*VLOOKUP($B834,FoodDB!$A$2:$I$1024,8,0)</f>
        <v>0</v>
      </c>
      <c r="J834" s="73">
        <f>$C834*VLOOKUP($B834,FoodDB!$A$2:$I$1024,9,0)</f>
        <v>0</v>
      </c>
      <c r="K834" s="73"/>
      <c r="L834" s="73"/>
      <c r="M834" s="73"/>
      <c r="N834" s="73"/>
      <c r="O834" s="73"/>
      <c r="P834" s="73"/>
      <c r="Q834" s="73"/>
      <c r="R834" s="73"/>
      <c r="S834" s="73"/>
    </row>
    <row r="835" spans="1:19" x14ac:dyDescent="0.25">
      <c r="B835" s="71" t="s">
        <v>95</v>
      </c>
      <c r="C835" s="72">
        <v>1</v>
      </c>
      <c r="D835" s="73">
        <f>$C835*VLOOKUP($B835,FoodDB!$A$2:$I$1024,3,0)</f>
        <v>0</v>
      </c>
      <c r="E835" s="73">
        <f>$C835*VLOOKUP($B835,FoodDB!$A$2:$I$1024,4,0)</f>
        <v>0</v>
      </c>
      <c r="F835" s="73">
        <f>$C835*VLOOKUP($B835,FoodDB!$A$2:$I$1024,5,0)</f>
        <v>0</v>
      </c>
      <c r="G835" s="73">
        <f>$C835*VLOOKUP($B835,FoodDB!$A$2:$I$1024,6,0)</f>
        <v>0</v>
      </c>
      <c r="H835" s="73">
        <f>$C835*VLOOKUP($B835,FoodDB!$A$2:$I$1024,7,0)</f>
        <v>0</v>
      </c>
      <c r="I835" s="73">
        <f>$C835*VLOOKUP($B835,FoodDB!$A$2:$I$1024,8,0)</f>
        <v>0</v>
      </c>
      <c r="J835" s="73">
        <f>$C835*VLOOKUP($B835,FoodDB!$A$2:$I$1024,9,0)</f>
        <v>0</v>
      </c>
      <c r="K835" s="73"/>
      <c r="L835" s="73"/>
      <c r="M835" s="73"/>
      <c r="N835" s="73"/>
      <c r="O835" s="73"/>
      <c r="P835" s="73"/>
      <c r="Q835" s="73"/>
      <c r="R835" s="73"/>
      <c r="S835" s="73"/>
    </row>
    <row r="836" spans="1:19" x14ac:dyDescent="0.25">
      <c r="B836" s="71" t="s">
        <v>95</v>
      </c>
      <c r="C836" s="72">
        <v>1</v>
      </c>
      <c r="D836" s="73">
        <f>$C836*VLOOKUP($B836,FoodDB!$A$2:$I$1024,3,0)</f>
        <v>0</v>
      </c>
      <c r="E836" s="73">
        <f>$C836*VLOOKUP($B836,FoodDB!$A$2:$I$1024,4,0)</f>
        <v>0</v>
      </c>
      <c r="F836" s="73">
        <f>$C836*VLOOKUP($B836,FoodDB!$A$2:$I$1024,5,0)</f>
        <v>0</v>
      </c>
      <c r="G836" s="73">
        <f>$C836*VLOOKUP($B836,FoodDB!$A$2:$I$1024,6,0)</f>
        <v>0</v>
      </c>
      <c r="H836" s="73">
        <f>$C836*VLOOKUP($B836,FoodDB!$A$2:$I$1024,7,0)</f>
        <v>0</v>
      </c>
      <c r="I836" s="73">
        <f>$C836*VLOOKUP($B836,FoodDB!$A$2:$I$1024,8,0)</f>
        <v>0</v>
      </c>
      <c r="J836" s="73">
        <f>$C836*VLOOKUP($B836,FoodDB!$A$2:$I$1024,9,0)</f>
        <v>0</v>
      </c>
      <c r="K836" s="73"/>
      <c r="L836" s="73"/>
      <c r="M836" s="73"/>
      <c r="N836" s="73"/>
      <c r="O836" s="73"/>
      <c r="P836" s="73"/>
      <c r="Q836" s="73"/>
      <c r="R836" s="73"/>
      <c r="S836" s="73"/>
    </row>
    <row r="837" spans="1:19" x14ac:dyDescent="0.25">
      <c r="B837" s="71" t="s">
        <v>95</v>
      </c>
      <c r="C837" s="72">
        <v>1</v>
      </c>
      <c r="D837" s="73">
        <f>$C837*VLOOKUP($B837,FoodDB!$A$2:$I$1024,3,0)</f>
        <v>0</v>
      </c>
      <c r="E837" s="73">
        <f>$C837*VLOOKUP($B837,FoodDB!$A$2:$I$1024,4,0)</f>
        <v>0</v>
      </c>
      <c r="F837" s="73">
        <f>$C837*VLOOKUP($B837,FoodDB!$A$2:$I$1024,5,0)</f>
        <v>0</v>
      </c>
      <c r="G837" s="73">
        <f>$C837*VLOOKUP($B837,FoodDB!$A$2:$I$1024,6,0)</f>
        <v>0</v>
      </c>
      <c r="H837" s="73">
        <f>$C837*VLOOKUP($B837,FoodDB!$A$2:$I$1024,7,0)</f>
        <v>0</v>
      </c>
      <c r="I837" s="73">
        <f>$C837*VLOOKUP($B837,FoodDB!$A$2:$I$1024,8,0)</f>
        <v>0</v>
      </c>
      <c r="J837" s="73">
        <f>$C837*VLOOKUP($B837,FoodDB!$A$2:$I$1024,9,0)</f>
        <v>0</v>
      </c>
      <c r="K837" s="73"/>
      <c r="L837" s="73"/>
      <c r="M837" s="73"/>
      <c r="N837" s="73"/>
      <c r="O837" s="73"/>
      <c r="P837" s="73"/>
      <c r="Q837" s="73"/>
      <c r="R837" s="73"/>
      <c r="S837" s="73"/>
    </row>
    <row r="838" spans="1:19" x14ac:dyDescent="0.25">
      <c r="B838" s="71" t="s">
        <v>95</v>
      </c>
      <c r="C838" s="72">
        <v>1</v>
      </c>
      <c r="D838" s="73">
        <f>$C838*VLOOKUP($B838,FoodDB!$A$2:$I$1024,3,0)</f>
        <v>0</v>
      </c>
      <c r="E838" s="73">
        <f>$C838*VLOOKUP($B838,FoodDB!$A$2:$I$1024,4,0)</f>
        <v>0</v>
      </c>
      <c r="F838" s="73">
        <f>$C838*VLOOKUP($B838,FoodDB!$A$2:$I$1024,5,0)</f>
        <v>0</v>
      </c>
      <c r="G838" s="73">
        <f>$C838*VLOOKUP($B838,FoodDB!$A$2:$I$1024,6,0)</f>
        <v>0</v>
      </c>
      <c r="H838" s="73">
        <f>$C838*VLOOKUP($B838,FoodDB!$A$2:$I$1024,7,0)</f>
        <v>0</v>
      </c>
      <c r="I838" s="73">
        <f>$C838*VLOOKUP($B838,FoodDB!$A$2:$I$1024,8,0)</f>
        <v>0</v>
      </c>
      <c r="J838" s="73">
        <f>$C838*VLOOKUP($B838,FoodDB!$A$2:$I$1024,9,0)</f>
        <v>0</v>
      </c>
      <c r="K838" s="73"/>
      <c r="L838" s="73"/>
      <c r="M838" s="73"/>
      <c r="N838" s="73"/>
      <c r="O838" s="73"/>
      <c r="P838" s="73"/>
      <c r="Q838" s="73"/>
      <c r="R838" s="73"/>
      <c r="S838" s="73"/>
    </row>
    <row r="839" spans="1:19" x14ac:dyDescent="0.25">
      <c r="B839" s="71" t="s">
        <v>95</v>
      </c>
      <c r="C839" s="72">
        <v>1</v>
      </c>
      <c r="D839" s="73">
        <f>$C839*VLOOKUP($B839,FoodDB!$A$2:$I$1024,3,0)</f>
        <v>0</v>
      </c>
      <c r="E839" s="73">
        <f>$C839*VLOOKUP($B839,FoodDB!$A$2:$I$1024,4,0)</f>
        <v>0</v>
      </c>
      <c r="F839" s="73">
        <f>$C839*VLOOKUP($B839,FoodDB!$A$2:$I$1024,5,0)</f>
        <v>0</v>
      </c>
      <c r="G839" s="73">
        <f>$C839*VLOOKUP($B839,FoodDB!$A$2:$I$1024,6,0)</f>
        <v>0</v>
      </c>
      <c r="H839" s="73">
        <f>$C839*VLOOKUP($B839,FoodDB!$A$2:$I$1024,7,0)</f>
        <v>0</v>
      </c>
      <c r="I839" s="73">
        <f>$C839*VLOOKUP($B839,FoodDB!$A$2:$I$1024,8,0)</f>
        <v>0</v>
      </c>
      <c r="J839" s="73">
        <f>$C839*VLOOKUP($B839,FoodDB!$A$2:$I$1024,9,0)</f>
        <v>0</v>
      </c>
      <c r="K839" s="73"/>
      <c r="L839" s="73"/>
      <c r="M839" s="73"/>
      <c r="N839" s="73"/>
      <c r="O839" s="73"/>
      <c r="P839" s="73"/>
      <c r="Q839" s="73"/>
      <c r="R839" s="73"/>
      <c r="S839" s="73"/>
    </row>
    <row r="840" spans="1:19" x14ac:dyDescent="0.25">
      <c r="A840" t="s">
        <v>99</v>
      </c>
      <c r="D840" s="73"/>
      <c r="E840" s="73"/>
      <c r="F840" s="73"/>
      <c r="G840" s="73">
        <f>SUM(G833:G839)</f>
        <v>0</v>
      </c>
      <c r="H840" s="73">
        <f>SUM(H833:H839)</f>
        <v>0</v>
      </c>
      <c r="I840" s="73">
        <f>SUM(I833:I839)</f>
        <v>0</v>
      </c>
      <c r="J840" s="73">
        <f>SUM(G840:I840)</f>
        <v>0</v>
      </c>
      <c r="K840" s="73"/>
      <c r="L840" s="73"/>
      <c r="M840" s="73"/>
      <c r="N840" s="73"/>
      <c r="O840" s="73"/>
      <c r="P840" s="73"/>
      <c r="Q840" s="73"/>
      <c r="R840" s="73"/>
      <c r="S840" s="73"/>
    </row>
    <row r="841" spans="1:19" x14ac:dyDescent="0.25">
      <c r="A841" t="s">
        <v>100</v>
      </c>
      <c r="B841" t="s">
        <v>101</v>
      </c>
      <c r="D841" s="73"/>
      <c r="E841" s="73"/>
      <c r="F841" s="73"/>
      <c r="G841" s="73">
        <f>VLOOKUP($A833,LossChart!$A$3:$AB$73,14,0)</f>
        <v>808.04488049953784</v>
      </c>
      <c r="H841" s="73">
        <f>VLOOKUP($A833,LossChart!$A$3:$AB$73,15,0)</f>
        <v>80</v>
      </c>
      <c r="I841" s="73">
        <f>VLOOKUP($A833,LossChart!$A$3:$AB$73,16,0)</f>
        <v>463.76562996293683</v>
      </c>
      <c r="J841" s="73">
        <f>VLOOKUP($A833,LossChart!$A$3:$AB$73,17,0)</f>
        <v>1351.8105104624747</v>
      </c>
      <c r="K841" s="73"/>
      <c r="L841" s="73"/>
      <c r="M841" s="73"/>
      <c r="N841" s="73"/>
      <c r="O841" s="73"/>
      <c r="P841" s="73"/>
      <c r="Q841" s="73"/>
      <c r="R841" s="73"/>
      <c r="S841" s="73"/>
    </row>
    <row r="842" spans="1:19" x14ac:dyDescent="0.25">
      <c r="A842" t="s">
        <v>102</v>
      </c>
      <c r="D842" s="73"/>
      <c r="E842" s="73"/>
      <c r="F842" s="73"/>
      <c r="G842" s="73">
        <f>G841-G840</f>
        <v>808.04488049953784</v>
      </c>
      <c r="H842" s="73">
        <f>H841-H840</f>
        <v>80</v>
      </c>
      <c r="I842" s="73">
        <f>I841-I840</f>
        <v>463.76562996293683</v>
      </c>
      <c r="J842" s="73">
        <f>J841-J840</f>
        <v>1351.8105104624747</v>
      </c>
      <c r="K842" s="73"/>
      <c r="L842" s="73"/>
      <c r="M842" s="73"/>
      <c r="N842" s="73"/>
      <c r="O842" s="73"/>
      <c r="P842" s="73"/>
      <c r="Q842" s="73"/>
      <c r="R842" s="73"/>
      <c r="S842" s="73"/>
    </row>
    <row r="844" spans="1:19" ht="60" x14ac:dyDescent="0.25">
      <c r="A844" s="25" t="s">
        <v>63</v>
      </c>
      <c r="B844" s="25" t="s">
        <v>80</v>
      </c>
      <c r="C844" s="25" t="s">
        <v>81</v>
      </c>
      <c r="D844" s="69" t="str">
        <f>FoodDB!$C$1</f>
        <v>Fat
(g)</v>
      </c>
      <c r="E844" s="69" t="str">
        <f>FoodDB!$D$1</f>
        <v xml:space="preserve"> Net
Carbs
(g)</v>
      </c>
      <c r="F844" s="69" t="str">
        <f>FoodDB!$E$1</f>
        <v>Protein
(g)</v>
      </c>
      <c r="G844" s="69" t="str">
        <f>FoodDB!$F$1</f>
        <v>Fat
(Cal)</v>
      </c>
      <c r="H844" s="69" t="str">
        <f>FoodDB!$G$1</f>
        <v>Carb
(Cal)</v>
      </c>
      <c r="I844" s="69" t="str">
        <f>FoodDB!$H$1</f>
        <v>Protein
(Cal)</v>
      </c>
      <c r="J844" s="69" t="str">
        <f>FoodDB!$I$1</f>
        <v>Total
Calories</v>
      </c>
      <c r="K844" s="69"/>
      <c r="L844" s="69" t="s">
        <v>82</v>
      </c>
      <c r="M844" s="69" t="s">
        <v>83</v>
      </c>
      <c r="N844" s="69" t="s">
        <v>84</v>
      </c>
      <c r="O844" s="69" t="s">
        <v>85</v>
      </c>
      <c r="P844" s="69" t="s">
        <v>86</v>
      </c>
      <c r="Q844" s="69" t="s">
        <v>87</v>
      </c>
      <c r="R844" s="69" t="s">
        <v>88</v>
      </c>
      <c r="S844" s="69" t="s">
        <v>89</v>
      </c>
    </row>
    <row r="845" spans="1:19" x14ac:dyDescent="0.25">
      <c r="A845" s="70">
        <f>A833+1</f>
        <v>43101</v>
      </c>
      <c r="B845" s="71" t="s">
        <v>95</v>
      </c>
      <c r="C845" s="72">
        <v>1</v>
      </c>
      <c r="D845" s="73">
        <f>$C845*VLOOKUP($B845,FoodDB!$A$2:$I$1024,3,0)</f>
        <v>0</v>
      </c>
      <c r="E845" s="73">
        <f>$C845*VLOOKUP($B845,FoodDB!$A$2:$I$1024,4,0)</f>
        <v>0</v>
      </c>
      <c r="F845" s="73">
        <f>$C845*VLOOKUP($B845,FoodDB!$A$2:$I$1024,5,0)</f>
        <v>0</v>
      </c>
      <c r="G845" s="73">
        <f>$C845*VLOOKUP($B845,FoodDB!$A$2:$I$1024,6,0)</f>
        <v>0</v>
      </c>
      <c r="H845" s="73">
        <f>$C845*VLOOKUP($B845,FoodDB!$A$2:$I$1024,7,0)</f>
        <v>0</v>
      </c>
      <c r="I845" s="73">
        <f>$C845*VLOOKUP($B845,FoodDB!$A$2:$I$1024,8,0)</f>
        <v>0</v>
      </c>
      <c r="J845" s="73">
        <f>$C845*VLOOKUP($B845,FoodDB!$A$2:$I$1024,9,0)</f>
        <v>0</v>
      </c>
      <c r="K845" s="73"/>
      <c r="L845" s="73">
        <f>SUM(G845:G851)</f>
        <v>0</v>
      </c>
      <c r="M845" s="73">
        <f>SUM(H845:H851)</f>
        <v>0</v>
      </c>
      <c r="N845" s="73">
        <f>SUM(I845:I851)</f>
        <v>0</v>
      </c>
      <c r="O845" s="73">
        <f>SUM(L845:N845)</f>
        <v>0</v>
      </c>
      <c r="P845" s="73">
        <f>VLOOKUP($A845,LossChart!$A$3:$AB$961,14,0)-L845</f>
        <v>812.30169130719901</v>
      </c>
      <c r="Q845" s="73">
        <f>VLOOKUP($A845,LossChart!$A$3:$AB$961,15,0)-M845</f>
        <v>80</v>
      </c>
      <c r="R845" s="73">
        <f>VLOOKUP($A845,LossChart!$A$3:$AB$961,16,0)-N845</f>
        <v>463.76562996293683</v>
      </c>
      <c r="S845" s="73">
        <f>VLOOKUP($A845,LossChart!$A$3:$AB$961,17,0)-O845</f>
        <v>1356.0673212701358</v>
      </c>
    </row>
    <row r="846" spans="1:19" x14ac:dyDescent="0.25">
      <c r="B846" s="71" t="s">
        <v>95</v>
      </c>
      <c r="C846" s="72">
        <v>1</v>
      </c>
      <c r="D846" s="73">
        <f>$C846*VLOOKUP($B846,FoodDB!$A$2:$I$1024,3,0)</f>
        <v>0</v>
      </c>
      <c r="E846" s="73">
        <f>$C846*VLOOKUP($B846,FoodDB!$A$2:$I$1024,4,0)</f>
        <v>0</v>
      </c>
      <c r="F846" s="73">
        <f>$C846*VLOOKUP($B846,FoodDB!$A$2:$I$1024,5,0)</f>
        <v>0</v>
      </c>
      <c r="G846" s="73">
        <f>$C846*VLOOKUP($B846,FoodDB!$A$2:$I$1024,6,0)</f>
        <v>0</v>
      </c>
      <c r="H846" s="73">
        <f>$C846*VLOOKUP($B846,FoodDB!$A$2:$I$1024,7,0)</f>
        <v>0</v>
      </c>
      <c r="I846" s="73">
        <f>$C846*VLOOKUP($B846,FoodDB!$A$2:$I$1024,8,0)</f>
        <v>0</v>
      </c>
      <c r="J846" s="73">
        <f>$C846*VLOOKUP($B846,FoodDB!$A$2:$I$1024,9,0)</f>
        <v>0</v>
      </c>
      <c r="K846" s="73"/>
      <c r="L846" s="73"/>
      <c r="M846" s="73"/>
      <c r="N846" s="73"/>
      <c r="O846" s="73"/>
      <c r="P846" s="73"/>
      <c r="Q846" s="73"/>
      <c r="R846" s="73"/>
      <c r="S846" s="73"/>
    </row>
    <row r="847" spans="1:19" x14ac:dyDescent="0.25">
      <c r="B847" s="71" t="s">
        <v>95</v>
      </c>
      <c r="C847" s="72">
        <v>1</v>
      </c>
      <c r="D847" s="73">
        <f>$C847*VLOOKUP($B847,FoodDB!$A$2:$I$1024,3,0)</f>
        <v>0</v>
      </c>
      <c r="E847" s="73">
        <f>$C847*VLOOKUP($B847,FoodDB!$A$2:$I$1024,4,0)</f>
        <v>0</v>
      </c>
      <c r="F847" s="73">
        <f>$C847*VLOOKUP($B847,FoodDB!$A$2:$I$1024,5,0)</f>
        <v>0</v>
      </c>
      <c r="G847" s="73">
        <f>$C847*VLOOKUP($B847,FoodDB!$A$2:$I$1024,6,0)</f>
        <v>0</v>
      </c>
      <c r="H847" s="73">
        <f>$C847*VLOOKUP($B847,FoodDB!$A$2:$I$1024,7,0)</f>
        <v>0</v>
      </c>
      <c r="I847" s="73">
        <f>$C847*VLOOKUP($B847,FoodDB!$A$2:$I$1024,8,0)</f>
        <v>0</v>
      </c>
      <c r="J847" s="73">
        <f>$C847*VLOOKUP($B847,FoodDB!$A$2:$I$1024,9,0)</f>
        <v>0</v>
      </c>
      <c r="K847" s="73"/>
      <c r="L847" s="73"/>
      <c r="M847" s="73"/>
      <c r="N847" s="73"/>
      <c r="O847" s="73"/>
      <c r="P847" s="73"/>
      <c r="Q847" s="73"/>
      <c r="R847" s="73"/>
      <c r="S847" s="73"/>
    </row>
    <row r="848" spans="1:19" x14ac:dyDescent="0.25">
      <c r="B848" s="71" t="s">
        <v>95</v>
      </c>
      <c r="C848" s="72">
        <v>1</v>
      </c>
      <c r="D848" s="73">
        <f>$C848*VLOOKUP($B848,FoodDB!$A$2:$I$1024,3,0)</f>
        <v>0</v>
      </c>
      <c r="E848" s="73">
        <f>$C848*VLOOKUP($B848,FoodDB!$A$2:$I$1024,4,0)</f>
        <v>0</v>
      </c>
      <c r="F848" s="73">
        <f>$C848*VLOOKUP($B848,FoodDB!$A$2:$I$1024,5,0)</f>
        <v>0</v>
      </c>
      <c r="G848" s="73">
        <f>$C848*VLOOKUP($B848,FoodDB!$A$2:$I$1024,6,0)</f>
        <v>0</v>
      </c>
      <c r="H848" s="73">
        <f>$C848*VLOOKUP($B848,FoodDB!$A$2:$I$1024,7,0)</f>
        <v>0</v>
      </c>
      <c r="I848" s="73">
        <f>$C848*VLOOKUP($B848,FoodDB!$A$2:$I$1024,8,0)</f>
        <v>0</v>
      </c>
      <c r="J848" s="73">
        <f>$C848*VLOOKUP($B848,FoodDB!$A$2:$I$1024,9,0)</f>
        <v>0</v>
      </c>
      <c r="K848" s="73"/>
      <c r="L848" s="73"/>
      <c r="M848" s="73"/>
      <c r="N848" s="73"/>
      <c r="O848" s="73"/>
      <c r="P848" s="73"/>
      <c r="Q848" s="73"/>
      <c r="R848" s="73"/>
      <c r="S848" s="73"/>
    </row>
    <row r="849" spans="1:19" x14ac:dyDescent="0.25">
      <c r="B849" s="71" t="s">
        <v>95</v>
      </c>
      <c r="C849" s="72">
        <v>1</v>
      </c>
      <c r="D849" s="73">
        <f>$C849*VLOOKUP($B849,FoodDB!$A$2:$I$1024,3,0)</f>
        <v>0</v>
      </c>
      <c r="E849" s="73">
        <f>$C849*VLOOKUP($B849,FoodDB!$A$2:$I$1024,4,0)</f>
        <v>0</v>
      </c>
      <c r="F849" s="73">
        <f>$C849*VLOOKUP($B849,FoodDB!$A$2:$I$1024,5,0)</f>
        <v>0</v>
      </c>
      <c r="G849" s="73">
        <f>$C849*VLOOKUP($B849,FoodDB!$A$2:$I$1024,6,0)</f>
        <v>0</v>
      </c>
      <c r="H849" s="73">
        <f>$C849*VLOOKUP($B849,FoodDB!$A$2:$I$1024,7,0)</f>
        <v>0</v>
      </c>
      <c r="I849" s="73">
        <f>$C849*VLOOKUP($B849,FoodDB!$A$2:$I$1024,8,0)</f>
        <v>0</v>
      </c>
      <c r="J849" s="73">
        <f>$C849*VLOOKUP($B849,FoodDB!$A$2:$I$1024,9,0)</f>
        <v>0</v>
      </c>
      <c r="K849" s="73"/>
      <c r="L849" s="73"/>
      <c r="M849" s="73"/>
      <c r="N849" s="73"/>
      <c r="O849" s="73"/>
      <c r="P849" s="73"/>
      <c r="Q849" s="73"/>
      <c r="R849" s="73"/>
      <c r="S849" s="73"/>
    </row>
    <row r="850" spans="1:19" x14ac:dyDescent="0.25">
      <c r="B850" s="71" t="s">
        <v>95</v>
      </c>
      <c r="C850" s="72">
        <v>1</v>
      </c>
      <c r="D850" s="73">
        <f>$C850*VLOOKUP($B850,FoodDB!$A$2:$I$1024,3,0)</f>
        <v>0</v>
      </c>
      <c r="E850" s="73">
        <f>$C850*VLOOKUP($B850,FoodDB!$A$2:$I$1024,4,0)</f>
        <v>0</v>
      </c>
      <c r="F850" s="73">
        <f>$C850*VLOOKUP($B850,FoodDB!$A$2:$I$1024,5,0)</f>
        <v>0</v>
      </c>
      <c r="G850" s="73">
        <f>$C850*VLOOKUP($B850,FoodDB!$A$2:$I$1024,6,0)</f>
        <v>0</v>
      </c>
      <c r="H850" s="73">
        <f>$C850*VLOOKUP($B850,FoodDB!$A$2:$I$1024,7,0)</f>
        <v>0</v>
      </c>
      <c r="I850" s="73">
        <f>$C850*VLOOKUP($B850,FoodDB!$A$2:$I$1024,8,0)</f>
        <v>0</v>
      </c>
      <c r="J850" s="73">
        <f>$C850*VLOOKUP($B850,FoodDB!$A$2:$I$1024,9,0)</f>
        <v>0</v>
      </c>
      <c r="K850" s="73"/>
      <c r="L850" s="73"/>
      <c r="M850" s="73"/>
      <c r="N850" s="73"/>
      <c r="O850" s="73"/>
      <c r="P850" s="73"/>
      <c r="Q850" s="73"/>
      <c r="R850" s="73"/>
      <c r="S850" s="73"/>
    </row>
    <row r="851" spans="1:19" x14ac:dyDescent="0.25">
      <c r="B851" s="71" t="s">
        <v>95</v>
      </c>
      <c r="C851" s="72">
        <v>1</v>
      </c>
      <c r="D851" s="73">
        <f>$C851*VLOOKUP($B851,FoodDB!$A$2:$I$1024,3,0)</f>
        <v>0</v>
      </c>
      <c r="E851" s="73">
        <f>$C851*VLOOKUP($B851,FoodDB!$A$2:$I$1024,4,0)</f>
        <v>0</v>
      </c>
      <c r="F851" s="73">
        <f>$C851*VLOOKUP($B851,FoodDB!$A$2:$I$1024,5,0)</f>
        <v>0</v>
      </c>
      <c r="G851" s="73">
        <f>$C851*VLOOKUP($B851,FoodDB!$A$2:$I$1024,6,0)</f>
        <v>0</v>
      </c>
      <c r="H851" s="73">
        <f>$C851*VLOOKUP($B851,FoodDB!$A$2:$I$1024,7,0)</f>
        <v>0</v>
      </c>
      <c r="I851" s="73">
        <f>$C851*VLOOKUP($B851,FoodDB!$A$2:$I$1024,8,0)</f>
        <v>0</v>
      </c>
      <c r="J851" s="73">
        <f>$C851*VLOOKUP($B851,FoodDB!$A$2:$I$1024,9,0)</f>
        <v>0</v>
      </c>
      <c r="K851" s="73"/>
      <c r="L851" s="73"/>
      <c r="M851" s="73"/>
      <c r="N851" s="73"/>
      <c r="O851" s="73"/>
      <c r="P851" s="73"/>
      <c r="Q851" s="73"/>
      <c r="R851" s="73"/>
      <c r="S851" s="73"/>
    </row>
    <row r="852" spans="1:19" x14ac:dyDescent="0.25">
      <c r="A852" t="s">
        <v>99</v>
      </c>
      <c r="D852" s="73"/>
      <c r="E852" s="73"/>
      <c r="F852" s="73"/>
      <c r="G852" s="73">
        <f>SUM(G845:G851)</f>
        <v>0</v>
      </c>
      <c r="H852" s="73">
        <f>SUM(H845:H851)</f>
        <v>0</v>
      </c>
      <c r="I852" s="73">
        <f>SUM(I845:I851)</f>
        <v>0</v>
      </c>
      <c r="J852" s="73">
        <f>SUM(G852:I852)</f>
        <v>0</v>
      </c>
      <c r="K852" s="73"/>
      <c r="L852" s="73"/>
      <c r="M852" s="73"/>
      <c r="N852" s="73"/>
      <c r="O852" s="73"/>
      <c r="P852" s="73"/>
      <c r="Q852" s="73"/>
      <c r="R852" s="73"/>
      <c r="S852" s="73"/>
    </row>
    <row r="853" spans="1:19" x14ac:dyDescent="0.25">
      <c r="A853" t="s">
        <v>100</v>
      </c>
      <c r="B853" t="s">
        <v>101</v>
      </c>
      <c r="D853" s="73"/>
      <c r="E853" s="73"/>
      <c r="F853" s="73"/>
      <c r="G853" s="73">
        <f>VLOOKUP($A845,LossChart!$A$3:$AB$73,14,0)</f>
        <v>812.30169130719901</v>
      </c>
      <c r="H853" s="73">
        <f>VLOOKUP($A845,LossChart!$A$3:$AB$73,15,0)</f>
        <v>80</v>
      </c>
      <c r="I853" s="73">
        <f>VLOOKUP($A845,LossChart!$A$3:$AB$73,16,0)</f>
        <v>463.76562996293683</v>
      </c>
      <c r="J853" s="73">
        <f>VLOOKUP($A845,LossChart!$A$3:$AB$73,17,0)</f>
        <v>1356.0673212701358</v>
      </c>
      <c r="K853" s="73"/>
      <c r="L853" s="73"/>
      <c r="M853" s="73"/>
      <c r="N853" s="73"/>
      <c r="O853" s="73"/>
      <c r="P853" s="73"/>
      <c r="Q853" s="73"/>
      <c r="R853" s="73"/>
      <c r="S853" s="73"/>
    </row>
    <row r="854" spans="1:19" x14ac:dyDescent="0.25">
      <c r="A854" t="s">
        <v>102</v>
      </c>
      <c r="D854" s="73"/>
      <c r="E854" s="73"/>
      <c r="F854" s="73"/>
      <c r="G854" s="73">
        <f>G853-G852</f>
        <v>812.30169130719901</v>
      </c>
      <c r="H854" s="73">
        <f>H853-H852</f>
        <v>80</v>
      </c>
      <c r="I854" s="73">
        <f>I853-I852</f>
        <v>463.76562996293683</v>
      </c>
      <c r="J854" s="73">
        <f>J853-J852</f>
        <v>1356.0673212701358</v>
      </c>
      <c r="K854" s="73"/>
      <c r="L854" s="73"/>
      <c r="M854" s="73"/>
      <c r="N854" s="73"/>
      <c r="O854" s="73"/>
      <c r="P854" s="73"/>
      <c r="Q854" s="73"/>
      <c r="R854" s="73"/>
      <c r="S854" s="7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FoodDB!$A$2:$A$54</xm:f>
          </x14:formula1>
          <x14:formula2>
            <xm:f>0</xm:f>
          </x14:formula2>
          <xm:sqref>B2:B11 B17:B23 B29:B35 B41:B47 B53:B59 B65:B71 B77:B83 B89:B95 B101:B107 B113:B119 B125:B131 B137:B143 B149:B155 B161:B167 B173:B179 B185:B191 B197:B203 B209:B215 B221:B227 B233:B239 B245:B251 B257:B263 B269:B275 B281:B287 B293:B299 B305:B311 B317:B323 B329:B335 B341:B347 B353:B359 B365:B371 B377:B383 B389:B395 B401:B407 B413:B419 B425:B431 B437:B443 B449:B455 B461:B467 B473:B479 B485:B491 B497:B503 B509:B515 B521:B527 B533:B539 B545:B551 B557:B563 B569:B575 B581:B587 B593:B599 B605:B611 B617:B623 B629:B635 B641:B647 B653:B659 B665:B671 B677:B683 B689:B695 B701:B707 B713:B719 B725:B731 B737:B743 B749:B755 B761:B767 B773:B779 B785:B791 B797:B803 B809:B815 B821:B827 B833:B839 B845:B851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="150" zoomScaleNormal="150" workbookViewId="0">
      <pane ySplit="1" topLeftCell="A26" activePane="bottomLeft" state="frozen"/>
      <selection pane="bottomLeft" activeCell="A29" sqref="A29"/>
    </sheetView>
  </sheetViews>
  <sheetFormatPr defaultRowHeight="15" x14ac:dyDescent="0.25"/>
  <cols>
    <col min="1" max="1" width="20.85546875" style="37" customWidth="1"/>
    <col min="2" max="2" width="11" style="74" customWidth="1"/>
    <col min="3" max="3" width="5.140625" style="37" customWidth="1"/>
    <col min="4" max="4" width="5.85546875" style="37" customWidth="1"/>
    <col min="5" max="5" width="12.140625" style="37" customWidth="1"/>
    <col min="6" max="6" width="6.28515625" style="37" customWidth="1"/>
    <col min="7" max="7" width="5.140625" style="37" customWidth="1"/>
    <col min="8" max="8" width="7.42578125" style="37" customWidth="1"/>
    <col min="9" max="9" width="8.85546875" style="37" customWidth="1"/>
    <col min="10" max="1025" width="11.5703125" style="37" customWidth="1"/>
  </cols>
  <sheetData>
    <row r="1" spans="1:10" ht="45" x14ac:dyDescent="0.25">
      <c r="A1" s="75" t="s">
        <v>80</v>
      </c>
      <c r="B1" s="76" t="s">
        <v>104</v>
      </c>
      <c r="C1" s="76" t="s">
        <v>71</v>
      </c>
      <c r="D1" s="76" t="s">
        <v>105</v>
      </c>
      <c r="E1" s="76" t="s">
        <v>73</v>
      </c>
      <c r="F1" s="76" t="s">
        <v>106</v>
      </c>
      <c r="G1" s="76" t="s">
        <v>107</v>
      </c>
      <c r="H1" s="76" t="s">
        <v>108</v>
      </c>
      <c r="I1" s="77" t="s">
        <v>109</v>
      </c>
    </row>
    <row r="2" spans="1:10" x14ac:dyDescent="0.25">
      <c r="A2" s="37" t="s">
        <v>95</v>
      </c>
      <c r="B2" s="74">
        <v>1</v>
      </c>
      <c r="C2" s="78">
        <v>0</v>
      </c>
      <c r="D2" s="78">
        <v>0</v>
      </c>
      <c r="E2" s="78">
        <v>0</v>
      </c>
      <c r="F2" s="78">
        <f t="shared" ref="F2:F43" si="0">9*C2</f>
        <v>0</v>
      </c>
      <c r="G2" s="78">
        <f t="shared" ref="G2:G43" si="1">4*D2</f>
        <v>0</v>
      </c>
      <c r="H2" s="78">
        <f t="shared" ref="H2:H43" si="2">4*E2</f>
        <v>0</v>
      </c>
      <c r="I2" s="78">
        <f t="shared" ref="I2:I23" si="3">SUM(F2:H2)</f>
        <v>0</v>
      </c>
    </row>
    <row r="3" spans="1:10" x14ac:dyDescent="0.25">
      <c r="A3" s="37" t="s">
        <v>93</v>
      </c>
      <c r="B3" s="74" t="s">
        <v>110</v>
      </c>
      <c r="C3" s="78">
        <v>15</v>
      </c>
      <c r="D3" s="78">
        <v>2</v>
      </c>
      <c r="E3" s="78">
        <v>7</v>
      </c>
      <c r="F3" s="78">
        <f t="shared" si="0"/>
        <v>135</v>
      </c>
      <c r="G3" s="78">
        <f t="shared" si="1"/>
        <v>8</v>
      </c>
      <c r="H3" s="78">
        <f t="shared" si="2"/>
        <v>28</v>
      </c>
      <c r="I3" s="78">
        <f t="shared" si="3"/>
        <v>171</v>
      </c>
    </row>
    <row r="4" spans="1:10" x14ac:dyDescent="0.25">
      <c r="A4" s="37" t="s">
        <v>111</v>
      </c>
      <c r="B4" s="74" t="s">
        <v>112</v>
      </c>
      <c r="C4" s="37">
        <v>0.1</v>
      </c>
      <c r="D4" s="37">
        <v>1.8</v>
      </c>
      <c r="E4" s="37">
        <v>2.2000000000000002</v>
      </c>
      <c r="F4" s="78">
        <f t="shared" si="0"/>
        <v>0.9</v>
      </c>
      <c r="G4" s="78">
        <f t="shared" si="1"/>
        <v>7.2</v>
      </c>
      <c r="H4" s="78">
        <f t="shared" si="2"/>
        <v>8.8000000000000007</v>
      </c>
      <c r="I4" s="78">
        <f t="shared" si="3"/>
        <v>16.899999999999999</v>
      </c>
    </row>
    <row r="5" spans="1:10" x14ac:dyDescent="0.25">
      <c r="A5" s="37" t="s">
        <v>113</v>
      </c>
      <c r="B5" s="74" t="s">
        <v>114</v>
      </c>
      <c r="C5" s="78">
        <v>6</v>
      </c>
      <c r="D5" s="78">
        <v>0</v>
      </c>
      <c r="E5" s="78">
        <v>4</v>
      </c>
      <c r="F5" s="78">
        <f t="shared" si="0"/>
        <v>54</v>
      </c>
      <c r="G5" s="78">
        <f t="shared" si="1"/>
        <v>0</v>
      </c>
      <c r="H5" s="78">
        <f t="shared" si="2"/>
        <v>16</v>
      </c>
      <c r="I5" s="78">
        <f t="shared" si="3"/>
        <v>70</v>
      </c>
      <c r="J5" s="37" t="s">
        <v>115</v>
      </c>
    </row>
    <row r="6" spans="1:10" x14ac:dyDescent="0.25">
      <c r="A6" s="37" t="s">
        <v>116</v>
      </c>
      <c r="B6" s="74" t="s">
        <v>112</v>
      </c>
      <c r="C6" s="37">
        <v>0</v>
      </c>
      <c r="D6" s="37">
        <v>5.35</v>
      </c>
      <c r="E6" s="37">
        <v>0</v>
      </c>
      <c r="F6" s="78">
        <f t="shared" si="0"/>
        <v>0</v>
      </c>
      <c r="G6" s="78">
        <f t="shared" si="1"/>
        <v>21.4</v>
      </c>
      <c r="H6" s="78">
        <f t="shared" si="2"/>
        <v>0</v>
      </c>
      <c r="I6" s="78">
        <f t="shared" si="3"/>
        <v>21.4</v>
      </c>
    </row>
    <row r="7" spans="1:10" x14ac:dyDescent="0.25">
      <c r="A7" s="37" t="s">
        <v>97</v>
      </c>
      <c r="B7" s="74" t="s">
        <v>117</v>
      </c>
      <c r="C7" s="78">
        <f>4.5*0/14</f>
        <v>0</v>
      </c>
      <c r="D7" s="78">
        <f>4.5*2/14</f>
        <v>0.6428571428571429</v>
      </c>
      <c r="E7" s="78">
        <f>4.5*1/14</f>
        <v>0.32142857142857145</v>
      </c>
      <c r="F7" s="78">
        <f t="shared" si="0"/>
        <v>0</v>
      </c>
      <c r="G7" s="78">
        <f t="shared" si="1"/>
        <v>2.5714285714285716</v>
      </c>
      <c r="H7" s="78">
        <f t="shared" si="2"/>
        <v>1.2857142857142858</v>
      </c>
      <c r="I7" s="78">
        <f t="shared" si="3"/>
        <v>3.8571428571428577</v>
      </c>
    </row>
    <row r="8" spans="1:10" x14ac:dyDescent="0.25">
      <c r="A8" s="37" t="s">
        <v>118</v>
      </c>
      <c r="B8" s="74" t="s">
        <v>119</v>
      </c>
      <c r="C8" s="78">
        <v>12</v>
      </c>
      <c r="D8" s="78">
        <v>0</v>
      </c>
      <c r="E8" s="78">
        <v>0</v>
      </c>
      <c r="F8" s="78">
        <f t="shared" si="0"/>
        <v>108</v>
      </c>
      <c r="G8" s="78">
        <f t="shared" si="1"/>
        <v>0</v>
      </c>
      <c r="H8" s="78">
        <f t="shared" si="2"/>
        <v>0</v>
      </c>
      <c r="I8" s="78">
        <f t="shared" si="3"/>
        <v>108</v>
      </c>
    </row>
    <row r="9" spans="1:10" x14ac:dyDescent="0.25">
      <c r="A9" s="37" t="s">
        <v>120</v>
      </c>
      <c r="B9" s="74" t="s">
        <v>121</v>
      </c>
      <c r="C9" s="78">
        <v>1.6</v>
      </c>
      <c r="D9" s="78">
        <f>29-12</f>
        <v>17</v>
      </c>
      <c r="E9" s="78">
        <v>11</v>
      </c>
      <c r="F9" s="78">
        <f t="shared" si="0"/>
        <v>14.4</v>
      </c>
      <c r="G9" s="78">
        <f t="shared" si="1"/>
        <v>68</v>
      </c>
      <c r="H9" s="78">
        <f t="shared" si="2"/>
        <v>44</v>
      </c>
      <c r="I9" s="78">
        <f t="shared" si="3"/>
        <v>126.4</v>
      </c>
    </row>
    <row r="10" spans="1:10" x14ac:dyDescent="0.25">
      <c r="A10" s="37" t="s">
        <v>122</v>
      </c>
      <c r="B10" s="74" t="s">
        <v>117</v>
      </c>
      <c r="C10" s="78">
        <v>9</v>
      </c>
      <c r="D10" s="78">
        <v>0.4</v>
      </c>
      <c r="E10" s="78">
        <v>7</v>
      </c>
      <c r="F10" s="78">
        <f t="shared" si="0"/>
        <v>81</v>
      </c>
      <c r="G10" s="78">
        <f t="shared" si="1"/>
        <v>1.6</v>
      </c>
      <c r="H10" s="78">
        <f t="shared" si="2"/>
        <v>28</v>
      </c>
      <c r="I10" s="78">
        <f t="shared" si="3"/>
        <v>110.6</v>
      </c>
    </row>
    <row r="11" spans="1:10" x14ac:dyDescent="0.25">
      <c r="A11" s="37" t="s">
        <v>96</v>
      </c>
      <c r="B11" s="74" t="s">
        <v>123</v>
      </c>
      <c r="C11" s="78">
        <v>2.5</v>
      </c>
      <c r="D11" s="78">
        <v>0</v>
      </c>
      <c r="E11" s="78">
        <v>6</v>
      </c>
      <c r="F11" s="78">
        <f t="shared" si="0"/>
        <v>22.5</v>
      </c>
      <c r="G11" s="78">
        <f t="shared" si="1"/>
        <v>0</v>
      </c>
      <c r="H11" s="78">
        <f t="shared" si="2"/>
        <v>24</v>
      </c>
      <c r="I11" s="78">
        <f t="shared" si="3"/>
        <v>46.5</v>
      </c>
    </row>
    <row r="12" spans="1:10" x14ac:dyDescent="0.25">
      <c r="A12" s="79" t="s">
        <v>124</v>
      </c>
      <c r="B12" s="80" t="s">
        <v>119</v>
      </c>
      <c r="C12" s="78">
        <v>9</v>
      </c>
      <c r="D12" s="78">
        <v>2</v>
      </c>
      <c r="E12" s="81">
        <v>4.7</v>
      </c>
      <c r="F12" s="78">
        <f t="shared" si="0"/>
        <v>81</v>
      </c>
      <c r="G12" s="78">
        <f t="shared" si="1"/>
        <v>8</v>
      </c>
      <c r="H12" s="78">
        <f t="shared" si="2"/>
        <v>18.8</v>
      </c>
      <c r="I12" s="78">
        <f t="shared" si="3"/>
        <v>107.8</v>
      </c>
    </row>
    <row r="13" spans="1:10" x14ac:dyDescent="0.25">
      <c r="A13" s="37" t="s">
        <v>91</v>
      </c>
      <c r="B13" s="74" t="s">
        <v>112</v>
      </c>
      <c r="C13" s="78">
        <v>3.6</v>
      </c>
      <c r="D13" s="78">
        <v>0</v>
      </c>
      <c r="E13" s="78">
        <v>31</v>
      </c>
      <c r="F13" s="78">
        <f t="shared" si="0"/>
        <v>32.4</v>
      </c>
      <c r="G13" s="78">
        <f t="shared" si="1"/>
        <v>0</v>
      </c>
      <c r="H13" s="78">
        <f t="shared" si="2"/>
        <v>124</v>
      </c>
      <c r="I13" s="78">
        <f t="shared" si="3"/>
        <v>156.4</v>
      </c>
    </row>
    <row r="14" spans="1:10" x14ac:dyDescent="0.25">
      <c r="A14" s="37" t="s">
        <v>125</v>
      </c>
      <c r="B14" s="74" t="s">
        <v>126</v>
      </c>
      <c r="C14" s="78">
        <v>10</v>
      </c>
      <c r="D14" s="78">
        <v>0</v>
      </c>
      <c r="E14" s="78">
        <v>28</v>
      </c>
      <c r="F14" s="78">
        <f t="shared" si="0"/>
        <v>90</v>
      </c>
      <c r="G14" s="78">
        <f t="shared" si="1"/>
        <v>0</v>
      </c>
      <c r="H14" s="78">
        <f t="shared" si="2"/>
        <v>112</v>
      </c>
      <c r="I14" s="78">
        <f t="shared" si="3"/>
        <v>202</v>
      </c>
    </row>
    <row r="15" spans="1:10" x14ac:dyDescent="0.25">
      <c r="A15" s="37" t="s">
        <v>127</v>
      </c>
      <c r="B15" s="74">
        <v>1</v>
      </c>
      <c r="C15" s="78">
        <v>8.3000000000000007</v>
      </c>
      <c r="D15" s="78">
        <v>0</v>
      </c>
      <c r="E15" s="78">
        <v>11.46</v>
      </c>
      <c r="F15" s="78">
        <f t="shared" si="0"/>
        <v>74.7</v>
      </c>
      <c r="G15" s="78">
        <f t="shared" si="1"/>
        <v>0</v>
      </c>
      <c r="H15" s="78">
        <f t="shared" si="2"/>
        <v>45.84</v>
      </c>
      <c r="I15" s="78">
        <f t="shared" si="3"/>
        <v>120.54</v>
      </c>
    </row>
    <row r="16" spans="1:10" x14ac:dyDescent="0.25">
      <c r="A16" s="37" t="s">
        <v>92</v>
      </c>
      <c r="B16" s="74">
        <v>1</v>
      </c>
      <c r="C16" s="78">
        <v>6.18</v>
      </c>
      <c r="D16" s="78">
        <v>0</v>
      </c>
      <c r="E16" s="78">
        <v>8.52</v>
      </c>
      <c r="F16" s="78">
        <f t="shared" si="0"/>
        <v>55.62</v>
      </c>
      <c r="G16" s="78">
        <f t="shared" si="1"/>
        <v>0</v>
      </c>
      <c r="H16" s="78">
        <f t="shared" si="2"/>
        <v>34.08</v>
      </c>
      <c r="I16" s="78">
        <f t="shared" si="3"/>
        <v>89.699999999999989</v>
      </c>
    </row>
    <row r="17" spans="1:9" x14ac:dyDescent="0.25">
      <c r="A17" s="37" t="s">
        <v>128</v>
      </c>
      <c r="B17" s="74">
        <v>1</v>
      </c>
      <c r="C17" s="78">
        <v>5.4</v>
      </c>
      <c r="D17" s="78">
        <v>0</v>
      </c>
      <c r="E17" s="78">
        <v>7.46</v>
      </c>
      <c r="F17" s="78">
        <f t="shared" si="0"/>
        <v>48.6</v>
      </c>
      <c r="G17" s="78">
        <f t="shared" si="1"/>
        <v>0</v>
      </c>
      <c r="H17" s="78">
        <f t="shared" si="2"/>
        <v>29.84</v>
      </c>
      <c r="I17" s="78">
        <f t="shared" si="3"/>
        <v>78.44</v>
      </c>
    </row>
    <row r="18" spans="1:9" x14ac:dyDescent="0.25">
      <c r="A18" s="37" t="s">
        <v>90</v>
      </c>
      <c r="B18" s="74" t="s">
        <v>129</v>
      </c>
      <c r="C18" s="78">
        <v>0</v>
      </c>
      <c r="D18" s="78">
        <v>0</v>
      </c>
      <c r="E18" s="78">
        <v>0</v>
      </c>
      <c r="F18" s="78">
        <f t="shared" si="0"/>
        <v>0</v>
      </c>
      <c r="G18" s="78">
        <f t="shared" si="1"/>
        <v>0</v>
      </c>
      <c r="H18" s="78">
        <f t="shared" si="2"/>
        <v>0</v>
      </c>
      <c r="I18" s="78">
        <f t="shared" si="3"/>
        <v>0</v>
      </c>
    </row>
    <row r="19" spans="1:9" x14ac:dyDescent="0.25">
      <c r="A19" s="37" t="s">
        <v>130</v>
      </c>
      <c r="B19" s="74" t="s">
        <v>129</v>
      </c>
      <c r="C19" s="37">
        <v>1.5</v>
      </c>
      <c r="D19" s="37">
        <v>3</v>
      </c>
      <c r="E19" s="37">
        <v>25</v>
      </c>
      <c r="F19" s="78">
        <f t="shared" si="0"/>
        <v>13.5</v>
      </c>
      <c r="G19" s="78">
        <f t="shared" si="1"/>
        <v>12</v>
      </c>
      <c r="H19" s="78">
        <f t="shared" si="2"/>
        <v>100</v>
      </c>
      <c r="I19" s="78">
        <f t="shared" si="3"/>
        <v>125.5</v>
      </c>
    </row>
    <row r="20" spans="1:9" x14ac:dyDescent="0.25">
      <c r="A20" s="37" t="s">
        <v>94</v>
      </c>
      <c r="B20" s="74">
        <v>1</v>
      </c>
      <c r="C20" s="78">
        <v>5</v>
      </c>
      <c r="D20" s="78">
        <v>0</v>
      </c>
      <c r="E20" s="78">
        <v>6</v>
      </c>
      <c r="F20" s="78">
        <f t="shared" si="0"/>
        <v>45</v>
      </c>
      <c r="G20" s="78">
        <f t="shared" si="1"/>
        <v>0</v>
      </c>
      <c r="H20" s="78">
        <f t="shared" si="2"/>
        <v>24</v>
      </c>
      <c r="I20" s="78">
        <f t="shared" si="3"/>
        <v>69</v>
      </c>
    </row>
    <row r="21" spans="1:9" x14ac:dyDescent="0.25">
      <c r="A21" s="37" t="s">
        <v>103</v>
      </c>
      <c r="B21" s="74">
        <v>1</v>
      </c>
      <c r="C21" s="37">
        <v>0.5</v>
      </c>
      <c r="D21" s="37">
        <v>0</v>
      </c>
      <c r="E21" s="37">
        <v>0</v>
      </c>
      <c r="F21" s="78">
        <f t="shared" si="0"/>
        <v>4.5</v>
      </c>
      <c r="G21" s="78">
        <f t="shared" si="1"/>
        <v>0</v>
      </c>
      <c r="H21" s="78">
        <f t="shared" si="2"/>
        <v>0</v>
      </c>
      <c r="I21" s="78">
        <f t="shared" si="3"/>
        <v>4.5</v>
      </c>
    </row>
    <row r="22" spans="1:9" x14ac:dyDescent="0.25">
      <c r="A22" s="37" t="s">
        <v>131</v>
      </c>
      <c r="B22" s="74" t="s">
        <v>112</v>
      </c>
      <c r="C22" s="37">
        <v>18</v>
      </c>
      <c r="D22" s="37">
        <v>0</v>
      </c>
      <c r="E22" s="37">
        <v>26</v>
      </c>
      <c r="F22" s="78">
        <f t="shared" si="0"/>
        <v>162</v>
      </c>
      <c r="G22" s="78">
        <f t="shared" si="1"/>
        <v>0</v>
      </c>
      <c r="H22" s="78">
        <f t="shared" si="2"/>
        <v>104</v>
      </c>
      <c r="I22" s="78">
        <f t="shared" si="3"/>
        <v>266</v>
      </c>
    </row>
    <row r="23" spans="1:9" x14ac:dyDescent="0.25">
      <c r="A23" s="37" t="s">
        <v>132</v>
      </c>
      <c r="B23" s="74" t="s">
        <v>133</v>
      </c>
      <c r="C23" s="78">
        <v>0.5</v>
      </c>
      <c r="D23" s="78">
        <v>0</v>
      </c>
      <c r="E23" s="78">
        <v>50</v>
      </c>
      <c r="F23" s="78">
        <f t="shared" si="0"/>
        <v>4.5</v>
      </c>
      <c r="G23" s="78">
        <f t="shared" si="1"/>
        <v>0</v>
      </c>
      <c r="H23" s="78">
        <f t="shared" si="2"/>
        <v>200</v>
      </c>
      <c r="I23" s="78">
        <f t="shared" si="3"/>
        <v>204.5</v>
      </c>
    </row>
    <row r="24" spans="1:9" x14ac:dyDescent="0.25">
      <c r="A24" s="37" t="s">
        <v>134</v>
      </c>
      <c r="B24" s="74" t="s">
        <v>135</v>
      </c>
      <c r="C24" s="78">
        <v>0</v>
      </c>
      <c r="D24" s="78">
        <v>0</v>
      </c>
      <c r="E24" s="78">
        <v>0</v>
      </c>
      <c r="F24" s="78">
        <f t="shared" si="0"/>
        <v>0</v>
      </c>
      <c r="G24" s="78">
        <f t="shared" si="1"/>
        <v>0</v>
      </c>
      <c r="H24" s="78">
        <f t="shared" si="2"/>
        <v>0</v>
      </c>
      <c r="I24" s="78">
        <v>98</v>
      </c>
    </row>
    <row r="25" spans="1:9" x14ac:dyDescent="0.25">
      <c r="A25" s="37" t="s">
        <v>136</v>
      </c>
      <c r="B25" s="74" t="s">
        <v>137</v>
      </c>
      <c r="C25" s="78">
        <v>0</v>
      </c>
      <c r="D25" s="78">
        <v>1</v>
      </c>
      <c r="E25" s="78">
        <v>1</v>
      </c>
      <c r="F25" s="78">
        <f t="shared" si="0"/>
        <v>0</v>
      </c>
      <c r="G25" s="78">
        <f t="shared" si="1"/>
        <v>4</v>
      </c>
      <c r="H25" s="78">
        <f t="shared" si="2"/>
        <v>4</v>
      </c>
      <c r="I25" s="78">
        <f t="shared" ref="I25:I43" si="4">SUM(F25:H25)</f>
        <v>8</v>
      </c>
    </row>
    <row r="26" spans="1:9" x14ac:dyDescent="0.25">
      <c r="A26" s="37" t="s">
        <v>138</v>
      </c>
      <c r="B26" s="74" t="s">
        <v>119</v>
      </c>
      <c r="C26" s="78">
        <v>14</v>
      </c>
      <c r="D26" s="78">
        <v>0</v>
      </c>
      <c r="E26" s="78">
        <v>0</v>
      </c>
      <c r="F26" s="78">
        <f t="shared" si="0"/>
        <v>126</v>
      </c>
      <c r="G26" s="78">
        <f t="shared" si="1"/>
        <v>0</v>
      </c>
      <c r="H26" s="78">
        <f t="shared" si="2"/>
        <v>0</v>
      </c>
      <c r="I26" s="78">
        <f t="shared" si="4"/>
        <v>126</v>
      </c>
    </row>
    <row r="27" spans="1:9" x14ac:dyDescent="0.25">
      <c r="A27" s="37" t="s">
        <v>139</v>
      </c>
      <c r="B27" s="74" t="s">
        <v>117</v>
      </c>
      <c r="C27" s="78">
        <v>1.5</v>
      </c>
      <c r="D27" s="78">
        <v>0</v>
      </c>
      <c r="E27" s="78">
        <v>0</v>
      </c>
      <c r="F27" s="78">
        <f t="shared" si="0"/>
        <v>13.5</v>
      </c>
      <c r="G27" s="78">
        <f t="shared" si="1"/>
        <v>0</v>
      </c>
      <c r="H27" s="78">
        <f t="shared" si="2"/>
        <v>0</v>
      </c>
      <c r="I27" s="78">
        <f t="shared" si="4"/>
        <v>13.5</v>
      </c>
    </row>
    <row r="28" spans="1:9" x14ac:dyDescent="0.25">
      <c r="A28" s="37" t="s">
        <v>140</v>
      </c>
      <c r="B28" s="74" t="s">
        <v>117</v>
      </c>
      <c r="C28" s="78">
        <v>14</v>
      </c>
      <c r="D28" s="78">
        <v>3</v>
      </c>
      <c r="E28" s="78">
        <v>7</v>
      </c>
      <c r="F28" s="78">
        <f t="shared" si="0"/>
        <v>126</v>
      </c>
      <c r="G28" s="78">
        <f t="shared" si="1"/>
        <v>12</v>
      </c>
      <c r="H28" s="78">
        <f t="shared" si="2"/>
        <v>28</v>
      </c>
      <c r="I28" s="78">
        <f t="shared" si="4"/>
        <v>166</v>
      </c>
    </row>
    <row r="29" spans="1:9" x14ac:dyDescent="0.25">
      <c r="A29" s="37" t="s">
        <v>98</v>
      </c>
      <c r="B29" s="74" t="s">
        <v>141</v>
      </c>
      <c r="C29" s="78">
        <v>0.3</v>
      </c>
      <c r="D29" s="78">
        <v>1.5</v>
      </c>
      <c r="E29" s="78">
        <v>0.4</v>
      </c>
      <c r="F29" s="78">
        <f t="shared" si="0"/>
        <v>2.6999999999999997</v>
      </c>
      <c r="G29" s="78">
        <f t="shared" si="1"/>
        <v>6</v>
      </c>
      <c r="H29" s="78">
        <f t="shared" si="2"/>
        <v>1.6</v>
      </c>
      <c r="I29" s="78">
        <f t="shared" si="4"/>
        <v>10.299999999999999</v>
      </c>
    </row>
    <row r="30" spans="1:9" x14ac:dyDescent="0.25">
      <c r="A30" s="37" t="s">
        <v>142</v>
      </c>
      <c r="B30" s="74" t="s">
        <v>143</v>
      </c>
      <c r="C30" s="78">
        <v>6</v>
      </c>
      <c r="D30" s="78">
        <v>0</v>
      </c>
      <c r="E30" s="78">
        <v>7</v>
      </c>
      <c r="F30" s="78">
        <f t="shared" si="0"/>
        <v>54</v>
      </c>
      <c r="G30" s="78">
        <f t="shared" si="1"/>
        <v>0</v>
      </c>
      <c r="H30" s="78">
        <f t="shared" si="2"/>
        <v>28</v>
      </c>
      <c r="I30" s="78">
        <f t="shared" si="4"/>
        <v>82</v>
      </c>
    </row>
    <row r="31" spans="1:9" x14ac:dyDescent="0.25">
      <c r="A31" s="37" t="s">
        <v>144</v>
      </c>
      <c r="B31" s="74" t="s">
        <v>145</v>
      </c>
      <c r="C31" s="78">
        <v>7</v>
      </c>
      <c r="D31" s="78">
        <v>3</v>
      </c>
      <c r="E31" s="78">
        <v>1</v>
      </c>
      <c r="F31" s="78">
        <f t="shared" si="0"/>
        <v>63</v>
      </c>
      <c r="G31" s="78">
        <f t="shared" si="1"/>
        <v>12</v>
      </c>
      <c r="H31" s="78">
        <f t="shared" si="2"/>
        <v>4</v>
      </c>
      <c r="I31" s="78">
        <f t="shared" si="4"/>
        <v>79</v>
      </c>
    </row>
    <row r="32" spans="1:9" x14ac:dyDescent="0.25">
      <c r="A32" s="37" t="s">
        <v>146</v>
      </c>
      <c r="B32" s="74" t="s">
        <v>147</v>
      </c>
      <c r="C32" s="78">
        <v>11</v>
      </c>
      <c r="D32" s="78">
        <v>0</v>
      </c>
      <c r="E32" s="78">
        <v>23</v>
      </c>
      <c r="F32" s="78">
        <f t="shared" si="0"/>
        <v>99</v>
      </c>
      <c r="G32" s="78">
        <f t="shared" si="1"/>
        <v>0</v>
      </c>
      <c r="H32" s="78">
        <f t="shared" si="2"/>
        <v>92</v>
      </c>
      <c r="I32" s="78">
        <f t="shared" si="4"/>
        <v>191</v>
      </c>
    </row>
    <row r="33" spans="1:10" x14ac:dyDescent="0.25">
      <c r="A33" s="37" t="s">
        <v>148</v>
      </c>
      <c r="B33" s="74" t="s">
        <v>147</v>
      </c>
      <c r="C33" s="78">
        <v>5</v>
      </c>
      <c r="D33" s="78">
        <v>7</v>
      </c>
      <c r="E33" s="78">
        <v>16</v>
      </c>
      <c r="F33" s="78">
        <f t="shared" si="0"/>
        <v>45</v>
      </c>
      <c r="G33" s="78">
        <f t="shared" si="1"/>
        <v>28</v>
      </c>
      <c r="H33" s="78">
        <f t="shared" si="2"/>
        <v>64</v>
      </c>
      <c r="I33" s="78">
        <f t="shared" si="4"/>
        <v>137</v>
      </c>
    </row>
    <row r="34" spans="1:10" x14ac:dyDescent="0.25">
      <c r="A34" s="37" t="s">
        <v>149</v>
      </c>
      <c r="B34" s="74" t="s">
        <v>117</v>
      </c>
      <c r="C34" s="78">
        <v>5</v>
      </c>
      <c r="D34" s="78">
        <v>0</v>
      </c>
      <c r="E34" s="78">
        <v>6</v>
      </c>
      <c r="F34" s="78">
        <f t="shared" si="0"/>
        <v>45</v>
      </c>
      <c r="G34" s="78">
        <f t="shared" si="1"/>
        <v>0</v>
      </c>
      <c r="H34" s="78">
        <f t="shared" si="2"/>
        <v>24</v>
      </c>
      <c r="I34" s="78">
        <f t="shared" si="4"/>
        <v>69</v>
      </c>
      <c r="J34" s="37" t="s">
        <v>115</v>
      </c>
    </row>
    <row r="35" spans="1:10" x14ac:dyDescent="0.25">
      <c r="A35" s="37" t="s">
        <v>150</v>
      </c>
      <c r="B35" s="74" t="s">
        <v>151</v>
      </c>
      <c r="C35" s="78">
        <v>0.2</v>
      </c>
      <c r="D35" s="78">
        <v>2.4</v>
      </c>
      <c r="E35" s="78">
        <v>0.8</v>
      </c>
      <c r="F35" s="78">
        <f t="shared" si="0"/>
        <v>1.8</v>
      </c>
      <c r="G35" s="78">
        <f t="shared" si="1"/>
        <v>9.6</v>
      </c>
      <c r="H35" s="78">
        <f t="shared" si="2"/>
        <v>3.2</v>
      </c>
      <c r="I35" s="78">
        <f t="shared" si="4"/>
        <v>14.600000000000001</v>
      </c>
    </row>
    <row r="36" spans="1:10" x14ac:dyDescent="0.25">
      <c r="A36" s="37" t="s">
        <v>152</v>
      </c>
      <c r="B36" s="74" t="s">
        <v>153</v>
      </c>
      <c r="C36" s="78">
        <v>0.2</v>
      </c>
      <c r="D36" s="78">
        <v>3.3</v>
      </c>
      <c r="E36" s="78">
        <v>1.1000000000000001</v>
      </c>
      <c r="F36" s="78">
        <f t="shared" si="0"/>
        <v>1.8</v>
      </c>
      <c r="G36" s="78">
        <f t="shared" si="1"/>
        <v>13.2</v>
      </c>
      <c r="H36" s="78">
        <f t="shared" si="2"/>
        <v>4.4000000000000004</v>
      </c>
      <c r="I36" s="78">
        <f t="shared" si="4"/>
        <v>19.399999999999999</v>
      </c>
    </row>
    <row r="37" spans="1:10" x14ac:dyDescent="0.25">
      <c r="A37" s="37" t="s">
        <v>154</v>
      </c>
      <c r="B37" s="74" t="s">
        <v>141</v>
      </c>
      <c r="C37" s="78">
        <v>0.4</v>
      </c>
      <c r="D37" s="78">
        <v>4.8</v>
      </c>
      <c r="E37" s="78">
        <v>1.6</v>
      </c>
      <c r="F37" s="78">
        <f t="shared" si="0"/>
        <v>3.6</v>
      </c>
      <c r="G37" s="78">
        <f t="shared" si="1"/>
        <v>19.2</v>
      </c>
      <c r="H37" s="78">
        <f t="shared" si="2"/>
        <v>6.4</v>
      </c>
      <c r="I37" s="78">
        <f t="shared" si="4"/>
        <v>29.200000000000003</v>
      </c>
    </row>
    <row r="38" spans="1:10" x14ac:dyDescent="0.25">
      <c r="A38" s="37" t="s">
        <v>155</v>
      </c>
      <c r="B38" s="74" t="s">
        <v>156</v>
      </c>
      <c r="C38" s="37">
        <v>0.5</v>
      </c>
      <c r="D38" s="37">
        <v>1</v>
      </c>
      <c r="E38" s="37">
        <v>12</v>
      </c>
      <c r="F38" s="37">
        <f t="shared" si="0"/>
        <v>4.5</v>
      </c>
      <c r="G38" s="37">
        <f t="shared" si="1"/>
        <v>4</v>
      </c>
      <c r="H38" s="37">
        <f t="shared" si="2"/>
        <v>48</v>
      </c>
      <c r="I38" s="37">
        <f t="shared" si="4"/>
        <v>56.5</v>
      </c>
    </row>
    <row r="39" spans="1:10" x14ac:dyDescent="0.25">
      <c r="A39" s="37" t="s">
        <v>157</v>
      </c>
      <c r="B39" s="74" t="s">
        <v>158</v>
      </c>
      <c r="C39" s="37">
        <v>2</v>
      </c>
      <c r="D39" s="37">
        <v>0</v>
      </c>
      <c r="E39" s="37">
        <v>22</v>
      </c>
      <c r="F39" s="37">
        <f t="shared" si="0"/>
        <v>18</v>
      </c>
      <c r="G39" s="37">
        <f t="shared" si="1"/>
        <v>0</v>
      </c>
      <c r="H39" s="37">
        <f t="shared" si="2"/>
        <v>88</v>
      </c>
      <c r="I39" s="37">
        <f t="shared" si="4"/>
        <v>106</v>
      </c>
    </row>
    <row r="40" spans="1:10" x14ac:dyDescent="0.25">
      <c r="A40" s="37" t="s">
        <v>159</v>
      </c>
      <c r="B40" s="74" t="s">
        <v>160</v>
      </c>
      <c r="C40" s="37">
        <v>5</v>
      </c>
      <c r="D40" s="37">
        <v>0</v>
      </c>
      <c r="E40" s="37">
        <v>25</v>
      </c>
      <c r="F40" s="37">
        <f t="shared" si="0"/>
        <v>45</v>
      </c>
      <c r="G40" s="37">
        <f t="shared" si="1"/>
        <v>0</v>
      </c>
      <c r="H40" s="37">
        <f t="shared" si="2"/>
        <v>100</v>
      </c>
      <c r="I40" s="37">
        <f t="shared" si="4"/>
        <v>145</v>
      </c>
    </row>
    <row r="41" spans="1:10" x14ac:dyDescent="0.25">
      <c r="A41" s="37" t="s">
        <v>161</v>
      </c>
      <c r="B41" s="74" t="s">
        <v>162</v>
      </c>
      <c r="C41" s="78">
        <v>0.8</v>
      </c>
      <c r="D41" s="78">
        <v>0</v>
      </c>
      <c r="E41" s="78">
        <v>34</v>
      </c>
      <c r="F41" s="78">
        <f t="shared" si="0"/>
        <v>7.2</v>
      </c>
      <c r="G41" s="78">
        <f t="shared" si="1"/>
        <v>0</v>
      </c>
      <c r="H41" s="78">
        <f t="shared" si="2"/>
        <v>136</v>
      </c>
      <c r="I41" s="78">
        <f t="shared" si="4"/>
        <v>143.19999999999999</v>
      </c>
    </row>
    <row r="42" spans="1:10" x14ac:dyDescent="0.25">
      <c r="A42" s="37" t="s">
        <v>163</v>
      </c>
      <c r="B42" s="74" t="s">
        <v>164</v>
      </c>
      <c r="C42" s="78">
        <v>0.5</v>
      </c>
      <c r="D42" s="78">
        <v>2</v>
      </c>
      <c r="E42" s="78">
        <v>10</v>
      </c>
      <c r="F42" s="78">
        <f t="shared" si="0"/>
        <v>4.5</v>
      </c>
      <c r="G42" s="78">
        <f t="shared" si="1"/>
        <v>8</v>
      </c>
      <c r="H42" s="78">
        <f t="shared" si="2"/>
        <v>40</v>
      </c>
      <c r="I42" s="78">
        <f t="shared" si="4"/>
        <v>52.5</v>
      </c>
    </row>
    <row r="43" spans="1:10" x14ac:dyDescent="0.25">
      <c r="A43" s="37" t="s">
        <v>165</v>
      </c>
      <c r="B43" s="74" t="s">
        <v>166</v>
      </c>
      <c r="C43" s="37">
        <v>0.6</v>
      </c>
      <c r="D43" s="37">
        <v>4.9000000000000004</v>
      </c>
      <c r="E43" s="37">
        <v>2.4</v>
      </c>
      <c r="F43" s="37">
        <f t="shared" si="0"/>
        <v>5.3999999999999995</v>
      </c>
      <c r="G43" s="37">
        <f t="shared" si="1"/>
        <v>19.600000000000001</v>
      </c>
      <c r="H43" s="37">
        <f t="shared" si="2"/>
        <v>9.6</v>
      </c>
      <c r="I43" s="37">
        <f t="shared" si="4"/>
        <v>34.6</v>
      </c>
    </row>
  </sheetData>
  <autoFilter ref="A1:I2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3" activePane="bottomLeft" state="frozen"/>
      <selection pane="bottomLeft" activeCell="E5" sqref="E5"/>
    </sheetView>
  </sheetViews>
  <sheetFormatPr defaultRowHeight="15" x14ac:dyDescent="0.25"/>
  <cols>
    <col min="1" max="1" width="10.7109375" style="82" customWidth="1"/>
    <col min="2" max="2" width="4.5703125" style="82" customWidth="1"/>
    <col min="3" max="3" width="7.28515625" style="82" customWidth="1"/>
    <col min="4" max="4" width="4.85546875" style="82" customWidth="1"/>
    <col min="5" max="5" width="5.42578125" style="82" customWidth="1"/>
    <col min="6" max="6" width="6.42578125" style="82" customWidth="1"/>
    <col min="7" max="7" width="7.28515625" style="82" customWidth="1"/>
    <col min="8" max="8" width="6.85546875" style="82" customWidth="1"/>
    <col min="9" max="9" width="7.42578125" style="82" customWidth="1"/>
    <col min="10" max="10" width="4.5703125" style="82" customWidth="1"/>
    <col min="11" max="11" width="4.7109375" style="82" customWidth="1"/>
    <col min="12" max="12" width="7.28515625" style="82" customWidth="1"/>
    <col min="13" max="13" width="6.5703125" style="82" customWidth="1"/>
    <col min="14" max="14" width="5.85546875" style="82" customWidth="1"/>
    <col min="15" max="15" width="7.28515625" style="82" customWidth="1"/>
    <col min="16" max="1025" width="11.5703125" style="82" customWidth="1"/>
  </cols>
  <sheetData>
    <row r="1" spans="1:15" ht="13.9" customHeight="1" x14ac:dyDescent="0.25">
      <c r="A1" s="1" t="s">
        <v>167</v>
      </c>
      <c r="B1" s="1"/>
      <c r="C1" s="1"/>
      <c r="D1" s="1"/>
    </row>
    <row r="2" spans="1:15" ht="45" x14ac:dyDescent="0.25">
      <c r="A2" s="83" t="str">
        <f>LossChart!A2</f>
        <v>Date</v>
      </c>
      <c r="B2" s="83" t="str">
        <f>LossChart!B2</f>
        <v>Day</v>
      </c>
      <c r="C2" s="83" t="s">
        <v>5</v>
      </c>
      <c r="D2" s="83" t="s">
        <v>168</v>
      </c>
      <c r="E2" s="83" t="s">
        <v>169</v>
      </c>
      <c r="F2" s="83" t="s">
        <v>170</v>
      </c>
      <c r="G2" s="83" t="s">
        <v>171</v>
      </c>
      <c r="H2" s="83" t="s">
        <v>172</v>
      </c>
      <c r="I2" s="83" t="s">
        <v>173</v>
      </c>
      <c r="J2" s="83" t="s">
        <v>174</v>
      </c>
      <c r="K2" s="83" t="s">
        <v>175</v>
      </c>
      <c r="L2" s="83" t="s">
        <v>176</v>
      </c>
      <c r="M2" s="83" t="s">
        <v>177</v>
      </c>
      <c r="N2" s="83" t="s">
        <v>178</v>
      </c>
      <c r="O2" s="83" t="s">
        <v>179</v>
      </c>
    </row>
    <row r="3" spans="1:15" x14ac:dyDescent="0.25">
      <c r="A3" s="84">
        <f>LossChart!A3</f>
        <v>43031</v>
      </c>
      <c r="B3" s="82">
        <f>LossChart!B3</f>
        <v>1</v>
      </c>
      <c r="C3" s="85">
        <v>192.8</v>
      </c>
      <c r="D3" s="85"/>
      <c r="E3" s="85">
        <v>30</v>
      </c>
      <c r="F3" s="85">
        <v>38.9</v>
      </c>
      <c r="G3" s="85">
        <v>29</v>
      </c>
      <c r="H3" s="85">
        <v>2188</v>
      </c>
      <c r="I3" s="85">
        <v>0</v>
      </c>
      <c r="J3" s="86">
        <f t="shared" ref="J3:L5" si="0">E3*$C3/100</f>
        <v>57.84</v>
      </c>
      <c r="K3" s="86">
        <f t="shared" si="0"/>
        <v>74.999200000000002</v>
      </c>
      <c r="L3" s="86">
        <f t="shared" si="0"/>
        <v>55.912000000000006</v>
      </c>
      <c r="M3" s="86">
        <v>0</v>
      </c>
      <c r="N3" s="86">
        <v>0</v>
      </c>
      <c r="O3" s="86">
        <v>0</v>
      </c>
    </row>
    <row r="4" spans="1:15" x14ac:dyDescent="0.25">
      <c r="A4" s="84">
        <f>LossChart!A4</f>
        <v>43032</v>
      </c>
      <c r="B4" s="82">
        <f>LossChart!B4</f>
        <v>2</v>
      </c>
      <c r="C4" s="85">
        <v>191.4</v>
      </c>
      <c r="D4" s="85"/>
      <c r="E4" s="85">
        <v>30</v>
      </c>
      <c r="F4" s="85">
        <v>38.9</v>
      </c>
      <c r="G4" s="85">
        <v>29</v>
      </c>
      <c r="H4" s="85">
        <v>2177</v>
      </c>
      <c r="I4" s="85">
        <f>$C$3-C4</f>
        <v>1.4000000000000057</v>
      </c>
      <c r="J4" s="86">
        <f t="shared" si="0"/>
        <v>57.42</v>
      </c>
      <c r="K4" s="86">
        <f t="shared" si="0"/>
        <v>74.454599999999999</v>
      </c>
      <c r="L4" s="86">
        <f t="shared" si="0"/>
        <v>55.506</v>
      </c>
      <c r="M4" s="86">
        <f>$J$3-J4</f>
        <v>0.42000000000000171</v>
      </c>
      <c r="N4" s="86">
        <f>$K$3-K4</f>
        <v>0.54460000000000264</v>
      </c>
      <c r="O4" s="86">
        <f>$L$3-L4</f>
        <v>0.40600000000000591</v>
      </c>
    </row>
    <row r="5" spans="1:15" x14ac:dyDescent="0.25">
      <c r="A5" s="84">
        <f>LossChart!A5</f>
        <v>43033</v>
      </c>
      <c r="B5" s="82">
        <f>LossChart!B5</f>
        <v>3</v>
      </c>
      <c r="C5" s="85">
        <v>192.8</v>
      </c>
      <c r="D5" s="85">
        <v>26.4</v>
      </c>
      <c r="E5" s="85">
        <v>30.1</v>
      </c>
      <c r="F5" s="85">
        <v>38.9</v>
      </c>
      <c r="G5" s="85">
        <v>29</v>
      </c>
      <c r="H5" s="85">
        <v>2162</v>
      </c>
      <c r="I5" s="85">
        <f>$C$3-C5</f>
        <v>0</v>
      </c>
      <c r="J5" s="86">
        <f t="shared" si="0"/>
        <v>58.032800000000009</v>
      </c>
      <c r="K5" s="86">
        <f t="shared" si="0"/>
        <v>74.999200000000002</v>
      </c>
      <c r="L5" s="86">
        <f t="shared" si="0"/>
        <v>55.912000000000006</v>
      </c>
      <c r="M5" s="86">
        <f>$J$3-J5</f>
        <v>-0.19280000000000541</v>
      </c>
      <c r="N5" s="86">
        <f>$K$3-K5</f>
        <v>0</v>
      </c>
      <c r="O5" s="86">
        <f>$L$3-L5</f>
        <v>0</v>
      </c>
    </row>
    <row r="6" spans="1:15" x14ac:dyDescent="0.25">
      <c r="A6" s="84">
        <f>LossChart!A6</f>
        <v>43034</v>
      </c>
      <c r="B6" s="82">
        <f>LossChart!B6</f>
        <v>4</v>
      </c>
      <c r="C6" s="85"/>
      <c r="D6" s="85"/>
      <c r="E6" s="85"/>
      <c r="F6" s="85"/>
      <c r="G6" s="85"/>
      <c r="H6" s="85"/>
      <c r="I6" s="85"/>
      <c r="J6" s="86"/>
      <c r="K6" s="86"/>
      <c r="L6" s="86"/>
      <c r="M6" s="86"/>
      <c r="N6" s="86"/>
      <c r="O6" s="86"/>
    </row>
    <row r="7" spans="1:15" x14ac:dyDescent="0.25">
      <c r="A7" s="84">
        <f>LossChart!A7</f>
        <v>43035</v>
      </c>
      <c r="B7" s="82">
        <f>LossChart!B7</f>
        <v>5</v>
      </c>
      <c r="C7" s="85"/>
      <c r="D7" s="85"/>
      <c r="E7" s="85"/>
      <c r="F7" s="85"/>
      <c r="G7" s="85"/>
      <c r="H7" s="85"/>
      <c r="I7" s="85"/>
      <c r="J7" s="86"/>
      <c r="K7" s="86"/>
      <c r="L7" s="86"/>
      <c r="M7" s="86"/>
      <c r="N7" s="86"/>
      <c r="O7" s="86"/>
    </row>
    <row r="8" spans="1:15" x14ac:dyDescent="0.25">
      <c r="A8" s="84">
        <f>LossChart!A8</f>
        <v>43036</v>
      </c>
      <c r="B8" s="82">
        <f>LossChart!B8</f>
        <v>6</v>
      </c>
      <c r="C8" s="85"/>
      <c r="D8" s="85"/>
      <c r="E8" s="85"/>
      <c r="F8" s="85"/>
      <c r="G8" s="85"/>
      <c r="H8" s="85"/>
      <c r="I8" s="85"/>
      <c r="J8" s="86"/>
      <c r="K8" s="86"/>
      <c r="L8" s="86"/>
      <c r="M8" s="86"/>
      <c r="N8" s="86"/>
      <c r="O8" s="86"/>
    </row>
    <row r="9" spans="1:15" x14ac:dyDescent="0.25">
      <c r="A9" s="84">
        <f>LossChart!A9</f>
        <v>43037</v>
      </c>
      <c r="B9" s="82">
        <f>LossChart!B9</f>
        <v>7</v>
      </c>
      <c r="C9" s="85"/>
      <c r="D9" s="85"/>
      <c r="E9" s="85"/>
      <c r="F9" s="85"/>
      <c r="G9" s="85"/>
      <c r="H9" s="85"/>
      <c r="I9" s="85"/>
      <c r="J9" s="86"/>
      <c r="K9" s="86"/>
      <c r="L9" s="86"/>
      <c r="M9" s="86"/>
      <c r="N9" s="86"/>
      <c r="O9" s="86"/>
    </row>
    <row r="10" spans="1:15" x14ac:dyDescent="0.25">
      <c r="A10" s="84">
        <f>LossChart!A10</f>
        <v>43038</v>
      </c>
      <c r="B10" s="82">
        <f>LossChart!B10</f>
        <v>8</v>
      </c>
      <c r="C10" s="85"/>
      <c r="D10" s="85"/>
      <c r="E10" s="85"/>
      <c r="F10" s="85"/>
      <c r="G10" s="85"/>
      <c r="H10" s="85"/>
      <c r="I10" s="85"/>
      <c r="J10" s="86"/>
      <c r="K10" s="86"/>
      <c r="L10" s="86"/>
      <c r="M10" s="86"/>
      <c r="N10" s="86"/>
      <c r="O10" s="86"/>
    </row>
    <row r="11" spans="1:15" x14ac:dyDescent="0.25">
      <c r="A11" s="84">
        <f>LossChart!A11</f>
        <v>43039</v>
      </c>
      <c r="B11" s="82">
        <f>LossChart!B11</f>
        <v>9</v>
      </c>
      <c r="C11" s="85"/>
      <c r="D11" s="85"/>
      <c r="E11" s="85"/>
      <c r="F11" s="85"/>
      <c r="G11" s="85"/>
      <c r="H11" s="85"/>
      <c r="I11" s="85"/>
      <c r="J11" s="86"/>
      <c r="K11" s="86"/>
      <c r="L11" s="86"/>
      <c r="M11" s="86"/>
      <c r="N11" s="86"/>
      <c r="O11" s="86"/>
    </row>
    <row r="12" spans="1:15" x14ac:dyDescent="0.25">
      <c r="A12" s="84">
        <f>LossChart!A12</f>
        <v>43040</v>
      </c>
      <c r="B12" s="82">
        <f>LossChart!B12</f>
        <v>10</v>
      </c>
      <c r="C12" s="87"/>
      <c r="D12" s="85"/>
      <c r="E12" s="85"/>
      <c r="F12" s="85"/>
      <c r="G12" s="85"/>
      <c r="H12" s="85"/>
      <c r="I12" s="85"/>
      <c r="J12" s="86"/>
      <c r="K12" s="86"/>
      <c r="L12" s="86"/>
      <c r="M12" s="86"/>
      <c r="N12" s="86"/>
      <c r="O12" s="86"/>
    </row>
    <row r="13" spans="1:15" x14ac:dyDescent="0.25">
      <c r="A13" s="84">
        <f>LossChart!A13</f>
        <v>43041</v>
      </c>
      <c r="B13" s="82">
        <f>LossChart!B13</f>
        <v>11</v>
      </c>
      <c r="C13" s="87"/>
      <c r="D13" s="85"/>
      <c r="E13" s="85"/>
      <c r="F13" s="85"/>
      <c r="G13" s="85"/>
      <c r="H13" s="85"/>
      <c r="I13" s="85"/>
      <c r="J13" s="86"/>
      <c r="K13" s="86"/>
      <c r="L13" s="86"/>
      <c r="M13" s="86"/>
      <c r="N13" s="86"/>
      <c r="O13" s="86"/>
    </row>
    <row r="14" spans="1:15" x14ac:dyDescent="0.25">
      <c r="A14" s="84">
        <f>LossChart!A14</f>
        <v>43042</v>
      </c>
      <c r="B14" s="82">
        <f>LossChart!B14</f>
        <v>12</v>
      </c>
      <c r="C14" s="87"/>
      <c r="D14" s="85"/>
      <c r="E14" s="85"/>
      <c r="F14" s="85"/>
      <c r="G14" s="85"/>
      <c r="H14" s="85"/>
      <c r="I14" s="85"/>
      <c r="J14" s="86"/>
      <c r="K14" s="86"/>
      <c r="L14" s="86"/>
      <c r="M14" s="86"/>
      <c r="N14" s="86"/>
      <c r="O14" s="86"/>
    </row>
    <row r="15" spans="1:15" x14ac:dyDescent="0.25">
      <c r="A15" s="84">
        <f>LossChart!A15</f>
        <v>43043</v>
      </c>
      <c r="B15" s="82">
        <f>LossChart!B15</f>
        <v>13</v>
      </c>
      <c r="C15" s="87"/>
      <c r="D15" s="85"/>
      <c r="E15" s="85"/>
      <c r="F15" s="85"/>
      <c r="G15" s="85"/>
      <c r="H15" s="85"/>
      <c r="I15" s="85"/>
      <c r="J15" s="86"/>
      <c r="K15" s="86"/>
      <c r="L15" s="86"/>
      <c r="M15" s="86"/>
      <c r="N15" s="86"/>
      <c r="O15" s="86"/>
    </row>
    <row r="16" spans="1:15" x14ac:dyDescent="0.25">
      <c r="A16" s="84">
        <f>LossChart!A16</f>
        <v>43044</v>
      </c>
      <c r="B16" s="82">
        <f>LossChart!B16</f>
        <v>14</v>
      </c>
      <c r="C16" s="87"/>
      <c r="D16" s="85"/>
      <c r="E16" s="85"/>
      <c r="F16" s="85"/>
      <c r="G16" s="85"/>
      <c r="H16" s="85"/>
      <c r="I16" s="85"/>
      <c r="J16" s="86"/>
      <c r="K16" s="86"/>
      <c r="L16" s="86"/>
      <c r="M16" s="86"/>
      <c r="N16" s="86"/>
      <c r="O16" s="86"/>
    </row>
    <row r="17" spans="1:15" x14ac:dyDescent="0.25">
      <c r="A17" s="84">
        <f>LossChart!A17</f>
        <v>43045</v>
      </c>
      <c r="B17" s="82">
        <f>LossChart!B17</f>
        <v>15</v>
      </c>
      <c r="C17" s="87"/>
      <c r="D17" s="85"/>
      <c r="E17" s="85"/>
      <c r="F17" s="85"/>
      <c r="G17" s="85"/>
      <c r="H17" s="85"/>
      <c r="I17" s="85"/>
      <c r="J17" s="86"/>
      <c r="K17" s="86"/>
      <c r="L17" s="86"/>
      <c r="M17" s="86"/>
      <c r="N17" s="86"/>
      <c r="O17" s="86"/>
    </row>
    <row r="18" spans="1:15" x14ac:dyDescent="0.25">
      <c r="A18" s="84">
        <f>LossChart!A18</f>
        <v>43046</v>
      </c>
      <c r="B18" s="82">
        <f>LossChart!B18</f>
        <v>16</v>
      </c>
      <c r="C18" s="85"/>
      <c r="D18" s="85"/>
      <c r="E18" s="85"/>
      <c r="F18" s="85"/>
      <c r="G18" s="85"/>
      <c r="H18" s="85"/>
      <c r="I18" s="85"/>
      <c r="J18" s="86"/>
      <c r="K18" s="86"/>
      <c r="L18" s="86"/>
      <c r="M18" s="86"/>
      <c r="N18" s="86"/>
      <c r="O18" s="86"/>
    </row>
    <row r="19" spans="1:15" x14ac:dyDescent="0.25">
      <c r="A19" s="84">
        <f>LossChart!A19</f>
        <v>43047</v>
      </c>
      <c r="B19" s="82">
        <f>LossChart!B19</f>
        <v>17</v>
      </c>
      <c r="I19" s="85"/>
    </row>
    <row r="20" spans="1:15" x14ac:dyDescent="0.25">
      <c r="A20" s="84">
        <f>LossChart!A20</f>
        <v>43048</v>
      </c>
      <c r="B20" s="82">
        <f>LossChart!B20</f>
        <v>18</v>
      </c>
      <c r="I20" s="85"/>
    </row>
    <row r="21" spans="1:15" x14ac:dyDescent="0.25">
      <c r="A21" s="84">
        <f>LossChart!A21</f>
        <v>43049</v>
      </c>
      <c r="B21" s="82">
        <f>LossChart!B21</f>
        <v>19</v>
      </c>
      <c r="I21" s="85"/>
      <c r="J21" s="86"/>
      <c r="K21" s="86"/>
      <c r="L21" s="86"/>
      <c r="M21" s="86"/>
      <c r="N21" s="86"/>
      <c r="O21" s="86"/>
    </row>
    <row r="22" spans="1:15" x14ac:dyDescent="0.25">
      <c r="A22" s="84">
        <f>LossChart!A22</f>
        <v>43050</v>
      </c>
      <c r="B22" s="82">
        <f>LossChart!B22</f>
        <v>20</v>
      </c>
      <c r="I22" s="85"/>
    </row>
    <row r="23" spans="1:15" x14ac:dyDescent="0.25">
      <c r="A23" s="84">
        <f>LossChart!A23</f>
        <v>43051</v>
      </c>
      <c r="B23" s="82">
        <f>LossChart!B23</f>
        <v>21</v>
      </c>
      <c r="I23" s="85"/>
    </row>
    <row r="24" spans="1:15" x14ac:dyDescent="0.25">
      <c r="A24" s="84">
        <f>LossChart!A24</f>
        <v>43052</v>
      </c>
      <c r="B24" s="82">
        <f>LossChart!B24</f>
        <v>22</v>
      </c>
      <c r="I24" s="85"/>
      <c r="J24" s="86"/>
      <c r="K24" s="86"/>
      <c r="L24" s="86"/>
      <c r="M24" s="86"/>
      <c r="N24" s="86"/>
      <c r="O24" s="86"/>
    </row>
    <row r="25" spans="1:15" x14ac:dyDescent="0.25">
      <c r="A25" s="84">
        <f>LossChart!A25</f>
        <v>43053</v>
      </c>
      <c r="B25" s="82">
        <f>LossChart!B25</f>
        <v>23</v>
      </c>
      <c r="I25" s="85"/>
    </row>
    <row r="26" spans="1:15" x14ac:dyDescent="0.25">
      <c r="A26" s="84">
        <f>LossChart!A26</f>
        <v>43054</v>
      </c>
      <c r="B26" s="82">
        <f>LossChart!B26</f>
        <v>24</v>
      </c>
      <c r="I26" s="85"/>
    </row>
    <row r="27" spans="1:15" x14ac:dyDescent="0.25">
      <c r="A27" s="84">
        <f>LossChart!A27</f>
        <v>43055</v>
      </c>
      <c r="B27" s="82">
        <f>LossChart!B27</f>
        <v>25</v>
      </c>
      <c r="I27" s="85"/>
    </row>
    <row r="28" spans="1:15" x14ac:dyDescent="0.25">
      <c r="A28" s="84">
        <f>LossChart!A28</f>
        <v>43056</v>
      </c>
      <c r="B28" s="82">
        <f>LossChart!B28</f>
        <v>26</v>
      </c>
      <c r="I28" s="85"/>
    </row>
    <row r="29" spans="1:15" x14ac:dyDescent="0.25">
      <c r="A29" s="84">
        <f>LossChart!A29</f>
        <v>43057</v>
      </c>
      <c r="B29" s="82">
        <f>LossChart!B29</f>
        <v>27</v>
      </c>
      <c r="I29" s="85"/>
    </row>
    <row r="30" spans="1:15" x14ac:dyDescent="0.25">
      <c r="A30" s="84">
        <f>LossChart!A30</f>
        <v>43058</v>
      </c>
      <c r="B30" s="82">
        <f>LossChart!B30</f>
        <v>28</v>
      </c>
      <c r="I30" s="85"/>
    </row>
    <row r="31" spans="1:15" x14ac:dyDescent="0.25">
      <c r="A31" s="84">
        <f>LossChart!A31</f>
        <v>43059</v>
      </c>
      <c r="B31" s="82">
        <f>LossChart!B31</f>
        <v>29</v>
      </c>
      <c r="I31" s="85"/>
      <c r="J31" s="86"/>
      <c r="K31" s="86"/>
      <c r="L31" s="86"/>
      <c r="M31" s="86"/>
      <c r="N31" s="86"/>
      <c r="O31" s="86"/>
    </row>
    <row r="32" spans="1:15" x14ac:dyDescent="0.25">
      <c r="A32" s="84">
        <f>LossChart!A32</f>
        <v>43060</v>
      </c>
      <c r="B32" s="82">
        <f>LossChart!B32</f>
        <v>30</v>
      </c>
      <c r="I32" s="85"/>
    </row>
    <row r="33" spans="1:15" x14ac:dyDescent="0.25">
      <c r="A33" s="84">
        <f>LossChart!A33</f>
        <v>43061</v>
      </c>
      <c r="B33" s="82">
        <f>LossChart!B33</f>
        <v>31</v>
      </c>
      <c r="I33" s="85"/>
    </row>
    <row r="34" spans="1:15" x14ac:dyDescent="0.25">
      <c r="A34" s="84">
        <f>LossChart!A34</f>
        <v>43062</v>
      </c>
      <c r="B34" s="82">
        <f>LossChart!B34</f>
        <v>32</v>
      </c>
      <c r="I34" s="85"/>
    </row>
    <row r="35" spans="1:15" x14ac:dyDescent="0.25">
      <c r="A35" s="84">
        <f>LossChart!A35</f>
        <v>43063</v>
      </c>
      <c r="B35" s="82">
        <f>LossChart!B35</f>
        <v>33</v>
      </c>
      <c r="I35" s="85"/>
      <c r="J35" s="86"/>
      <c r="K35" s="86"/>
      <c r="L35" s="86"/>
      <c r="M35" s="86"/>
      <c r="N35" s="86"/>
      <c r="O35" s="86"/>
    </row>
    <row r="36" spans="1:15" x14ac:dyDescent="0.25">
      <c r="A36" s="84">
        <f>LossChart!A36</f>
        <v>43064</v>
      </c>
      <c r="B36" s="82">
        <f>LossChart!B36</f>
        <v>34</v>
      </c>
      <c r="I36" s="85"/>
      <c r="J36" s="86"/>
      <c r="K36" s="86"/>
      <c r="L36" s="86"/>
      <c r="M36" s="86"/>
      <c r="N36" s="86"/>
      <c r="O36" s="86"/>
    </row>
    <row r="37" spans="1:15" x14ac:dyDescent="0.25">
      <c r="A37" s="84">
        <f>LossChart!A37</f>
        <v>43065</v>
      </c>
      <c r="B37" s="82">
        <f>LossChart!B37</f>
        <v>35</v>
      </c>
      <c r="I37" s="85"/>
      <c r="J37" s="86"/>
      <c r="K37" s="86"/>
      <c r="L37" s="86"/>
      <c r="M37" s="86"/>
      <c r="N37" s="86"/>
      <c r="O37" s="86"/>
    </row>
    <row r="38" spans="1:15" x14ac:dyDescent="0.25">
      <c r="A38" s="84">
        <f>LossChart!A38</f>
        <v>43066</v>
      </c>
      <c r="B38" s="82">
        <f>LossChart!B38</f>
        <v>36</v>
      </c>
      <c r="I38" s="85"/>
      <c r="J38" s="86"/>
      <c r="K38" s="86"/>
      <c r="L38" s="86"/>
      <c r="M38" s="86"/>
      <c r="N38" s="86"/>
      <c r="O38" s="86"/>
    </row>
    <row r="39" spans="1:15" x14ac:dyDescent="0.25">
      <c r="A39" s="84">
        <f>LossChart!A39</f>
        <v>43067</v>
      </c>
      <c r="B39" s="82">
        <f>LossChart!B39</f>
        <v>37</v>
      </c>
      <c r="I39" s="85"/>
      <c r="J39" s="86"/>
      <c r="K39" s="86"/>
      <c r="L39" s="86"/>
      <c r="M39" s="86"/>
      <c r="N39" s="86"/>
      <c r="O39" s="86"/>
    </row>
    <row r="40" spans="1:15" x14ac:dyDescent="0.25">
      <c r="A40" s="84">
        <f>LossChart!A40</f>
        <v>43068</v>
      </c>
      <c r="B40" s="82">
        <f>LossChart!B40</f>
        <v>38</v>
      </c>
      <c r="I40" s="85"/>
    </row>
    <row r="41" spans="1:15" x14ac:dyDescent="0.25">
      <c r="A41" s="84">
        <f>LossChart!A41</f>
        <v>43069</v>
      </c>
      <c r="B41" s="82">
        <f>LossChart!B41</f>
        <v>39</v>
      </c>
      <c r="I41" s="85"/>
    </row>
    <row r="42" spans="1:15" x14ac:dyDescent="0.25">
      <c r="A42" s="84">
        <f>LossChart!A42</f>
        <v>43070</v>
      </c>
      <c r="B42" s="82">
        <f>LossChart!B42</f>
        <v>40</v>
      </c>
      <c r="I42" s="85"/>
    </row>
    <row r="43" spans="1:15" x14ac:dyDescent="0.25">
      <c r="A43" s="84">
        <f>LossChart!A43</f>
        <v>43071</v>
      </c>
      <c r="B43" s="82">
        <f>LossChart!B43</f>
        <v>41</v>
      </c>
      <c r="I43" s="85">
        <f t="shared" ref="I43:I74" si="1">C43-$C$3</f>
        <v>-192.8</v>
      </c>
    </row>
    <row r="44" spans="1:15" x14ac:dyDescent="0.25">
      <c r="A44" s="84">
        <f>LossChart!A44</f>
        <v>43072</v>
      </c>
      <c r="B44" s="82">
        <f>LossChart!B44</f>
        <v>42</v>
      </c>
      <c r="I44" s="85">
        <f t="shared" si="1"/>
        <v>-192.8</v>
      </c>
    </row>
    <row r="45" spans="1:15" x14ac:dyDescent="0.25">
      <c r="A45" s="84">
        <f>LossChart!A45</f>
        <v>43073</v>
      </c>
      <c r="B45" s="82">
        <f>LossChart!B45</f>
        <v>43</v>
      </c>
      <c r="I45" s="85">
        <f t="shared" si="1"/>
        <v>-192.8</v>
      </c>
    </row>
    <row r="46" spans="1:15" x14ac:dyDescent="0.25">
      <c r="A46" s="84">
        <f>LossChart!A46</f>
        <v>43074</v>
      </c>
      <c r="B46" s="82">
        <f>LossChart!B46</f>
        <v>44</v>
      </c>
      <c r="I46" s="85">
        <f t="shared" si="1"/>
        <v>-192.8</v>
      </c>
    </row>
    <row r="47" spans="1:15" x14ac:dyDescent="0.25">
      <c r="A47" s="84">
        <f>LossChart!A47</f>
        <v>43075</v>
      </c>
      <c r="B47" s="82">
        <f>LossChart!B47</f>
        <v>45</v>
      </c>
      <c r="I47" s="85">
        <f t="shared" si="1"/>
        <v>-192.8</v>
      </c>
    </row>
    <row r="48" spans="1:15" x14ac:dyDescent="0.25">
      <c r="A48" s="84">
        <f>LossChart!A48</f>
        <v>43076</v>
      </c>
      <c r="B48" s="82">
        <f>LossChart!B48</f>
        <v>46</v>
      </c>
      <c r="I48" s="85">
        <f t="shared" si="1"/>
        <v>-192.8</v>
      </c>
    </row>
    <row r="49" spans="1:9" x14ac:dyDescent="0.25">
      <c r="A49" s="84">
        <f>LossChart!A49</f>
        <v>43077</v>
      </c>
      <c r="B49" s="82">
        <f>LossChart!B49</f>
        <v>47</v>
      </c>
      <c r="I49" s="85">
        <f t="shared" si="1"/>
        <v>-192.8</v>
      </c>
    </row>
    <row r="50" spans="1:9" x14ac:dyDescent="0.25">
      <c r="A50" s="84">
        <f>LossChart!A50</f>
        <v>43078</v>
      </c>
      <c r="B50" s="82">
        <f>LossChart!B50</f>
        <v>48</v>
      </c>
      <c r="I50" s="85">
        <f t="shared" si="1"/>
        <v>-192.8</v>
      </c>
    </row>
    <row r="51" spans="1:9" x14ac:dyDescent="0.25">
      <c r="A51" s="84">
        <f>LossChart!A51</f>
        <v>43079</v>
      </c>
      <c r="B51" s="82">
        <f>LossChart!B51</f>
        <v>49</v>
      </c>
      <c r="I51" s="85">
        <f t="shared" si="1"/>
        <v>-192.8</v>
      </c>
    </row>
    <row r="52" spans="1:9" x14ac:dyDescent="0.25">
      <c r="A52" s="84">
        <f>LossChart!A52</f>
        <v>43080</v>
      </c>
      <c r="B52" s="82">
        <f>LossChart!B52</f>
        <v>50</v>
      </c>
      <c r="I52" s="85">
        <f t="shared" si="1"/>
        <v>-192.8</v>
      </c>
    </row>
    <row r="53" spans="1:9" x14ac:dyDescent="0.25">
      <c r="A53" s="84">
        <f>LossChart!A53</f>
        <v>43081</v>
      </c>
      <c r="B53" s="82">
        <f>LossChart!B53</f>
        <v>51</v>
      </c>
      <c r="I53" s="85">
        <f t="shared" si="1"/>
        <v>-192.8</v>
      </c>
    </row>
    <row r="54" spans="1:9" x14ac:dyDescent="0.25">
      <c r="A54" s="84">
        <f>LossChart!A54</f>
        <v>43082</v>
      </c>
      <c r="B54" s="82">
        <f>LossChart!B54</f>
        <v>52</v>
      </c>
      <c r="I54" s="85">
        <f t="shared" si="1"/>
        <v>-192.8</v>
      </c>
    </row>
    <row r="55" spans="1:9" x14ac:dyDescent="0.25">
      <c r="A55" s="84">
        <f>LossChart!A55</f>
        <v>43083</v>
      </c>
      <c r="B55" s="82">
        <f>LossChart!B55</f>
        <v>53</v>
      </c>
      <c r="I55" s="85">
        <f t="shared" si="1"/>
        <v>-192.8</v>
      </c>
    </row>
    <row r="56" spans="1:9" x14ac:dyDescent="0.25">
      <c r="A56" s="84">
        <f>LossChart!A56</f>
        <v>43084</v>
      </c>
      <c r="B56" s="82">
        <f>LossChart!B56</f>
        <v>54</v>
      </c>
      <c r="I56" s="85">
        <f t="shared" si="1"/>
        <v>-192.8</v>
      </c>
    </row>
    <row r="57" spans="1:9" x14ac:dyDescent="0.25">
      <c r="A57" s="84">
        <f>LossChart!A57</f>
        <v>43085</v>
      </c>
      <c r="B57" s="82">
        <f>LossChart!B57</f>
        <v>55</v>
      </c>
      <c r="I57" s="85">
        <f t="shared" si="1"/>
        <v>-192.8</v>
      </c>
    </row>
    <row r="58" spans="1:9" x14ac:dyDescent="0.25">
      <c r="A58" s="84">
        <f>LossChart!A58</f>
        <v>43086</v>
      </c>
      <c r="B58" s="82">
        <f>LossChart!B58</f>
        <v>56</v>
      </c>
      <c r="I58" s="85">
        <f t="shared" si="1"/>
        <v>-192.8</v>
      </c>
    </row>
    <row r="59" spans="1:9" x14ac:dyDescent="0.25">
      <c r="A59" s="84">
        <f>LossChart!A59</f>
        <v>43087</v>
      </c>
      <c r="B59" s="82">
        <f>LossChart!B59</f>
        <v>57</v>
      </c>
      <c r="I59" s="85">
        <f t="shared" si="1"/>
        <v>-192.8</v>
      </c>
    </row>
    <row r="60" spans="1:9" x14ac:dyDescent="0.25">
      <c r="A60" s="84">
        <f>LossChart!A60</f>
        <v>43088</v>
      </c>
      <c r="B60" s="82">
        <f>LossChart!B60</f>
        <v>58</v>
      </c>
      <c r="I60" s="85">
        <f t="shared" si="1"/>
        <v>-192.8</v>
      </c>
    </row>
    <row r="61" spans="1:9" x14ac:dyDescent="0.25">
      <c r="A61" s="84">
        <f>LossChart!A61</f>
        <v>43089</v>
      </c>
      <c r="B61" s="82">
        <f>LossChart!B61</f>
        <v>59</v>
      </c>
      <c r="I61" s="85">
        <f t="shared" si="1"/>
        <v>-192.8</v>
      </c>
    </row>
    <row r="62" spans="1:9" x14ac:dyDescent="0.25">
      <c r="A62" s="84">
        <f>LossChart!A62</f>
        <v>43090</v>
      </c>
      <c r="B62" s="82">
        <f>LossChart!B62</f>
        <v>60</v>
      </c>
      <c r="I62" s="85">
        <f t="shared" si="1"/>
        <v>-192.8</v>
      </c>
    </row>
    <row r="63" spans="1:9" x14ac:dyDescent="0.25">
      <c r="A63" s="84">
        <f>LossChart!A63</f>
        <v>43091</v>
      </c>
      <c r="B63" s="82">
        <f>LossChart!B63</f>
        <v>61</v>
      </c>
      <c r="I63" s="85">
        <f t="shared" si="1"/>
        <v>-192.8</v>
      </c>
    </row>
    <row r="64" spans="1:9" x14ac:dyDescent="0.25">
      <c r="A64" s="84">
        <f>LossChart!A64</f>
        <v>43092</v>
      </c>
      <c r="B64" s="82">
        <f>LossChart!B64</f>
        <v>62</v>
      </c>
      <c r="I64" s="85">
        <f t="shared" si="1"/>
        <v>-192.8</v>
      </c>
    </row>
    <row r="65" spans="1:9" x14ac:dyDescent="0.25">
      <c r="A65" s="84">
        <f>LossChart!A65</f>
        <v>43093</v>
      </c>
      <c r="B65" s="82">
        <f>LossChart!B65</f>
        <v>63</v>
      </c>
      <c r="I65" s="85">
        <f t="shared" si="1"/>
        <v>-192.8</v>
      </c>
    </row>
    <row r="66" spans="1:9" x14ac:dyDescent="0.25">
      <c r="A66" s="84">
        <f>LossChart!A66</f>
        <v>43094</v>
      </c>
      <c r="B66" s="82">
        <f>LossChart!B66</f>
        <v>64</v>
      </c>
      <c r="I66" s="85">
        <f t="shared" si="1"/>
        <v>-192.8</v>
      </c>
    </row>
    <row r="67" spans="1:9" x14ac:dyDescent="0.25">
      <c r="A67" s="84">
        <f>LossChart!A67</f>
        <v>43095</v>
      </c>
      <c r="B67" s="82">
        <f>LossChart!B67</f>
        <v>65</v>
      </c>
      <c r="I67" s="85">
        <f t="shared" si="1"/>
        <v>-192.8</v>
      </c>
    </row>
    <row r="68" spans="1:9" x14ac:dyDescent="0.25">
      <c r="A68" s="84">
        <f>LossChart!A68</f>
        <v>43096</v>
      </c>
      <c r="B68" s="82">
        <f>LossChart!B68</f>
        <v>66</v>
      </c>
      <c r="I68" s="85">
        <f t="shared" si="1"/>
        <v>-192.8</v>
      </c>
    </row>
    <row r="69" spans="1:9" x14ac:dyDescent="0.25">
      <c r="A69" s="84">
        <f>LossChart!A69</f>
        <v>43097</v>
      </c>
      <c r="B69" s="82">
        <f>LossChart!B69</f>
        <v>67</v>
      </c>
      <c r="I69" s="85">
        <f t="shared" si="1"/>
        <v>-192.8</v>
      </c>
    </row>
    <row r="70" spans="1:9" x14ac:dyDescent="0.25">
      <c r="A70" s="84">
        <f>LossChart!A70</f>
        <v>43098</v>
      </c>
      <c r="B70" s="82">
        <f>LossChart!B70</f>
        <v>68</v>
      </c>
      <c r="I70" s="85">
        <f t="shared" si="1"/>
        <v>-192.8</v>
      </c>
    </row>
    <row r="71" spans="1:9" x14ac:dyDescent="0.25">
      <c r="A71" s="84">
        <f>LossChart!A71</f>
        <v>43099</v>
      </c>
      <c r="B71" s="82">
        <f>LossChart!B71</f>
        <v>69</v>
      </c>
      <c r="I71" s="85">
        <f t="shared" si="1"/>
        <v>-192.8</v>
      </c>
    </row>
    <row r="72" spans="1:9" x14ac:dyDescent="0.25">
      <c r="A72" s="84">
        <f>LossChart!A72</f>
        <v>43100</v>
      </c>
      <c r="B72" s="82">
        <f>LossChart!B72</f>
        <v>70</v>
      </c>
      <c r="I72" s="85">
        <f t="shared" si="1"/>
        <v>-192.8</v>
      </c>
    </row>
    <row r="73" spans="1:9" x14ac:dyDescent="0.25">
      <c r="A73" s="84">
        <f>LossChart!A73</f>
        <v>43101</v>
      </c>
      <c r="B73" s="82">
        <f>LossChart!B73</f>
        <v>71</v>
      </c>
      <c r="I73" s="85">
        <f t="shared" si="1"/>
        <v>-192.8</v>
      </c>
    </row>
    <row r="74" spans="1:9" x14ac:dyDescent="0.25">
      <c r="A74" s="84" t="e">
        <f>LossChart!#REF!</f>
        <v>#REF!</v>
      </c>
      <c r="B74" s="82" t="e">
        <f>LossChart!#REF!</f>
        <v>#REF!</v>
      </c>
      <c r="I74" s="85">
        <f t="shared" si="1"/>
        <v>-192.8</v>
      </c>
    </row>
    <row r="75" spans="1:9" x14ac:dyDescent="0.25">
      <c r="A75" s="84" t="e">
        <f>LossChart!#REF!</f>
        <v>#REF!</v>
      </c>
      <c r="B75" s="82" t="e">
        <f>LossChart!#REF!</f>
        <v>#REF!</v>
      </c>
      <c r="I75" s="85">
        <f t="shared" ref="I75:I111" si="2">C75-$C$3</f>
        <v>-192.8</v>
      </c>
    </row>
    <row r="76" spans="1:9" x14ac:dyDescent="0.25">
      <c r="A76" s="84" t="e">
        <f>LossChart!#REF!</f>
        <v>#REF!</v>
      </c>
      <c r="B76" s="82" t="e">
        <f>LossChart!#REF!</f>
        <v>#REF!</v>
      </c>
      <c r="I76" s="85">
        <f t="shared" si="2"/>
        <v>-192.8</v>
      </c>
    </row>
    <row r="77" spans="1:9" x14ac:dyDescent="0.25">
      <c r="A77" s="84" t="e">
        <f>LossChart!#REF!</f>
        <v>#REF!</v>
      </c>
      <c r="B77" s="82" t="e">
        <f>LossChart!#REF!</f>
        <v>#REF!</v>
      </c>
      <c r="I77" s="85">
        <f t="shared" si="2"/>
        <v>-192.8</v>
      </c>
    </row>
    <row r="78" spans="1:9" x14ac:dyDescent="0.25">
      <c r="A78" s="84" t="e">
        <f>LossChart!#REF!</f>
        <v>#REF!</v>
      </c>
      <c r="B78" s="82" t="e">
        <f>LossChart!#REF!</f>
        <v>#REF!</v>
      </c>
      <c r="I78" s="85">
        <f t="shared" si="2"/>
        <v>-192.8</v>
      </c>
    </row>
    <row r="79" spans="1:9" x14ac:dyDescent="0.25">
      <c r="A79" s="84" t="e">
        <f>LossChart!#REF!</f>
        <v>#REF!</v>
      </c>
      <c r="B79" s="82" t="e">
        <f>LossChart!#REF!</f>
        <v>#REF!</v>
      </c>
      <c r="I79" s="85">
        <f t="shared" si="2"/>
        <v>-192.8</v>
      </c>
    </row>
    <row r="80" spans="1:9" x14ac:dyDescent="0.25">
      <c r="A80" s="84" t="e">
        <f>LossChart!#REF!</f>
        <v>#REF!</v>
      </c>
      <c r="B80" s="82" t="e">
        <f>LossChart!#REF!</f>
        <v>#REF!</v>
      </c>
      <c r="I80" s="85">
        <f t="shared" si="2"/>
        <v>-192.8</v>
      </c>
    </row>
    <row r="81" spans="1:9" x14ac:dyDescent="0.25">
      <c r="A81" s="84" t="e">
        <f>LossChart!#REF!</f>
        <v>#REF!</v>
      </c>
      <c r="B81" s="82" t="e">
        <f>LossChart!#REF!</f>
        <v>#REF!</v>
      </c>
      <c r="I81" s="85">
        <f t="shared" si="2"/>
        <v>-192.8</v>
      </c>
    </row>
    <row r="82" spans="1:9" x14ac:dyDescent="0.25">
      <c r="A82" s="84" t="e">
        <f>LossChart!#REF!</f>
        <v>#REF!</v>
      </c>
      <c r="B82" s="82" t="e">
        <f>LossChart!#REF!</f>
        <v>#REF!</v>
      </c>
      <c r="I82" s="85">
        <f t="shared" si="2"/>
        <v>-192.8</v>
      </c>
    </row>
    <row r="83" spans="1:9" x14ac:dyDescent="0.25">
      <c r="A83" s="84" t="e">
        <f>LossChart!#REF!</f>
        <v>#REF!</v>
      </c>
      <c r="B83" s="82" t="e">
        <f>LossChart!#REF!</f>
        <v>#REF!</v>
      </c>
      <c r="I83" s="85">
        <f t="shared" si="2"/>
        <v>-192.8</v>
      </c>
    </row>
    <row r="84" spans="1:9" x14ac:dyDescent="0.25">
      <c r="A84" s="84" t="e">
        <f>LossChart!#REF!</f>
        <v>#REF!</v>
      </c>
      <c r="B84" s="82" t="e">
        <f>LossChart!#REF!</f>
        <v>#REF!</v>
      </c>
      <c r="I84" s="85">
        <f t="shared" si="2"/>
        <v>-192.8</v>
      </c>
    </row>
    <row r="85" spans="1:9" x14ac:dyDescent="0.25">
      <c r="A85" s="84" t="e">
        <f>LossChart!#REF!</f>
        <v>#REF!</v>
      </c>
      <c r="B85" s="82" t="e">
        <f>LossChart!#REF!</f>
        <v>#REF!</v>
      </c>
      <c r="I85" s="85">
        <f t="shared" si="2"/>
        <v>-192.8</v>
      </c>
    </row>
    <row r="86" spans="1:9" x14ac:dyDescent="0.25">
      <c r="A86" s="84" t="e">
        <f>LossChart!#REF!</f>
        <v>#REF!</v>
      </c>
      <c r="B86" s="82" t="e">
        <f>LossChart!#REF!</f>
        <v>#REF!</v>
      </c>
      <c r="I86" s="85">
        <f t="shared" si="2"/>
        <v>-192.8</v>
      </c>
    </row>
    <row r="87" spans="1:9" x14ac:dyDescent="0.25">
      <c r="A87" s="84" t="e">
        <f>LossChart!#REF!</f>
        <v>#REF!</v>
      </c>
      <c r="B87" s="82" t="e">
        <f>LossChart!#REF!</f>
        <v>#REF!</v>
      </c>
      <c r="I87" s="85">
        <f t="shared" si="2"/>
        <v>-192.8</v>
      </c>
    </row>
    <row r="88" spans="1:9" x14ac:dyDescent="0.25">
      <c r="A88" s="84" t="e">
        <f>LossChart!#REF!</f>
        <v>#REF!</v>
      </c>
      <c r="B88" s="82" t="e">
        <f>LossChart!#REF!</f>
        <v>#REF!</v>
      </c>
      <c r="I88" s="85">
        <f t="shared" si="2"/>
        <v>-192.8</v>
      </c>
    </row>
    <row r="89" spans="1:9" x14ac:dyDescent="0.25">
      <c r="A89" s="84" t="e">
        <f>LossChart!#REF!</f>
        <v>#REF!</v>
      </c>
      <c r="B89" s="82" t="e">
        <f>LossChart!#REF!</f>
        <v>#REF!</v>
      </c>
      <c r="I89" s="85">
        <f t="shared" si="2"/>
        <v>-192.8</v>
      </c>
    </row>
    <row r="90" spans="1:9" x14ac:dyDescent="0.25">
      <c r="A90" s="84" t="e">
        <f>LossChart!#REF!</f>
        <v>#REF!</v>
      </c>
      <c r="B90" s="82" t="e">
        <f>LossChart!#REF!</f>
        <v>#REF!</v>
      </c>
      <c r="I90" s="85">
        <f t="shared" si="2"/>
        <v>-192.8</v>
      </c>
    </row>
    <row r="91" spans="1:9" x14ac:dyDescent="0.25">
      <c r="A91" s="84" t="e">
        <f>LossChart!#REF!</f>
        <v>#REF!</v>
      </c>
      <c r="B91" s="82" t="e">
        <f>LossChart!#REF!</f>
        <v>#REF!</v>
      </c>
      <c r="I91" s="85">
        <f t="shared" si="2"/>
        <v>-192.8</v>
      </c>
    </row>
    <row r="92" spans="1:9" x14ac:dyDescent="0.25">
      <c r="A92" s="84" t="e">
        <f>LossChart!#REF!</f>
        <v>#REF!</v>
      </c>
      <c r="B92" s="82" t="e">
        <f>LossChart!#REF!</f>
        <v>#REF!</v>
      </c>
      <c r="I92" s="85">
        <f t="shared" si="2"/>
        <v>-192.8</v>
      </c>
    </row>
    <row r="93" spans="1:9" x14ac:dyDescent="0.25">
      <c r="A93" s="84" t="e">
        <f>LossChart!#REF!</f>
        <v>#REF!</v>
      </c>
      <c r="B93" s="82" t="e">
        <f>LossChart!#REF!</f>
        <v>#REF!</v>
      </c>
      <c r="I93" s="85">
        <f t="shared" si="2"/>
        <v>-192.8</v>
      </c>
    </row>
    <row r="94" spans="1:9" x14ac:dyDescent="0.25">
      <c r="A94" s="84" t="e">
        <f>LossChart!#REF!</f>
        <v>#REF!</v>
      </c>
      <c r="B94" s="82" t="e">
        <f>LossChart!#REF!</f>
        <v>#REF!</v>
      </c>
      <c r="I94" s="85">
        <f t="shared" si="2"/>
        <v>-192.8</v>
      </c>
    </row>
    <row r="95" spans="1:9" x14ac:dyDescent="0.25">
      <c r="A95" s="84" t="e">
        <f>LossChart!#REF!</f>
        <v>#REF!</v>
      </c>
      <c r="B95" s="82" t="e">
        <f>LossChart!#REF!</f>
        <v>#REF!</v>
      </c>
      <c r="I95" s="85">
        <f t="shared" si="2"/>
        <v>-192.8</v>
      </c>
    </row>
    <row r="96" spans="1:9" x14ac:dyDescent="0.25">
      <c r="A96" s="84" t="e">
        <f>LossChart!#REF!</f>
        <v>#REF!</v>
      </c>
      <c r="B96" s="82" t="e">
        <f>LossChart!#REF!</f>
        <v>#REF!</v>
      </c>
      <c r="I96" s="85">
        <f t="shared" si="2"/>
        <v>-192.8</v>
      </c>
    </row>
    <row r="97" spans="1:9" x14ac:dyDescent="0.25">
      <c r="A97" s="84" t="e">
        <f>LossChart!#REF!</f>
        <v>#REF!</v>
      </c>
      <c r="B97" s="82" t="e">
        <f>LossChart!#REF!</f>
        <v>#REF!</v>
      </c>
      <c r="I97" s="85">
        <f t="shared" si="2"/>
        <v>-192.8</v>
      </c>
    </row>
    <row r="98" spans="1:9" x14ac:dyDescent="0.25">
      <c r="A98" s="84" t="e">
        <f>LossChart!#REF!</f>
        <v>#REF!</v>
      </c>
      <c r="B98" s="82" t="e">
        <f>LossChart!#REF!</f>
        <v>#REF!</v>
      </c>
      <c r="I98" s="85">
        <f t="shared" si="2"/>
        <v>-192.8</v>
      </c>
    </row>
    <row r="99" spans="1:9" x14ac:dyDescent="0.25">
      <c r="A99" s="84" t="e">
        <f>LossChart!#REF!</f>
        <v>#REF!</v>
      </c>
      <c r="B99" s="82" t="e">
        <f>LossChart!#REF!</f>
        <v>#REF!</v>
      </c>
      <c r="I99" s="85">
        <f t="shared" si="2"/>
        <v>-192.8</v>
      </c>
    </row>
    <row r="100" spans="1:9" x14ac:dyDescent="0.25">
      <c r="A100" s="84" t="e">
        <f>LossChart!#REF!</f>
        <v>#REF!</v>
      </c>
      <c r="B100" s="82" t="e">
        <f>LossChart!#REF!</f>
        <v>#REF!</v>
      </c>
      <c r="I100" s="85">
        <f t="shared" si="2"/>
        <v>-192.8</v>
      </c>
    </row>
    <row r="101" spans="1:9" x14ac:dyDescent="0.25">
      <c r="A101" s="84" t="e">
        <f>LossChart!#REF!</f>
        <v>#REF!</v>
      </c>
      <c r="B101" s="82" t="e">
        <f>LossChart!#REF!</f>
        <v>#REF!</v>
      </c>
      <c r="I101" s="85">
        <f t="shared" si="2"/>
        <v>-192.8</v>
      </c>
    </row>
    <row r="102" spans="1:9" x14ac:dyDescent="0.25">
      <c r="A102" s="84" t="e">
        <f>LossChart!#REF!</f>
        <v>#REF!</v>
      </c>
      <c r="B102" s="82" t="e">
        <f>LossChart!#REF!</f>
        <v>#REF!</v>
      </c>
      <c r="I102" s="85">
        <f t="shared" si="2"/>
        <v>-192.8</v>
      </c>
    </row>
    <row r="103" spans="1:9" x14ac:dyDescent="0.25">
      <c r="A103" s="84" t="e">
        <f>LossChart!#REF!</f>
        <v>#REF!</v>
      </c>
      <c r="B103" s="82" t="e">
        <f>LossChart!#REF!</f>
        <v>#REF!</v>
      </c>
      <c r="I103" s="85">
        <f t="shared" si="2"/>
        <v>-192.8</v>
      </c>
    </row>
    <row r="104" spans="1:9" x14ac:dyDescent="0.25">
      <c r="A104" s="84" t="e">
        <f>LossChart!#REF!</f>
        <v>#REF!</v>
      </c>
      <c r="B104" s="82" t="e">
        <f>LossChart!#REF!</f>
        <v>#REF!</v>
      </c>
      <c r="I104" s="85">
        <f t="shared" si="2"/>
        <v>-192.8</v>
      </c>
    </row>
    <row r="105" spans="1:9" x14ac:dyDescent="0.25">
      <c r="A105" s="84" t="e">
        <f>LossChart!#REF!</f>
        <v>#REF!</v>
      </c>
      <c r="B105" s="82" t="e">
        <f>LossChart!#REF!</f>
        <v>#REF!</v>
      </c>
      <c r="I105" s="85">
        <f t="shared" si="2"/>
        <v>-192.8</v>
      </c>
    </row>
    <row r="106" spans="1:9" x14ac:dyDescent="0.25">
      <c r="A106" s="84" t="e">
        <f>LossChart!#REF!</f>
        <v>#REF!</v>
      </c>
      <c r="B106" s="82" t="e">
        <f>LossChart!#REF!</f>
        <v>#REF!</v>
      </c>
      <c r="I106" s="85">
        <f t="shared" si="2"/>
        <v>-192.8</v>
      </c>
    </row>
    <row r="107" spans="1:9" x14ac:dyDescent="0.25">
      <c r="A107" s="84" t="e">
        <f>LossChart!#REF!</f>
        <v>#REF!</v>
      </c>
      <c r="B107" s="82" t="e">
        <f>LossChart!#REF!</f>
        <v>#REF!</v>
      </c>
      <c r="I107" s="85">
        <f t="shared" si="2"/>
        <v>-192.8</v>
      </c>
    </row>
    <row r="108" spans="1:9" x14ac:dyDescent="0.25">
      <c r="A108" s="84" t="e">
        <f>LossChart!#REF!</f>
        <v>#REF!</v>
      </c>
      <c r="B108" s="82" t="e">
        <f>LossChart!#REF!</f>
        <v>#REF!</v>
      </c>
      <c r="I108" s="85">
        <f t="shared" si="2"/>
        <v>-192.8</v>
      </c>
    </row>
    <row r="109" spans="1:9" x14ac:dyDescent="0.25">
      <c r="A109" s="84" t="e">
        <f>LossChart!#REF!</f>
        <v>#REF!</v>
      </c>
      <c r="B109" s="82" t="e">
        <f>LossChart!#REF!</f>
        <v>#REF!</v>
      </c>
      <c r="I109" s="85">
        <f t="shared" si="2"/>
        <v>-192.8</v>
      </c>
    </row>
    <row r="110" spans="1:9" x14ac:dyDescent="0.25">
      <c r="A110" s="84" t="e">
        <f>LossChart!#REF!</f>
        <v>#REF!</v>
      </c>
      <c r="B110" s="82" t="e">
        <f>LossChart!#REF!</f>
        <v>#REF!</v>
      </c>
      <c r="I110" s="85">
        <f t="shared" si="2"/>
        <v>-192.8</v>
      </c>
    </row>
    <row r="111" spans="1:9" x14ac:dyDescent="0.25">
      <c r="A111" s="84" t="e">
        <f>LossChart!#REF!</f>
        <v>#REF!</v>
      </c>
      <c r="B111" s="82" t="e">
        <f>LossChart!#REF!</f>
        <v>#REF!</v>
      </c>
      <c r="I111" s="85">
        <f t="shared" si="2"/>
        <v>-192.8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Scale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195</cp:revision>
  <cp:lastPrinted>1601-01-01T00:00:00Z</cp:lastPrinted>
  <dcterms:created xsi:type="dcterms:W3CDTF">2017-09-14T17:05:16Z</dcterms:created>
  <dcterms:modified xsi:type="dcterms:W3CDTF">2017-10-30T20:42:35Z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