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wsl$\Ubuntu-18.04\home\nathan\openlst\"/>
    </mc:Choice>
  </mc:AlternateContent>
  <xr:revisionPtr revIDLastSave="0" documentId="13_ncr:1_{4BA8D14C-EC43-4D38-BE88-8D616FFB8435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Settings" sheetId="3" r:id="rId1"/>
    <sheet name="Data Rate Calcula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5" i="4"/>
  <c r="C6" i="4"/>
  <c r="C7" i="4"/>
  <c r="C8" i="4"/>
  <c r="C9" i="4"/>
  <c r="C10" i="4"/>
  <c r="C11" i="4"/>
  <c r="C12" i="4"/>
  <c r="C13" i="4"/>
  <c r="C5" i="4"/>
  <c r="Q10" i="3"/>
  <c r="M17" i="3"/>
  <c r="M10" i="3"/>
  <c r="M13" i="3" s="1"/>
  <c r="I11" i="3"/>
  <c r="I12" i="3" s="1"/>
  <c r="J12" i="3" s="1"/>
  <c r="F11" i="3"/>
  <c r="F13" i="3" s="1"/>
  <c r="C9" i="3"/>
  <c r="C10" i="3"/>
  <c r="C11" i="3"/>
  <c r="B13" i="3" s="1"/>
  <c r="B14" i="3" s="1"/>
  <c r="J11" i="3" l="1"/>
  <c r="I14" i="3"/>
  <c r="I15" i="3" s="1"/>
</calcChain>
</file>

<file path=xl/sharedStrings.xml><?xml version="1.0" encoding="utf-8"?>
<sst xmlns="http://schemas.openxmlformats.org/spreadsheetml/2006/main" count="61" uniqueCount="42">
  <si>
    <t>FREQ0</t>
  </si>
  <si>
    <t>FREQ1</t>
  </si>
  <si>
    <t>FREQ2</t>
  </si>
  <si>
    <t>2F</t>
  </si>
  <si>
    <t>Hex</t>
  </si>
  <si>
    <t>Dec</t>
  </si>
  <si>
    <t>FREQ</t>
  </si>
  <si>
    <t>MHz</t>
  </si>
  <si>
    <t>F_carrier</t>
  </si>
  <si>
    <t>Clock</t>
  </si>
  <si>
    <t>Actual</t>
  </si>
  <si>
    <t>Ideal</t>
  </si>
  <si>
    <t>Error</t>
  </si>
  <si>
    <t>General Settings</t>
  </si>
  <si>
    <t>Carrier Frequency</t>
  </si>
  <si>
    <t>Baud Rate</t>
  </si>
  <si>
    <t>BAUD_M/BAUD</t>
  </si>
  <si>
    <t>BAUD_E/GCR</t>
  </si>
  <si>
    <t>RF Data Rate</t>
  </si>
  <si>
    <t>Data Rate</t>
  </si>
  <si>
    <t>bps</t>
  </si>
  <si>
    <t>DRATE_E</t>
  </si>
  <si>
    <t>DRATE_M</t>
  </si>
  <si>
    <t>Uncertainty</t>
  </si>
  <si>
    <t>ppm</t>
  </si>
  <si>
    <t>Signal BW</t>
  </si>
  <si>
    <t>kHz</t>
  </si>
  <si>
    <t>Extra BW</t>
  </si>
  <si>
    <t>Filter BW</t>
  </si>
  <si>
    <t>Carrier Freq</t>
  </si>
  <si>
    <t>Carrier Err</t>
  </si>
  <si>
    <t>CHANBW_E</t>
  </si>
  <si>
    <t>CHANBW_M</t>
  </si>
  <si>
    <t>[0,3]</t>
  </si>
  <si>
    <t>RX Filter Bandwidth</t>
  </si>
  <si>
    <t>FSK Deviation</t>
  </si>
  <si>
    <t>DEVIATION_M</t>
  </si>
  <si>
    <t>DEVIATION_E</t>
  </si>
  <si>
    <t>Fdev</t>
  </si>
  <si>
    <t>0-15</t>
  </si>
  <si>
    <t>0-255</t>
  </si>
  <si>
    <t>Symbols to error (0.1 Tsym)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</si>
</sst>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6" formatCode="0.0000"/>
    <numFmt numFmtId="168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49" fontId="0" fillId="2" borderId="0" xfId="0" applyNumberFormat="1" applyFill="1"/>
    <xf numFmtId="0" fontId="0" fillId="2" borderId="0" xfId="0" applyFill="1"/>
    <xf numFmtId="0" fontId="2" fillId="0" borderId="0" xfId="0" applyFont="1" applyAlignment="1">
      <alignment horizontal="center"/>
    </xf>
    <xf numFmtId="166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0300-671E-49BE-898F-452EC974350A}">
  <dimension ref="A1:R17"/>
  <sheetViews>
    <sheetView workbookViewId="0">
      <selection activeCell="A2" sqref="A2:C2"/>
    </sheetView>
  </sheetViews>
  <sheetFormatPr defaultRowHeight="14.6" x14ac:dyDescent="0.4"/>
  <cols>
    <col min="5" max="5" width="13.921875" bestFit="1" customWidth="1"/>
    <col min="12" max="12" width="11.15234375" bestFit="1" customWidth="1"/>
    <col min="16" max="16" width="12.765625" bestFit="1" customWidth="1"/>
  </cols>
  <sheetData>
    <row r="1" spans="1:18" x14ac:dyDescent="0.4">
      <c r="A1" t="s">
        <v>13</v>
      </c>
    </row>
    <row r="2" spans="1:18" x14ac:dyDescent="0.4">
      <c r="A2" t="s">
        <v>9</v>
      </c>
      <c r="B2">
        <v>27</v>
      </c>
      <c r="C2" t="s">
        <v>7</v>
      </c>
    </row>
    <row r="7" spans="1:18" x14ac:dyDescent="0.4">
      <c r="A7" s="7" t="s">
        <v>14</v>
      </c>
      <c r="B7" s="7"/>
      <c r="C7" s="7"/>
      <c r="E7" s="7" t="s">
        <v>15</v>
      </c>
      <c r="F7" s="7"/>
      <c r="H7" s="7" t="s">
        <v>18</v>
      </c>
      <c r="I7" s="7"/>
      <c r="J7" s="7"/>
      <c r="L7" s="7" t="s">
        <v>34</v>
      </c>
      <c r="M7" s="7"/>
      <c r="N7" s="7"/>
      <c r="P7" s="7" t="s">
        <v>35</v>
      </c>
      <c r="Q7" s="7"/>
      <c r="R7" s="7"/>
    </row>
    <row r="8" spans="1:18" x14ac:dyDescent="0.4">
      <c r="B8" t="s">
        <v>4</v>
      </c>
      <c r="C8" t="s">
        <v>5</v>
      </c>
      <c r="E8" t="s">
        <v>16</v>
      </c>
      <c r="F8" s="6">
        <v>24</v>
      </c>
      <c r="H8" t="s">
        <v>19</v>
      </c>
      <c r="I8" s="6">
        <v>10000</v>
      </c>
      <c r="J8" t="s">
        <v>20</v>
      </c>
      <c r="L8" t="s">
        <v>23</v>
      </c>
      <c r="M8" s="6">
        <v>60</v>
      </c>
      <c r="N8" t="s">
        <v>24</v>
      </c>
      <c r="P8" t="s">
        <v>36</v>
      </c>
      <c r="Q8">
        <v>1</v>
      </c>
    </row>
    <row r="9" spans="1:18" x14ac:dyDescent="0.4">
      <c r="A9" t="s">
        <v>2</v>
      </c>
      <c r="B9" s="5">
        <v>10</v>
      </c>
      <c r="C9">
        <f>HEX2DEC(B9)</f>
        <v>16</v>
      </c>
      <c r="E9" t="s">
        <v>17</v>
      </c>
      <c r="F9" s="6">
        <v>12</v>
      </c>
      <c r="L9" t="s">
        <v>29</v>
      </c>
      <c r="M9" s="6">
        <v>437</v>
      </c>
      <c r="N9" t="s">
        <v>7</v>
      </c>
      <c r="P9" t="s">
        <v>37</v>
      </c>
      <c r="Q9">
        <v>1</v>
      </c>
    </row>
    <row r="10" spans="1:18" x14ac:dyDescent="0.4">
      <c r="A10" t="s">
        <v>1</v>
      </c>
      <c r="B10" s="5" t="s">
        <v>3</v>
      </c>
      <c r="C10">
        <f>HEX2DEC(B10)</f>
        <v>47</v>
      </c>
      <c r="I10" t="s">
        <v>5</v>
      </c>
      <c r="J10" t="s">
        <v>4</v>
      </c>
      <c r="L10" t="s">
        <v>30</v>
      </c>
      <c r="M10">
        <f>1000*M9*(M8/1000000)</f>
        <v>26.220000000000002</v>
      </c>
      <c r="N10" t="s">
        <v>26</v>
      </c>
      <c r="P10" t="s">
        <v>38</v>
      </c>
      <c r="Q10">
        <f>(B2*1000000/2^17)*(8+Q8)*2^Q9/1000</f>
        <v>3.7078857421875</v>
      </c>
      <c r="R10" t="s">
        <v>26</v>
      </c>
    </row>
    <row r="11" spans="1:18" x14ac:dyDescent="0.4">
      <c r="A11" t="s">
        <v>0</v>
      </c>
      <c r="B11" s="5">
        <v>69</v>
      </c>
      <c r="C11">
        <f>HEX2DEC(B11)</f>
        <v>105</v>
      </c>
      <c r="E11" t="s">
        <v>10</v>
      </c>
      <c r="F11">
        <f>((256+F8)*2^F9*B2*1000000)/(2^28)</f>
        <v>115356.4453125</v>
      </c>
      <c r="H11" t="s">
        <v>21</v>
      </c>
      <c r="I11" s="3">
        <f>FLOOR(LOG(I8*2^20/(B2*1000000), 2), 1)</f>
        <v>8</v>
      </c>
      <c r="J11" t="str">
        <f>DEC2HEX(I11)</f>
        <v>8</v>
      </c>
      <c r="L11" t="s">
        <v>25</v>
      </c>
      <c r="M11" s="6">
        <v>300</v>
      </c>
      <c r="N11" t="s">
        <v>26</v>
      </c>
    </row>
    <row r="12" spans="1:18" x14ac:dyDescent="0.4">
      <c r="E12" t="s">
        <v>11</v>
      </c>
      <c r="F12" s="6">
        <v>115200</v>
      </c>
      <c r="H12" t="s">
        <v>22</v>
      </c>
      <c r="I12">
        <f>ROUND((I8*2^28)/(B2*1000000*2^I11)-256, 0)</f>
        <v>132</v>
      </c>
      <c r="J12" t="str">
        <f>DEC2HEX(I12)</f>
        <v>84</v>
      </c>
      <c r="L12" t="s">
        <v>27</v>
      </c>
      <c r="M12" s="1">
        <v>0.8</v>
      </c>
    </row>
    <row r="13" spans="1:18" x14ac:dyDescent="0.4">
      <c r="A13" t="s">
        <v>6</v>
      </c>
      <c r="B13">
        <f>C11+2^8*C10+2^16*C9</f>
        <v>1060713</v>
      </c>
      <c r="E13" t="s">
        <v>12</v>
      </c>
      <c r="F13" s="4">
        <f>ABS(1-F11/F12)</f>
        <v>1.3580322265625E-3</v>
      </c>
      <c r="L13" t="s">
        <v>28</v>
      </c>
      <c r="M13">
        <f>(M11+M10)/M12</f>
        <v>407.77500000000003</v>
      </c>
      <c r="N13" t="s">
        <v>26</v>
      </c>
    </row>
    <row r="14" spans="1:18" x14ac:dyDescent="0.4">
      <c r="A14" t="s">
        <v>8</v>
      </c>
      <c r="B14">
        <f>B2*B13/2^16</f>
        <v>437.00028991699219</v>
      </c>
      <c r="C14" t="s">
        <v>7</v>
      </c>
      <c r="H14" t="s">
        <v>10</v>
      </c>
      <c r="I14" s="2">
        <f>1000000*B2*((256+I12)*2^I11)/2^28</f>
        <v>9990.692138671875</v>
      </c>
      <c r="J14" t="s">
        <v>20</v>
      </c>
    </row>
    <row r="15" spans="1:18" x14ac:dyDescent="0.4">
      <c r="H15" t="s">
        <v>12</v>
      </c>
      <c r="I15" s="4">
        <f>1-I8/I14</f>
        <v>-9.3165330278721648E-4</v>
      </c>
      <c r="L15" t="s">
        <v>32</v>
      </c>
      <c r="M15" s="6">
        <v>3</v>
      </c>
      <c r="N15" t="s">
        <v>33</v>
      </c>
    </row>
    <row r="16" spans="1:18" x14ac:dyDescent="0.4">
      <c r="L16" t="s">
        <v>31</v>
      </c>
      <c r="M16" s="6">
        <v>3</v>
      </c>
      <c r="N16" t="s">
        <v>33</v>
      </c>
    </row>
    <row r="17" spans="12:14" x14ac:dyDescent="0.4">
      <c r="L17" t="s">
        <v>28</v>
      </c>
      <c r="M17">
        <f>1000000*B2/(8*(4+M15)*2^M16*1000)</f>
        <v>60.267857142857146</v>
      </c>
      <c r="N17" t="s">
        <v>26</v>
      </c>
    </row>
  </sheetData>
  <mergeCells count="5">
    <mergeCell ref="A7:C7"/>
    <mergeCell ref="E7:F7"/>
    <mergeCell ref="H7:J7"/>
    <mergeCell ref="L7:N7"/>
    <mergeCell ref="P7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AEFA-AD71-4B34-B6EE-4BB1B0B21C24}">
  <dimension ref="A1:D43"/>
  <sheetViews>
    <sheetView tabSelected="1" workbookViewId="0">
      <selection activeCell="D16" sqref="D16"/>
    </sheetView>
  </sheetViews>
  <sheetFormatPr defaultRowHeight="14.6" x14ac:dyDescent="0.4"/>
  <cols>
    <col min="3" max="3" width="24.921875" style="9" customWidth="1"/>
    <col min="4" max="4" width="12.3828125" customWidth="1"/>
  </cols>
  <sheetData>
    <row r="1" spans="1:4" x14ac:dyDescent="0.4">
      <c r="A1" t="s">
        <v>9</v>
      </c>
      <c r="B1">
        <v>27</v>
      </c>
      <c r="C1" s="9" t="s">
        <v>7</v>
      </c>
    </row>
    <row r="3" spans="1:4" x14ac:dyDescent="0.4">
      <c r="A3" t="s">
        <v>39</v>
      </c>
      <c r="B3" t="s">
        <v>40</v>
      </c>
      <c r="C3" s="9" t="s">
        <v>20</v>
      </c>
    </row>
    <row r="4" spans="1:4" x14ac:dyDescent="0.4">
      <c r="A4" t="s">
        <v>21</v>
      </c>
      <c r="B4" t="s">
        <v>22</v>
      </c>
      <c r="C4" s="9" t="s">
        <v>19</v>
      </c>
      <c r="D4" t="s">
        <v>41</v>
      </c>
    </row>
    <row r="5" spans="1:4" x14ac:dyDescent="0.4">
      <c r="A5" s="3">
        <v>5</v>
      </c>
      <c r="B5">
        <v>55</v>
      </c>
      <c r="C5" s="9">
        <f>1000000*$B$1*((256+B5)*2^A5)/2^28</f>
        <v>1001.0004043579102</v>
      </c>
      <c r="D5" s="8">
        <f>0.25/MOD(1000000/C5,1)</f>
        <v>419.84999999012916</v>
      </c>
    </row>
    <row r="6" spans="1:4" x14ac:dyDescent="0.4">
      <c r="A6">
        <v>5</v>
      </c>
      <c r="B6">
        <v>77</v>
      </c>
      <c r="C6" s="9">
        <f t="shared" ref="C6:C28" si="0">1000000*$B$1*((256+B6)*2^A6)/2^28</f>
        <v>1071.8107223510742</v>
      </c>
      <c r="D6" s="8">
        <f t="shared" ref="D6:D13" si="1">0.25/MOD(1000000/C6,1)</f>
        <v>449.54999996569637</v>
      </c>
    </row>
    <row r="7" spans="1:4" x14ac:dyDescent="0.4">
      <c r="A7" s="3">
        <v>7</v>
      </c>
      <c r="B7">
        <v>255</v>
      </c>
      <c r="C7" s="9">
        <f t="shared" si="0"/>
        <v>6578.9222717285156</v>
      </c>
      <c r="D7" s="8">
        <f t="shared" si="1"/>
        <v>431.15625000627415</v>
      </c>
    </row>
    <row r="8" spans="1:4" x14ac:dyDescent="0.4">
      <c r="A8">
        <v>8</v>
      </c>
      <c r="B8">
        <v>10</v>
      </c>
      <c r="C8" s="9">
        <f t="shared" si="0"/>
        <v>6849.2889404296875</v>
      </c>
      <c r="D8" s="8">
        <f t="shared" si="1"/>
        <v>448.87500000653199</v>
      </c>
    </row>
    <row r="9" spans="1:4" x14ac:dyDescent="0.4">
      <c r="A9" s="3">
        <v>8</v>
      </c>
      <c r="B9">
        <v>36</v>
      </c>
      <c r="C9" s="9">
        <f t="shared" si="0"/>
        <v>7518.768310546875</v>
      </c>
      <c r="D9" s="8">
        <f t="shared" si="1"/>
        <v>492.75000000717046</v>
      </c>
    </row>
    <row r="10" spans="1:4" x14ac:dyDescent="0.4">
      <c r="A10">
        <v>8</v>
      </c>
      <c r="B10">
        <v>255</v>
      </c>
      <c r="C10" s="9">
        <f t="shared" si="0"/>
        <v>13157.844543457031</v>
      </c>
      <c r="D10" s="8">
        <f t="shared" si="1"/>
        <v>862.3125000125483</v>
      </c>
    </row>
    <row r="11" spans="1:4" x14ac:dyDescent="0.4">
      <c r="A11" s="3">
        <v>9</v>
      </c>
      <c r="B11">
        <v>10</v>
      </c>
      <c r="C11" s="9">
        <f t="shared" si="0"/>
        <v>13698.577880859375</v>
      </c>
      <c r="D11" s="8">
        <f t="shared" si="1"/>
        <v>897.75000001306398</v>
      </c>
    </row>
    <row r="12" spans="1:4" x14ac:dyDescent="0.4">
      <c r="A12">
        <v>9</v>
      </c>
      <c r="B12">
        <v>255</v>
      </c>
      <c r="C12" s="9">
        <f t="shared" si="0"/>
        <v>26315.689086914063</v>
      </c>
      <c r="D12" s="8">
        <f t="shared" si="1"/>
        <v>1724.6250000250966</v>
      </c>
    </row>
    <row r="13" spans="1:4" x14ac:dyDescent="0.4">
      <c r="A13" s="3">
        <v>10</v>
      </c>
      <c r="B13">
        <v>255</v>
      </c>
      <c r="C13" s="9">
        <f t="shared" si="0"/>
        <v>52631.378173828125</v>
      </c>
      <c r="D13" s="8">
        <f t="shared" si="1"/>
        <v>3449.2500000501932</v>
      </c>
    </row>
    <row r="14" spans="1:4" x14ac:dyDescent="0.4">
      <c r="D14" s="9"/>
    </row>
    <row r="15" spans="1:4" x14ac:dyDescent="0.4">
      <c r="A15" s="3"/>
    </row>
    <row r="17" spans="1:1" x14ac:dyDescent="0.4">
      <c r="A17" s="3"/>
    </row>
    <row r="19" spans="1:1" x14ac:dyDescent="0.4">
      <c r="A19" s="3"/>
    </row>
    <row r="21" spans="1:1" x14ac:dyDescent="0.4">
      <c r="A21" s="3"/>
    </row>
    <row r="23" spans="1:1" x14ac:dyDescent="0.4">
      <c r="A23" s="3"/>
    </row>
    <row r="25" spans="1:1" x14ac:dyDescent="0.4">
      <c r="A25" s="3"/>
    </row>
    <row r="27" spans="1:1" x14ac:dyDescent="0.4">
      <c r="A27" s="3"/>
    </row>
    <row r="29" spans="1:1" x14ac:dyDescent="0.4">
      <c r="A29" s="3"/>
    </row>
    <row r="31" spans="1:1" x14ac:dyDescent="0.4">
      <c r="A31" s="3"/>
    </row>
    <row r="33" spans="1:1" x14ac:dyDescent="0.4">
      <c r="A33" s="3"/>
    </row>
    <row r="35" spans="1:1" x14ac:dyDescent="0.4">
      <c r="A35" s="3"/>
    </row>
    <row r="37" spans="1:1" x14ac:dyDescent="0.4">
      <c r="A37" s="3"/>
    </row>
    <row r="39" spans="1:1" x14ac:dyDescent="0.4">
      <c r="A39" s="3"/>
    </row>
    <row r="41" spans="1:1" x14ac:dyDescent="0.4">
      <c r="A41" s="3"/>
    </row>
    <row r="43" spans="1:1" x14ac:dyDescent="0.4">
      <c r="A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Data Rate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Kerns</dc:creator>
  <cp:lastModifiedBy>N Kerns</cp:lastModifiedBy>
  <dcterms:created xsi:type="dcterms:W3CDTF">2015-06-05T18:17:20Z</dcterms:created>
  <dcterms:modified xsi:type="dcterms:W3CDTF">2022-01-14T20:42:37Z</dcterms:modified>
</cp:coreProperties>
</file>