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" yWindow="0" windowWidth="19320" windowHeight="9885" tabRatio="797" activeTab="2"/>
  </bookViews>
  <sheets>
    <sheet name="tOther" sheetId="12" r:id="rId1"/>
    <sheet name="Test Sheet" sheetId="1" r:id="rId2"/>
    <sheet name="Rate Calculator" sheetId="2" r:id="rId3"/>
    <sheet name="iQuote Version" sheetId="3" r:id="rId4"/>
    <sheet name="Data Model" sheetId="4" r:id="rId5"/>
    <sheet name="Data Sample" sheetId="5" r:id="rId6"/>
    <sheet name="tMileage" sheetId="6" r:id="rId7"/>
    <sheet name="tSplit" sheetId="7" r:id="rId8"/>
    <sheet name="tBase" sheetId="8" r:id="rId9"/>
    <sheet name="tAge 1" sheetId="9" r:id="rId10"/>
    <sheet name="tAge 2" sheetId="10" r:id="rId11"/>
    <sheet name="tExtras" sheetId="11" r:id="rId12"/>
    <sheet name="Taxes" sheetId="13" r:id="rId13"/>
    <sheet name="Run Time Parameters" sheetId="14" r:id="rId14"/>
  </sheets>
  <definedNames>
    <definedName name="iQuote_Version">'iQuote Version'!$C$3</definedName>
    <definedName name="OL_NAerror">#N/A</definedName>
    <definedName name="OLbookCTL_">{1}</definedName>
    <definedName name="OLbookName">"PAYD Rater GJD.xlsm"</definedName>
    <definedName name="OLdatabase_">'Data Model'!$B$8</definedName>
    <definedName name="OLfunction_PYDPremiumCalculator">'Rate Calculator'!$C$3</definedName>
    <definedName name="OLloader_">'Data Sample'!$G$4</definedName>
    <definedName name="OLMtable_AgeRestrictionLE" localSheetId="0">tOther!$G$280</definedName>
    <definedName name="OLMtable_ExpectedMileage" localSheetId="6">tMileage!$B$4</definedName>
    <definedName name="OLMtable_pArameterQuestionLE" localSheetId="0">tOther!$E$59</definedName>
    <definedName name="OLMtable_tAgeLE" localSheetId="9">'tAge 1'!$B$9</definedName>
    <definedName name="OLMtable_tAgeLE" localSheetId="10">'tAge 2'!$B$9</definedName>
    <definedName name="OLMtable_TaxesLE" localSheetId="12">Taxes!$D$4</definedName>
    <definedName name="OLMtable_tBaseLE" localSheetId="8">tBase!$C$10</definedName>
    <definedName name="OLMtable_tExtrasLE" localSheetId="11">tExtras!$D$4</definedName>
    <definedName name="OLMtable_tHire_SevLE" localSheetId="0">tOther!$G$225</definedName>
    <definedName name="OLMtable_tMaritalLE" localSheetId="0">tOther!$G$5</definedName>
    <definedName name="OLMtable_tMile_HighLow" localSheetId="7">tSplit!$D$93</definedName>
    <definedName name="OLMtable_tMV_VehicleYearLE" localSheetId="0">tOther!$G$263</definedName>
    <definedName name="OLMtable_tOldClmsLE" localSheetId="0">tOther!$E$27</definedName>
    <definedName name="OLMtable_tRef_CommLE" localSheetId="0">tOther!$F$233</definedName>
    <definedName name="OLMtable_tSplitLE" localSheetId="7">tSplit!$D$7</definedName>
    <definedName name="OLMtable_tSuspensionLE" localSheetId="0">tOther!$G$76</definedName>
    <definedName name="OLMtable_tVeh_KM_LE" localSheetId="0">tOther!$F$161</definedName>
    <definedName name="OLMtable_tVehicleColorLE" localSheetId="0">tOther!$F$151</definedName>
    <definedName name="OLMtable_tVehicleUseLE" localSheetId="0">tOther!$F$87</definedName>
    <definedName name="OLMtable_tVehParkLE" localSheetId="0">tOther!$F$189</definedName>
    <definedName name="OLsheetName" localSheetId="4">"Data Model"</definedName>
    <definedName name="OLsheetName" localSheetId="5">"Data Sample"</definedName>
    <definedName name="OLsheetName" localSheetId="2">"Rate Calculator"</definedName>
    <definedName name="OLsheetName" localSheetId="9">"tAge 1"</definedName>
    <definedName name="OLsheetName" localSheetId="10">"tAge 2"</definedName>
    <definedName name="OLsheetName" localSheetId="12">"Taxes"</definedName>
    <definedName name="OLsheetName" localSheetId="8">"tBase"</definedName>
    <definedName name="OLsheetName" localSheetId="1">"Test Sheet"</definedName>
    <definedName name="OLsheetName" localSheetId="11">"tExtras"</definedName>
    <definedName name="OLsheetName" localSheetId="6">"tMileage"</definedName>
    <definedName name="OLsheetName" localSheetId="0">"tOther"</definedName>
    <definedName name="OLsheetName" localSheetId="7">"tSplit"</definedName>
    <definedName name="OpenL">"ExigenOpenL 0.6.01"</definedName>
    <definedName name="OpenLerrors">3</definedName>
  </definedNames>
  <calcPr calcId="124519"/>
</workbook>
</file>

<file path=xl/calcChain.xml><?xml version="1.0" encoding="utf-8"?>
<calcChain xmlns="http://schemas.openxmlformats.org/spreadsheetml/2006/main">
  <c r="G514" i="5"/>
  <c r="I2" i="9"/>
  <c r="G5" i="12"/>
  <c r="E27"/>
  <c r="G76"/>
  <c r="F151"/>
  <c r="F189"/>
  <c r="F233"/>
  <c r="G280"/>
  <c r="F4" i="6"/>
  <c r="D7" i="7"/>
  <c r="C10" i="8"/>
  <c r="C92" i="9"/>
  <c r="C92" i="10"/>
  <c r="D4" i="13"/>
  <c r="G15" i="12"/>
  <c r="E59"/>
  <c r="F87"/>
  <c r="F161"/>
  <c r="G225"/>
  <c r="G263"/>
  <c r="B4" i="6"/>
  <c r="H4"/>
  <c r="D93" i="7"/>
  <c r="B9" i="9"/>
  <c r="B9" i="10"/>
  <c r="D4" i="11"/>
  <c r="G1018" i="5"/>
  <c r="C12" i="4"/>
  <c r="C56"/>
  <c r="C10"/>
  <c r="C27"/>
  <c r="O6" i="6"/>
  <c r="D12" i="1"/>
  <c r="D13" i="2"/>
  <c r="D33" i="1" a="1"/>
  <c r="D33"/>
  <c r="E33"/>
  <c r="F33"/>
  <c r="G33"/>
  <c r="H33"/>
  <c r="D36" a="1"/>
  <c r="D36"/>
  <c r="E36"/>
  <c r="F36"/>
  <c r="G36"/>
  <c r="H36"/>
  <c r="D23" a="1"/>
  <c r="D23"/>
  <c r="E23"/>
  <c r="F23"/>
  <c r="G23"/>
  <c r="H23"/>
  <c r="D25" a="1"/>
  <c r="D25"/>
  <c r="E25"/>
  <c r="F25"/>
  <c r="G25"/>
  <c r="H25"/>
  <c r="D34" a="1"/>
  <c r="D34"/>
  <c r="E34"/>
  <c r="F34"/>
  <c r="G34"/>
  <c r="H34"/>
  <c r="D24" a="1"/>
  <c r="D24"/>
  <c r="E24"/>
  <c r="F24"/>
  <c r="G24"/>
  <c r="H24"/>
  <c r="D35" a="1"/>
  <c r="D35"/>
  <c r="E35"/>
  <c r="F35"/>
  <c r="G35"/>
  <c r="H35"/>
  <c r="D26" a="1"/>
  <c r="D26"/>
  <c r="E26"/>
  <c r="F26"/>
  <c r="G26"/>
  <c r="H26"/>
  <c r="E19" i="5"/>
  <c r="L43" i="2"/>
  <c r="I43"/>
  <c r="C43"/>
  <c r="F43"/>
  <c r="K13" i="5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12"/>
  <c r="L6" i="13"/>
  <c r="C111" i="12"/>
  <c r="C61"/>
  <c r="C29"/>
  <c r="C7"/>
  <c r="G64" i="2"/>
  <c r="G52"/>
  <c r="C3"/>
  <c r="H9" i="5"/>
  <c r="G4"/>
  <c r="M197" i="2"/>
  <c r="T1015" i="5" l="1"/>
  <c r="T1014"/>
  <c r="T1013"/>
  <c r="T1012"/>
  <c r="T1011"/>
  <c r="T1010"/>
  <c r="T1009"/>
  <c r="T1008"/>
  <c r="T1007"/>
  <c r="T1006"/>
  <c r="T1005"/>
  <c r="T1004"/>
  <c r="T1003"/>
  <c r="T1002"/>
  <c r="T1001"/>
  <c r="T1000"/>
  <c r="T999"/>
  <c r="T998"/>
  <c r="T997"/>
  <c r="T996"/>
  <c r="T995"/>
  <c r="T994"/>
  <c r="T993"/>
  <c r="T992"/>
  <c r="T991"/>
  <c r="T990"/>
  <c r="T989"/>
  <c r="T988"/>
  <c r="T987"/>
  <c r="T986"/>
  <c r="T985"/>
  <c r="T984"/>
  <c r="T983"/>
  <c r="T982"/>
  <c r="T981"/>
  <c r="T980"/>
  <c r="T979"/>
  <c r="T978"/>
  <c r="T977"/>
  <c r="T976"/>
  <c r="T975"/>
  <c r="T974"/>
  <c r="T973"/>
  <c r="T972"/>
  <c r="T971"/>
  <c r="T970"/>
  <c r="T969"/>
  <c r="T968"/>
  <c r="T967"/>
  <c r="T966"/>
  <c r="T965"/>
  <c r="T964"/>
  <c r="T963"/>
  <c r="T962"/>
  <c r="T961"/>
  <c r="T960"/>
  <c r="T959"/>
  <c r="T958"/>
  <c r="T957"/>
  <c r="T956"/>
  <c r="T955"/>
  <c r="T954"/>
  <c r="T953"/>
  <c r="T952"/>
  <c r="T951"/>
  <c r="T950"/>
  <c r="T949"/>
  <c r="T948"/>
  <c r="T947"/>
  <c r="T946"/>
  <c r="T945"/>
  <c r="T944"/>
  <c r="T943"/>
  <c r="T942"/>
  <c r="T941"/>
  <c r="T940"/>
  <c r="T939"/>
  <c r="T938"/>
  <c r="T937"/>
  <c r="T936"/>
  <c r="T935"/>
  <c r="T934"/>
  <c r="T933"/>
  <c r="T932"/>
  <c r="T931"/>
  <c r="T930"/>
  <c r="T929"/>
  <c r="T928"/>
  <c r="T927"/>
  <c r="T926"/>
  <c r="T925"/>
  <c r="T924"/>
  <c r="T923"/>
  <c r="T922"/>
  <c r="T921"/>
  <c r="T920"/>
  <c r="T919"/>
  <c r="T918"/>
  <c r="T917"/>
  <c r="T916"/>
  <c r="T915"/>
  <c r="T914"/>
  <c r="T913"/>
  <c r="T912"/>
  <c r="T911"/>
  <c r="T910"/>
  <c r="T909"/>
  <c r="T908"/>
  <c r="T907"/>
  <c r="T906"/>
  <c r="T905"/>
  <c r="T904"/>
  <c r="T903"/>
  <c r="T902"/>
  <c r="T901"/>
  <c r="T900"/>
  <c r="T899"/>
  <c r="T898"/>
  <c r="T897"/>
  <c r="T896"/>
  <c r="T895"/>
  <c r="T894"/>
  <c r="T893"/>
  <c r="T892"/>
  <c r="T891"/>
  <c r="T890"/>
  <c r="T889"/>
  <c r="T888"/>
  <c r="T887"/>
  <c r="T886"/>
  <c r="T885"/>
  <c r="T884"/>
  <c r="T883"/>
  <c r="T882"/>
  <c r="T881"/>
  <c r="T880"/>
  <c r="T879"/>
  <c r="T878"/>
  <c r="T877"/>
  <c r="T876"/>
  <c r="T875"/>
  <c r="T874"/>
  <c r="T873"/>
  <c r="T872"/>
  <c r="T871"/>
  <c r="T870"/>
  <c r="T869"/>
  <c r="T868"/>
  <c r="T867"/>
  <c r="T866"/>
  <c r="T865"/>
  <c r="T864"/>
  <c r="T863"/>
  <c r="T862"/>
  <c r="T861"/>
  <c r="T860"/>
  <c r="T859"/>
  <c r="T858"/>
  <c r="T857"/>
  <c r="T856"/>
  <c r="T855"/>
  <c r="T854"/>
  <c r="T853"/>
  <c r="T852"/>
  <c r="T851"/>
  <c r="T850"/>
  <c r="T849"/>
  <c r="T848"/>
  <c r="T847"/>
  <c r="T846"/>
  <c r="T845"/>
  <c r="T844"/>
  <c r="T843"/>
  <c r="T842"/>
  <c r="T841"/>
  <c r="T840"/>
  <c r="T839"/>
  <c r="T838"/>
  <c r="T837"/>
  <c r="T836"/>
  <c r="T835"/>
  <c r="T834"/>
  <c r="T833"/>
  <c r="T832"/>
  <c r="T831"/>
  <c r="T830"/>
  <c r="T829"/>
  <c r="T828"/>
  <c r="T827"/>
  <c r="T826"/>
  <c r="T825"/>
  <c r="T824"/>
  <c r="T823"/>
  <c r="T822"/>
  <c r="T821"/>
  <c r="T820"/>
  <c r="T819"/>
  <c r="T818"/>
  <c r="T817"/>
  <c r="T816"/>
  <c r="T815"/>
  <c r="T814"/>
  <c r="T813"/>
  <c r="T812"/>
  <c r="T811"/>
  <c r="T810"/>
  <c r="T809"/>
  <c r="T808"/>
  <c r="T807"/>
  <c r="T806"/>
  <c r="T805"/>
  <c r="T804"/>
  <c r="T803"/>
  <c r="T802"/>
  <c r="T801"/>
  <c r="T800"/>
  <c r="T799"/>
  <c r="T798"/>
  <c r="T797"/>
  <c r="T796"/>
  <c r="T795"/>
  <c r="T794"/>
  <c r="T793"/>
  <c r="T792"/>
  <c r="T791"/>
  <c r="T790"/>
  <c r="T789"/>
  <c r="T788"/>
  <c r="T787"/>
  <c r="T786"/>
  <c r="T785"/>
  <c r="T784"/>
  <c r="T783"/>
  <c r="T782"/>
  <c r="T781"/>
  <c r="T780"/>
  <c r="T779"/>
  <c r="T778"/>
  <c r="T777"/>
  <c r="T776"/>
  <c r="T775"/>
  <c r="T774"/>
  <c r="T773"/>
  <c r="T772"/>
  <c r="T771"/>
  <c r="T770"/>
  <c r="T769"/>
  <c r="T768"/>
  <c r="T767"/>
  <c r="T766"/>
  <c r="T765"/>
  <c r="T764"/>
  <c r="T763"/>
  <c r="T762"/>
  <c r="T761"/>
  <c r="T760"/>
  <c r="T759"/>
  <c r="T758"/>
  <c r="T757"/>
  <c r="T756"/>
  <c r="T755"/>
  <c r="T754"/>
  <c r="T753"/>
  <c r="T752"/>
  <c r="T751"/>
  <c r="T750"/>
  <c r="T749"/>
  <c r="T748"/>
  <c r="T747"/>
  <c r="T746"/>
  <c r="T745"/>
  <c r="T744"/>
  <c r="T743"/>
  <c r="T742"/>
  <c r="T741"/>
  <c r="T740"/>
  <c r="T739"/>
  <c r="T738"/>
  <c r="T737"/>
  <c r="T736"/>
  <c r="T735"/>
  <c r="T734"/>
  <c r="T733"/>
  <c r="T732"/>
  <c r="T731"/>
  <c r="T730"/>
  <c r="T729"/>
  <c r="T728"/>
  <c r="T727"/>
  <c r="T726"/>
  <c r="T725"/>
  <c r="T724"/>
  <c r="T723"/>
  <c r="T722"/>
  <c r="T721"/>
  <c r="T720"/>
  <c r="T719"/>
  <c r="T718"/>
  <c r="T717"/>
  <c r="T716"/>
  <c r="T715"/>
  <c r="T714"/>
  <c r="T713"/>
  <c r="T712"/>
  <c r="T711"/>
  <c r="T710"/>
  <c r="T709"/>
  <c r="T708"/>
  <c r="T707"/>
  <c r="T706"/>
  <c r="T705"/>
  <c r="T704"/>
  <c r="T703"/>
  <c r="T702"/>
  <c r="T701"/>
  <c r="T700"/>
  <c r="T699"/>
  <c r="T698"/>
  <c r="T697"/>
  <c r="T696"/>
  <c r="T695"/>
  <c r="T694"/>
  <c r="T693"/>
  <c r="T692"/>
  <c r="T691"/>
  <c r="T690"/>
  <c r="T689"/>
  <c r="T688"/>
  <c r="T687"/>
  <c r="T686"/>
  <c r="T685"/>
  <c r="T684"/>
  <c r="T683"/>
  <c r="T682"/>
  <c r="T681"/>
  <c r="T680"/>
  <c r="T679"/>
  <c r="T678"/>
  <c r="T677"/>
  <c r="T676"/>
  <c r="T675"/>
  <c r="T674"/>
  <c r="T673"/>
  <c r="T672"/>
  <c r="T671"/>
  <c r="T670"/>
  <c r="T669"/>
  <c r="T668"/>
  <c r="T667"/>
  <c r="T666"/>
  <c r="T665"/>
  <c r="T664"/>
  <c r="T663"/>
  <c r="T662"/>
  <c r="T661"/>
  <c r="T660"/>
  <c r="T659"/>
  <c r="T658"/>
  <c r="T657"/>
  <c r="T656"/>
  <c r="T655"/>
  <c r="T654"/>
  <c r="T653"/>
  <c r="T652"/>
  <c r="T651"/>
  <c r="T650"/>
  <c r="T649"/>
  <c r="T648"/>
  <c r="T647"/>
  <c r="T646"/>
  <c r="T645"/>
  <c r="T644"/>
  <c r="T643"/>
  <c r="T642"/>
  <c r="T641"/>
  <c r="T640"/>
  <c r="T639"/>
  <c r="T638"/>
  <c r="T637"/>
  <c r="T636"/>
  <c r="T635"/>
  <c r="T634"/>
  <c r="T633"/>
  <c r="T632"/>
  <c r="T631"/>
  <c r="T630"/>
  <c r="T629"/>
  <c r="T628"/>
  <c r="T627"/>
  <c r="T626"/>
  <c r="T625"/>
  <c r="T624"/>
  <c r="T623"/>
  <c r="T622"/>
  <c r="T621"/>
  <c r="T620"/>
  <c r="T619"/>
  <c r="T618"/>
  <c r="T617"/>
  <c r="T616"/>
  <c r="T615"/>
  <c r="T614"/>
  <c r="T613"/>
  <c r="T612"/>
  <c r="T611"/>
  <c r="T610"/>
  <c r="T609"/>
  <c r="T608"/>
  <c r="T607"/>
  <c r="T606"/>
  <c r="T605"/>
  <c r="T604"/>
  <c r="T603"/>
  <c r="T602"/>
  <c r="T601"/>
  <c r="T600"/>
  <c r="T599"/>
  <c r="T598"/>
  <c r="T597"/>
  <c r="T596"/>
  <c r="T595"/>
  <c r="T594"/>
  <c r="T593"/>
  <c r="T592"/>
  <c r="T591"/>
  <c r="T590"/>
  <c r="T589"/>
  <c r="T588"/>
  <c r="T587"/>
  <c r="T586"/>
  <c r="T585"/>
  <c r="T584"/>
  <c r="T583"/>
  <c r="T582"/>
  <c r="T581"/>
  <c r="T580"/>
  <c r="T579"/>
  <c r="T578"/>
  <c r="T577"/>
  <c r="T576"/>
  <c r="T575"/>
  <c r="T574"/>
  <c r="T573"/>
  <c r="T572"/>
  <c r="T571"/>
  <c r="T570"/>
  <c r="T569"/>
  <c r="T568"/>
  <c r="T567"/>
  <c r="T566"/>
  <c r="T565"/>
  <c r="T564"/>
  <c r="T563"/>
  <c r="T562"/>
  <c r="T561"/>
  <c r="T560"/>
  <c r="T559"/>
  <c r="T558"/>
  <c r="T557"/>
  <c r="T556"/>
  <c r="T555"/>
  <c r="T554"/>
  <c r="T553"/>
  <c r="T552"/>
  <c r="T551"/>
  <c r="T550"/>
  <c r="T549"/>
  <c r="T548"/>
  <c r="T547"/>
  <c r="T546"/>
  <c r="T545"/>
  <c r="T544"/>
  <c r="T543"/>
  <c r="T542"/>
  <c r="T541"/>
  <c r="T540"/>
  <c r="T539"/>
  <c r="T538"/>
  <c r="T537"/>
  <c r="T536"/>
  <c r="T535"/>
  <c r="T534"/>
  <c r="T533"/>
  <c r="T532"/>
  <c r="T531"/>
  <c r="T530"/>
  <c r="T529"/>
  <c r="T528"/>
  <c r="T527"/>
  <c r="T526"/>
  <c r="T525"/>
  <c r="T524"/>
  <c r="T523"/>
  <c r="T522"/>
  <c r="T521"/>
  <c r="T520"/>
  <c r="T519"/>
  <c r="T518"/>
  <c r="T517"/>
  <c r="K1015"/>
  <c r="K1014"/>
  <c r="K1013"/>
  <c r="K1012"/>
  <c r="K1011"/>
  <c r="K1010"/>
  <c r="K1009"/>
  <c r="K1008"/>
  <c r="K1007"/>
  <c r="K1006"/>
  <c r="K1005"/>
  <c r="K1004"/>
  <c r="K1003"/>
  <c r="K1002"/>
  <c r="K1001"/>
  <c r="K1000"/>
  <c r="K999"/>
  <c r="K998"/>
  <c r="K997"/>
  <c r="K996"/>
  <c r="K995"/>
  <c r="K994"/>
  <c r="K993"/>
  <c r="K992"/>
  <c r="K991"/>
  <c r="K990"/>
  <c r="K989"/>
  <c r="K988"/>
  <c r="K987"/>
  <c r="K986"/>
  <c r="K985"/>
  <c r="K984"/>
  <c r="K983"/>
  <c r="K982"/>
  <c r="K981"/>
  <c r="K980"/>
  <c r="K979"/>
  <c r="K978"/>
  <c r="K977"/>
  <c r="K976"/>
  <c r="K975"/>
  <c r="K974"/>
  <c r="K973"/>
  <c r="K972"/>
  <c r="K971"/>
  <c r="K970"/>
  <c r="K969"/>
  <c r="K968"/>
  <c r="K967"/>
  <c r="K966"/>
  <c r="K965"/>
  <c r="K964"/>
  <c r="K963"/>
  <c r="K962"/>
  <c r="K961"/>
  <c r="K960"/>
  <c r="K959"/>
  <c r="K958"/>
  <c r="K957"/>
  <c r="K956"/>
  <c r="K955"/>
  <c r="K954"/>
  <c r="K953"/>
  <c r="K952"/>
  <c r="K951"/>
  <c r="K950"/>
  <c r="K949"/>
  <c r="K948"/>
  <c r="K947"/>
  <c r="K946"/>
  <c r="K945"/>
  <c r="K944"/>
  <c r="K943"/>
  <c r="K942"/>
  <c r="K941"/>
  <c r="K940"/>
  <c r="K939"/>
  <c r="K938"/>
  <c r="K937"/>
  <c r="K936"/>
  <c r="K935"/>
  <c r="K934"/>
  <c r="K933"/>
  <c r="K932"/>
  <c r="K931"/>
  <c r="K930"/>
  <c r="K929"/>
  <c r="K928"/>
  <c r="K927"/>
  <c r="K926"/>
  <c r="K925"/>
  <c r="K924"/>
  <c r="K923"/>
  <c r="K922"/>
  <c r="K921"/>
  <c r="K920"/>
  <c r="K919"/>
  <c r="K918"/>
  <c r="K917"/>
  <c r="K916"/>
  <c r="K915"/>
  <c r="K914"/>
  <c r="K913"/>
  <c r="K912"/>
  <c r="K911"/>
  <c r="K910"/>
  <c r="K909"/>
  <c r="K908"/>
  <c r="K907"/>
  <c r="K906"/>
  <c r="K905"/>
  <c r="K904"/>
  <c r="K903"/>
  <c r="K902"/>
  <c r="K901"/>
  <c r="K900"/>
  <c r="K899"/>
  <c r="K898"/>
  <c r="K897"/>
  <c r="K896"/>
  <c r="K895"/>
  <c r="K894"/>
  <c r="K893"/>
  <c r="K892"/>
  <c r="K891"/>
  <c r="K890"/>
  <c r="K889"/>
  <c r="K888"/>
  <c r="K887"/>
  <c r="K886"/>
  <c r="K885"/>
  <c r="K884"/>
  <c r="K883"/>
  <c r="K882"/>
  <c r="K881"/>
  <c r="K880"/>
  <c r="K879"/>
  <c r="K878"/>
  <c r="K877"/>
  <c r="K876"/>
  <c r="K875"/>
  <c r="K874"/>
  <c r="K873"/>
  <c r="K872"/>
  <c r="K871"/>
  <c r="K870"/>
  <c r="K869"/>
  <c r="K868"/>
  <c r="K867"/>
  <c r="K866"/>
  <c r="K865"/>
  <c r="K864"/>
  <c r="K863"/>
  <c r="K862"/>
  <c r="K861"/>
  <c r="K860"/>
  <c r="K859"/>
  <c r="K858"/>
  <c r="K857"/>
  <c r="K856"/>
  <c r="K855"/>
  <c r="K854"/>
  <c r="K853"/>
  <c r="K852"/>
  <c r="K851"/>
  <c r="K850"/>
  <c r="K849"/>
  <c r="K848"/>
  <c r="K847"/>
  <c r="K846"/>
  <c r="K845"/>
  <c r="K844"/>
  <c r="K843"/>
  <c r="K842"/>
  <c r="K841"/>
  <c r="K840"/>
  <c r="K839"/>
  <c r="K838"/>
  <c r="K837"/>
  <c r="K836"/>
  <c r="K835"/>
  <c r="K834"/>
  <c r="K833"/>
  <c r="K832"/>
  <c r="K831"/>
  <c r="K830"/>
  <c r="K829"/>
  <c r="K828"/>
  <c r="K827"/>
  <c r="K826"/>
  <c r="K825"/>
  <c r="K824"/>
  <c r="K823"/>
  <c r="K822"/>
  <c r="K821"/>
  <c r="K820"/>
  <c r="K819"/>
  <c r="K818"/>
  <c r="K817"/>
  <c r="K816"/>
  <c r="K815"/>
  <c r="K814"/>
  <c r="K813"/>
  <c r="K812"/>
  <c r="K811"/>
  <c r="K810"/>
  <c r="K809"/>
  <c r="K808"/>
  <c r="K807"/>
  <c r="K806"/>
  <c r="K805"/>
  <c r="K804"/>
  <c r="K803"/>
  <c r="K802"/>
  <c r="K801"/>
  <c r="K800"/>
  <c r="K799"/>
  <c r="K798"/>
  <c r="K797"/>
  <c r="K796"/>
  <c r="K795"/>
  <c r="K794"/>
  <c r="K793"/>
  <c r="K792"/>
  <c r="K791"/>
  <c r="K790"/>
  <c r="K789"/>
  <c r="K788"/>
  <c r="K787"/>
  <c r="K786"/>
  <c r="K785"/>
  <c r="K784"/>
  <c r="K783"/>
  <c r="K782"/>
  <c r="K781"/>
  <c r="K780"/>
  <c r="K779"/>
  <c r="K778"/>
  <c r="K777"/>
  <c r="K776"/>
  <c r="K775"/>
  <c r="K774"/>
  <c r="K773"/>
  <c r="K772"/>
  <c r="K771"/>
  <c r="K770"/>
  <c r="K769"/>
  <c r="K768"/>
  <c r="K767"/>
  <c r="K766"/>
  <c r="K765"/>
  <c r="K764"/>
  <c r="K763"/>
  <c r="K762"/>
  <c r="K761"/>
  <c r="K760"/>
  <c r="K759"/>
  <c r="K758"/>
  <c r="K757"/>
  <c r="K756"/>
  <c r="K755"/>
  <c r="K754"/>
  <c r="K753"/>
  <c r="K752"/>
  <c r="K751"/>
  <c r="K750"/>
  <c r="K749"/>
  <c r="K748"/>
  <c r="K747"/>
  <c r="K746"/>
  <c r="K745"/>
  <c r="K744"/>
  <c r="K743"/>
  <c r="K742"/>
  <c r="K741"/>
  <c r="K740"/>
  <c r="K739"/>
  <c r="K738"/>
  <c r="K737"/>
  <c r="K736"/>
  <c r="K735"/>
  <c r="K734"/>
  <c r="K733"/>
  <c r="K732"/>
  <c r="K731"/>
  <c r="K730"/>
  <c r="K729"/>
  <c r="K728"/>
  <c r="K727"/>
  <c r="K726"/>
  <c r="K725"/>
  <c r="K724"/>
  <c r="K723"/>
  <c r="K722"/>
  <c r="K721"/>
  <c r="K720"/>
  <c r="K719"/>
  <c r="K718"/>
  <c r="K717"/>
  <c r="K716"/>
  <c r="K715"/>
  <c r="K714"/>
  <c r="K713"/>
  <c r="K712"/>
  <c r="K711"/>
  <c r="K710"/>
  <c r="K709"/>
  <c r="K708"/>
  <c r="K707"/>
  <c r="K706"/>
  <c r="K705"/>
  <c r="K704"/>
  <c r="K703"/>
  <c r="K702"/>
  <c r="K701"/>
  <c r="K700"/>
  <c r="K699"/>
  <c r="K698"/>
  <c r="K697"/>
  <c r="K696"/>
  <c r="K695"/>
  <c r="K694"/>
  <c r="K693"/>
  <c r="K692"/>
  <c r="K691"/>
  <c r="K690"/>
  <c r="K689"/>
  <c r="K688"/>
  <c r="K687"/>
  <c r="K686"/>
  <c r="K685"/>
  <c r="K684"/>
  <c r="K683"/>
  <c r="K682"/>
  <c r="K681"/>
  <c r="K680"/>
  <c r="K679"/>
  <c r="K678"/>
  <c r="K677"/>
  <c r="K676"/>
  <c r="K675"/>
  <c r="K674"/>
  <c r="K673"/>
  <c r="K672"/>
  <c r="K671"/>
  <c r="K670"/>
  <c r="K669"/>
  <c r="K668"/>
  <c r="K667"/>
  <c r="K666"/>
  <c r="K665"/>
  <c r="K664"/>
  <c r="K663"/>
  <c r="K662"/>
  <c r="K661"/>
  <c r="K660"/>
  <c r="K659"/>
  <c r="K658"/>
  <c r="K657"/>
  <c r="K656"/>
  <c r="K655"/>
  <c r="K654"/>
  <c r="K653"/>
  <c r="K652"/>
  <c r="K651"/>
  <c r="K650"/>
  <c r="K649"/>
  <c r="K648"/>
  <c r="K647"/>
  <c r="K646"/>
  <c r="K645"/>
  <c r="K644"/>
  <c r="K643"/>
  <c r="K642"/>
  <c r="K641"/>
  <c r="K640"/>
  <c r="K639"/>
  <c r="K638"/>
  <c r="K637"/>
  <c r="K636"/>
  <c r="K635"/>
  <c r="K634"/>
  <c r="K633"/>
  <c r="K632"/>
  <c r="K631"/>
  <c r="K630"/>
  <c r="K629"/>
  <c r="K628"/>
  <c r="K627"/>
  <c r="K626"/>
  <c r="K625"/>
  <c r="K624"/>
  <c r="K623"/>
  <c r="K622"/>
  <c r="K621"/>
  <c r="K620"/>
  <c r="K619"/>
  <c r="K618"/>
  <c r="K617"/>
  <c r="K616"/>
  <c r="K615"/>
  <c r="K614"/>
  <c r="K613"/>
  <c r="K612"/>
  <c r="K611"/>
  <c r="K610"/>
  <c r="K609"/>
  <c r="K608"/>
  <c r="K607"/>
  <c r="K606"/>
  <c r="K605"/>
  <c r="K604"/>
  <c r="K603"/>
  <c r="K602"/>
  <c r="K601"/>
  <c r="K600"/>
  <c r="K599"/>
  <c r="K598"/>
  <c r="K597"/>
  <c r="K596"/>
  <c r="K595"/>
  <c r="K594"/>
  <c r="K593"/>
  <c r="K592"/>
  <c r="K591"/>
  <c r="K590"/>
  <c r="K589"/>
  <c r="K588"/>
  <c r="K587"/>
  <c r="K586"/>
  <c r="K585"/>
  <c r="K584"/>
  <c r="K583"/>
  <c r="K582"/>
  <c r="K581"/>
  <c r="K580"/>
  <c r="K579"/>
  <c r="K578"/>
  <c r="K577"/>
  <c r="K576"/>
  <c r="K575"/>
  <c r="K574"/>
  <c r="K573"/>
  <c r="K572"/>
  <c r="K571"/>
  <c r="K570"/>
  <c r="K569"/>
  <c r="K568"/>
  <c r="K567"/>
  <c r="K566"/>
  <c r="K565"/>
  <c r="K564"/>
  <c r="K563"/>
  <c r="K562"/>
  <c r="K561"/>
  <c r="K560"/>
  <c r="K559"/>
  <c r="K558"/>
  <c r="K557"/>
  <c r="K556"/>
  <c r="K555"/>
  <c r="K554"/>
  <c r="K553"/>
  <c r="K552"/>
  <c r="K551"/>
  <c r="K550"/>
  <c r="K549"/>
  <c r="K548"/>
  <c r="K547"/>
  <c r="K546"/>
  <c r="K545"/>
  <c r="K544"/>
  <c r="K543"/>
  <c r="K542"/>
  <c r="K541"/>
  <c r="K540"/>
  <c r="K539"/>
  <c r="K538"/>
  <c r="K537"/>
  <c r="K536"/>
  <c r="K535"/>
  <c r="K534"/>
  <c r="K533"/>
  <c r="K532"/>
  <c r="K531"/>
  <c r="K530"/>
  <c r="K529"/>
  <c r="K528"/>
  <c r="K527"/>
  <c r="K526"/>
  <c r="K525"/>
  <c r="K524"/>
  <c r="K523"/>
  <c r="K522"/>
  <c r="K521"/>
  <c r="K520"/>
  <c r="K519"/>
  <c r="K518"/>
  <c r="K517"/>
  <c r="D19" i="2"/>
  <c r="J1" l="1"/>
  <c r="AZ514" l="1"/>
  <c r="AY514"/>
  <c r="AX514"/>
  <c r="AZ513"/>
  <c r="AY513"/>
  <c r="AX513"/>
  <c r="AZ512"/>
  <c r="AY512"/>
  <c r="AX512"/>
  <c r="AZ511"/>
  <c r="AY511"/>
  <c r="AX511"/>
  <c r="AZ510"/>
  <c r="AY510"/>
  <c r="AX510"/>
  <c r="AZ509"/>
  <c r="AY509"/>
  <c r="AX509"/>
  <c r="AZ508"/>
  <c r="AY508"/>
  <c r="AX508"/>
  <c r="AZ507"/>
  <c r="AY507"/>
  <c r="AX507"/>
  <c r="AZ506"/>
  <c r="AY506"/>
  <c r="AX506"/>
  <c r="AZ505"/>
  <c r="AY505"/>
  <c r="AX505"/>
  <c r="AZ504"/>
  <c r="AY504"/>
  <c r="AX504"/>
  <c r="AZ503"/>
  <c r="AY503"/>
  <c r="AX503"/>
  <c r="AZ502"/>
  <c r="AY502"/>
  <c r="AX502"/>
  <c r="AZ501"/>
  <c r="AY501"/>
  <c r="AX501"/>
  <c r="AZ500"/>
  <c r="AY500"/>
  <c r="AX500"/>
  <c r="AZ499"/>
  <c r="AY499"/>
  <c r="AX499"/>
  <c r="AZ498"/>
  <c r="AY498"/>
  <c r="AX498"/>
  <c r="AZ497"/>
  <c r="AY497"/>
  <c r="AX497"/>
  <c r="AZ496"/>
  <c r="AY496"/>
  <c r="AX496"/>
  <c r="AZ495"/>
  <c r="AY495"/>
  <c r="AX495"/>
  <c r="AZ494"/>
  <c r="AY494"/>
  <c r="AX494"/>
  <c r="AZ493"/>
  <c r="AY493"/>
  <c r="AX493"/>
  <c r="AZ492"/>
  <c r="AY492"/>
  <c r="AX492"/>
  <c r="AZ491"/>
  <c r="AY491"/>
  <c r="AX491"/>
  <c r="AZ490"/>
  <c r="AY490"/>
  <c r="AX490"/>
  <c r="AZ489"/>
  <c r="AY489"/>
  <c r="AX489"/>
  <c r="AZ488"/>
  <c r="AY488"/>
  <c r="AX488"/>
  <c r="AZ487"/>
  <c r="AY487"/>
  <c r="AX487"/>
  <c r="AZ486"/>
  <c r="AY486"/>
  <c r="AX486"/>
  <c r="AZ485"/>
  <c r="AY485"/>
  <c r="AX485"/>
  <c r="AZ484"/>
  <c r="AY484"/>
  <c r="AX484"/>
  <c r="AZ483"/>
  <c r="AY483"/>
  <c r="AX483"/>
  <c r="AZ482"/>
  <c r="AY482"/>
  <c r="AX482"/>
  <c r="AZ481"/>
  <c r="AY481"/>
  <c r="AX481"/>
  <c r="AZ480"/>
  <c r="AY480"/>
  <c r="AX480"/>
  <c r="AZ479"/>
  <c r="AY479"/>
  <c r="AX479"/>
  <c r="AZ478"/>
  <c r="AY478"/>
  <c r="AX478"/>
  <c r="AZ477"/>
  <c r="AY477"/>
  <c r="AX477"/>
  <c r="AZ476"/>
  <c r="AY476"/>
  <c r="AX476"/>
  <c r="AZ475"/>
  <c r="AY475"/>
  <c r="AX475"/>
  <c r="AZ474"/>
  <c r="AY474"/>
  <c r="AX474"/>
  <c r="AZ473"/>
  <c r="AY473"/>
  <c r="AX473"/>
  <c r="AZ472"/>
  <c r="AY472"/>
  <c r="AX472"/>
  <c r="AZ471"/>
  <c r="AY471"/>
  <c r="AX471"/>
  <c r="AZ470"/>
  <c r="AY470"/>
  <c r="AX470"/>
  <c r="AZ469"/>
  <c r="AY469"/>
  <c r="AX469"/>
  <c r="AZ468"/>
  <c r="AY468"/>
  <c r="AX468"/>
  <c r="AZ467"/>
  <c r="AY467"/>
  <c r="AX467"/>
  <c r="AZ466"/>
  <c r="AY466"/>
  <c r="AX466"/>
  <c r="AZ465"/>
  <c r="AY465"/>
  <c r="AX465"/>
  <c r="AZ464"/>
  <c r="AY464"/>
  <c r="AX464"/>
  <c r="AZ463"/>
  <c r="AY463"/>
  <c r="AX463"/>
  <c r="AZ462"/>
  <c r="AY462"/>
  <c r="AX462"/>
  <c r="AZ461"/>
  <c r="AY461"/>
  <c r="AX461"/>
  <c r="AZ460"/>
  <c r="AY460"/>
  <c r="AX460"/>
  <c r="AZ459"/>
  <c r="AY459"/>
  <c r="AX459"/>
  <c r="AZ458"/>
  <c r="AY458"/>
  <c r="AX458"/>
  <c r="AZ457"/>
  <c r="AY457"/>
  <c r="AX457"/>
  <c r="AZ456"/>
  <c r="AY456"/>
  <c r="AX456"/>
  <c r="AZ455"/>
  <c r="AY455"/>
  <c r="AX455"/>
  <c r="AZ454"/>
  <c r="AY454"/>
  <c r="AX454"/>
  <c r="AZ453"/>
  <c r="AY453"/>
  <c r="AX453"/>
  <c r="AZ452"/>
  <c r="AY452"/>
  <c r="AX452"/>
  <c r="AZ451"/>
  <c r="AY451"/>
  <c r="AX451"/>
  <c r="AZ450"/>
  <c r="AY450"/>
  <c r="AX450"/>
  <c r="AZ449"/>
  <c r="AY449"/>
  <c r="AX449"/>
  <c r="AZ448"/>
  <c r="AY448"/>
  <c r="AX448"/>
  <c r="AZ447"/>
  <c r="AY447"/>
  <c r="AX447"/>
  <c r="AZ446"/>
  <c r="AY446"/>
  <c r="AX446"/>
  <c r="AZ445"/>
  <c r="AY445"/>
  <c r="AX445"/>
  <c r="AZ444"/>
  <c r="AY444"/>
  <c r="AX444"/>
  <c r="AZ443"/>
  <c r="AY443"/>
  <c r="AX443"/>
  <c r="AZ442"/>
  <c r="AY442"/>
  <c r="AX442"/>
  <c r="AZ441"/>
  <c r="AY441"/>
  <c r="AX441"/>
  <c r="AZ440"/>
  <c r="AY440"/>
  <c r="AX440"/>
  <c r="AZ439"/>
  <c r="AY439"/>
  <c r="AX439"/>
  <c r="AZ438"/>
  <c r="AY438"/>
  <c r="AX438"/>
  <c r="AZ437"/>
  <c r="AY437"/>
  <c r="AX437"/>
  <c r="AZ436"/>
  <c r="AY436"/>
  <c r="AX436"/>
  <c r="AZ435"/>
  <c r="AY435"/>
  <c r="AX435"/>
  <c r="AZ434"/>
  <c r="AY434"/>
  <c r="AX434"/>
  <c r="AZ433"/>
  <c r="AY433"/>
  <c r="AX433"/>
  <c r="AZ432"/>
  <c r="AY432"/>
  <c r="AX432"/>
  <c r="AZ431"/>
  <c r="AY431"/>
  <c r="AX431"/>
  <c r="AZ430"/>
  <c r="AY430"/>
  <c r="AX430"/>
  <c r="AZ429"/>
  <c r="AY429"/>
  <c r="AX429"/>
  <c r="AZ428"/>
  <c r="AY428"/>
  <c r="AX428"/>
  <c r="AZ427"/>
  <c r="AY427"/>
  <c r="AX427"/>
  <c r="AZ426"/>
  <c r="AY426"/>
  <c r="AX426"/>
  <c r="AZ425"/>
  <c r="AY425"/>
  <c r="AX425"/>
  <c r="AZ424"/>
  <c r="AY424"/>
  <c r="AX424"/>
  <c r="AZ423"/>
  <c r="AY423"/>
  <c r="AX423"/>
  <c r="AZ422"/>
  <c r="AY422"/>
  <c r="AX422"/>
  <c r="AZ421"/>
  <c r="AY421"/>
  <c r="AX421"/>
  <c r="AZ420"/>
  <c r="AY420"/>
  <c r="AX420"/>
  <c r="AZ419"/>
  <c r="AY419"/>
  <c r="AX419"/>
  <c r="AZ418"/>
  <c r="AY418"/>
  <c r="AX418"/>
  <c r="AZ417"/>
  <c r="AY417"/>
  <c r="AX417"/>
  <c r="AZ416"/>
  <c r="AY416"/>
  <c r="AX416"/>
  <c r="AZ415"/>
  <c r="AY415"/>
  <c r="AX415"/>
  <c r="AZ414"/>
  <c r="AY414"/>
  <c r="AX414"/>
  <c r="AZ413"/>
  <c r="AY413"/>
  <c r="AX413"/>
  <c r="AZ412"/>
  <c r="AY412"/>
  <c r="AX412"/>
  <c r="AZ411"/>
  <c r="AY411"/>
  <c r="AX411"/>
  <c r="AZ410"/>
  <c r="AY410"/>
  <c r="AX410"/>
  <c r="AZ409"/>
  <c r="AY409"/>
  <c r="AX409"/>
  <c r="AZ408"/>
  <c r="AY408"/>
  <c r="AX408"/>
  <c r="AZ407"/>
  <c r="AY407"/>
  <c r="AX407"/>
  <c r="AZ406"/>
  <c r="AY406"/>
  <c r="AX406"/>
  <c r="AZ405"/>
  <c r="AY405"/>
  <c r="AX405"/>
  <c r="AZ404"/>
  <c r="AY404"/>
  <c r="AX404"/>
  <c r="AZ403"/>
  <c r="AY403"/>
  <c r="AX403"/>
  <c r="AZ402"/>
  <c r="AY402"/>
  <c r="AX402"/>
  <c r="AZ401"/>
  <c r="AY401"/>
  <c r="AX401"/>
  <c r="AZ400"/>
  <c r="AY400"/>
  <c r="AX400"/>
  <c r="AZ399"/>
  <c r="AY399"/>
  <c r="AX399"/>
  <c r="AZ398"/>
  <c r="AY398"/>
  <c r="AX398"/>
  <c r="AZ397"/>
  <c r="AY397"/>
  <c r="AX397"/>
  <c r="AZ396"/>
  <c r="AY396"/>
  <c r="AX396"/>
  <c r="AZ395"/>
  <c r="AY395"/>
  <c r="AX395"/>
  <c r="AZ394"/>
  <c r="AY394"/>
  <c r="AX394"/>
  <c r="AZ393"/>
  <c r="AY393"/>
  <c r="AX393"/>
  <c r="AZ392"/>
  <c r="AY392"/>
  <c r="AX392"/>
  <c r="AZ391"/>
  <c r="AY391"/>
  <c r="AX391"/>
  <c r="AZ390"/>
  <c r="AY390"/>
  <c r="AX390"/>
  <c r="AZ389"/>
  <c r="AY389"/>
  <c r="AX389"/>
  <c r="AZ388"/>
  <c r="AY388"/>
  <c r="AX388"/>
  <c r="AZ387"/>
  <c r="AY387"/>
  <c r="AX387"/>
  <c r="AZ386"/>
  <c r="AY386"/>
  <c r="AX386"/>
  <c r="AZ385"/>
  <c r="AY385"/>
  <c r="AX385"/>
  <c r="AZ384"/>
  <c r="AY384"/>
  <c r="AX384"/>
  <c r="AZ383"/>
  <c r="AY383"/>
  <c r="AX383"/>
  <c r="AZ382"/>
  <c r="AY382"/>
  <c r="AX382"/>
  <c r="AZ381"/>
  <c r="AY381"/>
  <c r="AX381"/>
  <c r="AZ380"/>
  <c r="AY380"/>
  <c r="AX380"/>
  <c r="AZ379"/>
  <c r="AY379"/>
  <c r="AX379"/>
  <c r="AZ378"/>
  <c r="AY378"/>
  <c r="AX378"/>
  <c r="AZ377"/>
  <c r="AY377"/>
  <c r="AX377"/>
  <c r="AZ376"/>
  <c r="AY376"/>
  <c r="AX376"/>
  <c r="AZ375"/>
  <c r="AY375"/>
  <c r="AX375"/>
  <c r="AZ374"/>
  <c r="AY374"/>
  <c r="AX374"/>
  <c r="AZ373"/>
  <c r="AY373"/>
  <c r="AX373"/>
  <c r="AZ372"/>
  <c r="AY372"/>
  <c r="AX372"/>
  <c r="AZ371"/>
  <c r="AY371"/>
  <c r="AX371"/>
  <c r="AZ370"/>
  <c r="AY370"/>
  <c r="AX370"/>
  <c r="AZ369"/>
  <c r="AY369"/>
  <c r="AX369"/>
  <c r="AZ368"/>
  <c r="AY368"/>
  <c r="AX368"/>
  <c r="AZ367"/>
  <c r="AY367"/>
  <c r="AX367"/>
  <c r="AZ366"/>
  <c r="AY366"/>
  <c r="AX366"/>
  <c r="AZ365"/>
  <c r="AY365"/>
  <c r="AX365"/>
  <c r="AZ364"/>
  <c r="AY364"/>
  <c r="AX364"/>
  <c r="AZ363"/>
  <c r="AY363"/>
  <c r="AX363"/>
  <c r="AZ362"/>
  <c r="AY362"/>
  <c r="AX362"/>
  <c r="AZ361"/>
  <c r="AY361"/>
  <c r="AX361"/>
  <c r="AZ360"/>
  <c r="AY360"/>
  <c r="AX360"/>
  <c r="AZ359"/>
  <c r="AY359"/>
  <c r="AX359"/>
  <c r="AZ358"/>
  <c r="AY358"/>
  <c r="AX358"/>
  <c r="AZ357"/>
  <c r="AY357"/>
  <c r="AX357"/>
  <c r="AZ356"/>
  <c r="AY356"/>
  <c r="AX356"/>
  <c r="AZ355"/>
  <c r="AY355"/>
  <c r="AX355"/>
  <c r="AZ354"/>
  <c r="AY354"/>
  <c r="AX354"/>
  <c r="AZ353"/>
  <c r="AY353"/>
  <c r="AX353"/>
  <c r="AZ352"/>
  <c r="AY352"/>
  <c r="AX352"/>
  <c r="AZ351"/>
  <c r="AY351"/>
  <c r="AX351"/>
  <c r="AZ350"/>
  <c r="AY350"/>
  <c r="AX350"/>
  <c r="AZ349"/>
  <c r="AY349"/>
  <c r="AX349"/>
  <c r="AZ348"/>
  <c r="AY348"/>
  <c r="AX348"/>
  <c r="AZ347"/>
  <c r="AY347"/>
  <c r="AX347"/>
  <c r="AZ346"/>
  <c r="AY346"/>
  <c r="AX346"/>
  <c r="AZ345"/>
  <c r="AY345"/>
  <c r="AX345"/>
  <c r="AZ344"/>
  <c r="AY344"/>
  <c r="AX344"/>
  <c r="AZ343"/>
  <c r="AY343"/>
  <c r="AX343"/>
  <c r="AZ342"/>
  <c r="AY342"/>
  <c r="AX342"/>
  <c r="AZ341"/>
  <c r="AY341"/>
  <c r="AX341"/>
  <c r="AZ340"/>
  <c r="AY340"/>
  <c r="AX340"/>
  <c r="AZ339"/>
  <c r="AY339"/>
  <c r="AX339"/>
  <c r="AZ338"/>
  <c r="AY338"/>
  <c r="AX338"/>
  <c r="AZ337"/>
  <c r="AY337"/>
  <c r="AX337"/>
  <c r="AZ336"/>
  <c r="AY336"/>
  <c r="AX336"/>
  <c r="AZ335"/>
  <c r="AY335"/>
  <c r="AX335"/>
  <c r="AZ334"/>
  <c r="AY334"/>
  <c r="AX334"/>
  <c r="AZ333"/>
  <c r="AY333"/>
  <c r="AX333"/>
  <c r="AZ332"/>
  <c r="AY332"/>
  <c r="AX332"/>
  <c r="AZ331"/>
  <c r="AY331"/>
  <c r="AX331"/>
  <c r="AZ330"/>
  <c r="AY330"/>
  <c r="AX330"/>
  <c r="AZ329"/>
  <c r="AY329"/>
  <c r="AX329"/>
  <c r="AZ328"/>
  <c r="AY328"/>
  <c r="AX328"/>
  <c r="AZ327"/>
  <c r="AY327"/>
  <c r="AX327"/>
  <c r="AZ326"/>
  <c r="AY326"/>
  <c r="AX326"/>
  <c r="AZ325"/>
  <c r="AY325"/>
  <c r="AX325"/>
  <c r="AZ324"/>
  <c r="AY324"/>
  <c r="AX324"/>
  <c r="AZ323"/>
  <c r="AY323"/>
  <c r="AX323"/>
  <c r="AZ322"/>
  <c r="AY322"/>
  <c r="AX322"/>
  <c r="AZ321"/>
  <c r="AY321"/>
  <c r="AX321"/>
  <c r="AZ320"/>
  <c r="AY320"/>
  <c r="AX320"/>
  <c r="AZ319"/>
  <c r="AY319"/>
  <c r="AX319"/>
  <c r="AZ318"/>
  <c r="AY318"/>
  <c r="AX318"/>
  <c r="AZ317"/>
  <c r="AY317"/>
  <c r="AX317"/>
  <c r="AZ316"/>
  <c r="AY316"/>
  <c r="AX316"/>
  <c r="AZ315"/>
  <c r="AY315"/>
  <c r="AX315"/>
  <c r="AZ314"/>
  <c r="AY314"/>
  <c r="AX314"/>
  <c r="AZ313"/>
  <c r="AY313"/>
  <c r="AX313"/>
  <c r="AZ312"/>
  <c r="AY312"/>
  <c r="AX312"/>
  <c r="AZ311"/>
  <c r="AY311"/>
  <c r="AX311"/>
  <c r="AZ310"/>
  <c r="AY310"/>
  <c r="AX310"/>
  <c r="AZ309"/>
  <c r="AY309"/>
  <c r="AX309"/>
  <c r="AZ308"/>
  <c r="AY308"/>
  <c r="AX308"/>
  <c r="AZ307"/>
  <c r="AY307"/>
  <c r="AX307"/>
  <c r="AZ306"/>
  <c r="AY306"/>
  <c r="AX306"/>
  <c r="AZ305"/>
  <c r="AY305"/>
  <c r="AX305"/>
  <c r="AZ304"/>
  <c r="AY304"/>
  <c r="AX304"/>
  <c r="AZ303"/>
  <c r="AY303"/>
  <c r="AX303"/>
  <c r="AZ302"/>
  <c r="AY302"/>
  <c r="AX302"/>
  <c r="AZ301"/>
  <c r="AY301"/>
  <c r="AX301"/>
  <c r="AZ300"/>
  <c r="AY300"/>
  <c r="AX300"/>
  <c r="AZ299"/>
  <c r="AY299"/>
  <c r="AX299"/>
  <c r="AZ298"/>
  <c r="AY298"/>
  <c r="AX298"/>
  <c r="AZ297"/>
  <c r="AY297"/>
  <c r="AX297"/>
  <c r="AZ296"/>
  <c r="AY296"/>
  <c r="AX296"/>
  <c r="AZ295"/>
  <c r="AY295"/>
  <c r="AX295"/>
  <c r="AZ294"/>
  <c r="AY294"/>
  <c r="AX294"/>
  <c r="AZ293"/>
  <c r="AY293"/>
  <c r="AX293"/>
  <c r="AZ292"/>
  <c r="AY292"/>
  <c r="AX292"/>
  <c r="AZ291"/>
  <c r="AY291"/>
  <c r="AX291"/>
  <c r="AZ290"/>
  <c r="AY290"/>
  <c r="AX290"/>
  <c r="AZ289"/>
  <c r="AY289"/>
  <c r="AX289"/>
  <c r="AZ288"/>
  <c r="AY288"/>
  <c r="AX288"/>
  <c r="AZ287"/>
  <c r="AY287"/>
  <c r="AX287"/>
  <c r="AZ286"/>
  <c r="AY286"/>
  <c r="AX286"/>
  <c r="AZ285"/>
  <c r="AY285"/>
  <c r="AX285"/>
  <c r="AZ284"/>
  <c r="AY284"/>
  <c r="AX284"/>
  <c r="AZ283"/>
  <c r="AY283"/>
  <c r="AX283"/>
  <c r="AZ282"/>
  <c r="AY282"/>
  <c r="AX282"/>
  <c r="AZ281"/>
  <c r="AY281"/>
  <c r="AX281"/>
  <c r="AZ280"/>
  <c r="AY280"/>
  <c r="AX280"/>
  <c r="AZ279"/>
  <c r="AY279"/>
  <c r="AX279"/>
  <c r="AZ278"/>
  <c r="AY278"/>
  <c r="AX278"/>
  <c r="AZ277"/>
  <c r="AY277"/>
  <c r="AX277"/>
  <c r="AZ276"/>
  <c r="AY276"/>
  <c r="AX276"/>
  <c r="AZ275"/>
  <c r="AY275"/>
  <c r="AX275"/>
  <c r="AZ274"/>
  <c r="AY274"/>
  <c r="AX274"/>
  <c r="AZ273"/>
  <c r="AY273"/>
  <c r="AX273"/>
  <c r="AZ272"/>
  <c r="AY272"/>
  <c r="AX272"/>
  <c r="AZ271"/>
  <c r="AY271"/>
  <c r="AX271"/>
  <c r="AZ270"/>
  <c r="AY270"/>
  <c r="AX270"/>
  <c r="AZ269"/>
  <c r="AY269"/>
  <c r="AX269"/>
  <c r="AZ268"/>
  <c r="AY268"/>
  <c r="AX268"/>
  <c r="AZ267"/>
  <c r="AY267"/>
  <c r="AX267"/>
  <c r="AZ266"/>
  <c r="AY266"/>
  <c r="AX266"/>
  <c r="AZ265"/>
  <c r="AY265"/>
  <c r="AX265"/>
  <c r="AZ264"/>
  <c r="AY264"/>
  <c r="AX264"/>
  <c r="AZ263"/>
  <c r="AY263"/>
  <c r="AX263"/>
  <c r="AZ262"/>
  <c r="AY262"/>
  <c r="AX262"/>
  <c r="AZ261"/>
  <c r="AY261"/>
  <c r="AX261"/>
  <c r="AZ260"/>
  <c r="AY260"/>
  <c r="AX260"/>
  <c r="AZ259"/>
  <c r="AY259"/>
  <c r="AX259"/>
  <c r="AZ258"/>
  <c r="AY258"/>
  <c r="AX258"/>
  <c r="AZ257"/>
  <c r="AY257"/>
  <c r="AX257"/>
  <c r="AZ256"/>
  <c r="AY256"/>
  <c r="AX256"/>
  <c r="AZ255"/>
  <c r="AY255"/>
  <c r="AX255"/>
  <c r="AZ254"/>
  <c r="AY254"/>
  <c r="AX254"/>
  <c r="AZ253"/>
  <c r="AY253"/>
  <c r="AX253"/>
  <c r="AZ252"/>
  <c r="AY252"/>
  <c r="AX252"/>
  <c r="AZ251"/>
  <c r="AY251"/>
  <c r="AX251"/>
  <c r="AZ250"/>
  <c r="AY250"/>
  <c r="AX250"/>
  <c r="AZ249"/>
  <c r="AY249"/>
  <c r="AX249"/>
  <c r="AZ248"/>
  <c r="AY248"/>
  <c r="AX248"/>
  <c r="AZ247"/>
  <c r="AY247"/>
  <c r="AX247"/>
  <c r="AZ246"/>
  <c r="AY246"/>
  <c r="AX246"/>
  <c r="AZ245"/>
  <c r="AY245"/>
  <c r="AX245"/>
  <c r="AZ244"/>
  <c r="AY244"/>
  <c r="AX244"/>
  <c r="AZ243"/>
  <c r="AY243"/>
  <c r="AX243"/>
  <c r="AZ242"/>
  <c r="AY242"/>
  <c r="AX242"/>
  <c r="AZ241"/>
  <c r="AY241"/>
  <c r="AX241"/>
  <c r="AZ240"/>
  <c r="AY240"/>
  <c r="AX240"/>
  <c r="AZ239"/>
  <c r="AY239"/>
  <c r="AX239"/>
  <c r="AZ238"/>
  <c r="AY238"/>
  <c r="AX238"/>
  <c r="AZ237"/>
  <c r="AY237"/>
  <c r="AX237"/>
  <c r="AZ236"/>
  <c r="AY236"/>
  <c r="AX236"/>
  <c r="AZ235"/>
  <c r="AY235"/>
  <c r="AX235"/>
  <c r="AZ234"/>
  <c r="AY234"/>
  <c r="AX234"/>
  <c r="AZ233"/>
  <c r="AY233"/>
  <c r="AX233"/>
  <c r="AZ232"/>
  <c r="AY232"/>
  <c r="AX232"/>
  <c r="AZ231"/>
  <c r="AY231"/>
  <c r="AX231"/>
  <c r="AZ230"/>
  <c r="AY230"/>
  <c r="AX230"/>
  <c r="AZ229"/>
  <c r="AY229"/>
  <c r="AX229"/>
  <c r="AZ228"/>
  <c r="AY228"/>
  <c r="AX228"/>
  <c r="AZ227"/>
  <c r="AY227"/>
  <c r="AX227"/>
  <c r="AZ226"/>
  <c r="AY226"/>
  <c r="AX226"/>
  <c r="AZ225"/>
  <c r="AY225"/>
  <c r="AX225"/>
  <c r="AZ224"/>
  <c r="AY224"/>
  <c r="AX224"/>
  <c r="AZ223"/>
  <c r="AY223"/>
  <c r="AX223"/>
  <c r="AZ222"/>
  <c r="AY222"/>
  <c r="AX222"/>
  <c r="AZ221"/>
  <c r="AY221"/>
  <c r="AX221"/>
  <c r="AZ220"/>
  <c r="AY220"/>
  <c r="AX220"/>
  <c r="AZ219"/>
  <c r="AY219"/>
  <c r="AX219"/>
  <c r="AZ218"/>
  <c r="AY218"/>
  <c r="AX218"/>
  <c r="AZ217"/>
  <c r="AY217"/>
  <c r="AX217"/>
  <c r="AZ216"/>
  <c r="AY216"/>
  <c r="AX216"/>
  <c r="AZ215"/>
  <c r="AY215"/>
  <c r="AX215"/>
  <c r="AZ214"/>
  <c r="AY214"/>
  <c r="AX214"/>
  <c r="AZ213"/>
  <c r="AY213"/>
  <c r="AX213"/>
  <c r="AZ212"/>
  <c r="AY212"/>
  <c r="AX212"/>
  <c r="AZ211"/>
  <c r="AY211"/>
  <c r="AX211"/>
  <c r="AZ210"/>
  <c r="AY210"/>
  <c r="AX210"/>
  <c r="AZ209"/>
  <c r="AY209"/>
  <c r="AX209"/>
  <c r="AZ208"/>
  <c r="AY208"/>
  <c r="AX208"/>
  <c r="AZ207"/>
  <c r="AY207"/>
  <c r="AX207"/>
  <c r="AZ206"/>
  <c r="AY206"/>
  <c r="AX206"/>
  <c r="AZ205"/>
  <c r="AY205"/>
  <c r="AX205"/>
  <c r="AZ204"/>
  <c r="AY204"/>
  <c r="AX204"/>
  <c r="AZ203"/>
  <c r="AY203"/>
  <c r="AX203"/>
  <c r="AZ202"/>
  <c r="AY202"/>
  <c r="AX202"/>
  <c r="AZ201"/>
  <c r="AY201"/>
  <c r="AX201"/>
  <c r="AZ200"/>
  <c r="AY200"/>
  <c r="AX200"/>
  <c r="AZ199"/>
  <c r="AY199"/>
  <c r="AX199"/>
  <c r="AZ198"/>
  <c r="AY198"/>
  <c r="AX198"/>
  <c r="AZ197"/>
  <c r="AY197"/>
  <c r="AX197"/>
  <c r="AZ196"/>
  <c r="AY196"/>
  <c r="AX196"/>
  <c r="AZ195"/>
  <c r="AY195"/>
  <c r="AX195"/>
  <c r="AZ194"/>
  <c r="AY194"/>
  <c r="AX194"/>
  <c r="AZ193"/>
  <c r="AY193"/>
  <c r="AX193"/>
  <c r="AZ192"/>
  <c r="AY192"/>
  <c r="AX192"/>
  <c r="AZ191"/>
  <c r="AY191"/>
  <c r="AX191"/>
  <c r="AZ190"/>
  <c r="AY190"/>
  <c r="AX190"/>
  <c r="AZ189"/>
  <c r="AY189"/>
  <c r="AX189"/>
  <c r="AZ188"/>
  <c r="AY188"/>
  <c r="AX188"/>
  <c r="AZ187"/>
  <c r="AY187"/>
  <c r="AX187"/>
  <c r="AZ186"/>
  <c r="AY186"/>
  <c r="AX186"/>
  <c r="AZ185"/>
  <c r="AY185"/>
  <c r="AX185"/>
  <c r="AZ184"/>
  <c r="AY184"/>
  <c r="AX184"/>
  <c r="AZ183"/>
  <c r="AY183"/>
  <c r="AX183"/>
  <c r="AZ182"/>
  <c r="AY182"/>
  <c r="AX182"/>
  <c r="AZ181"/>
  <c r="AY181"/>
  <c r="AX181"/>
  <c r="AZ180"/>
  <c r="AY180"/>
  <c r="AX180"/>
  <c r="AZ179"/>
  <c r="AY179"/>
  <c r="AX179"/>
  <c r="AZ178"/>
  <c r="AY178"/>
  <c r="AX178"/>
  <c r="AZ177"/>
  <c r="AY177"/>
  <c r="AX177"/>
  <c r="AZ176"/>
  <c r="AY176"/>
  <c r="AX176"/>
  <c r="AZ175"/>
  <c r="AY175"/>
  <c r="AX175"/>
  <c r="AZ174"/>
  <c r="AY174"/>
  <c r="AX174"/>
  <c r="AZ173"/>
  <c r="AY173"/>
  <c r="AX173"/>
  <c r="AZ172"/>
  <c r="AY172"/>
  <c r="AX172"/>
  <c r="AZ171"/>
  <c r="AY171"/>
  <c r="AX171"/>
  <c r="AZ170"/>
  <c r="AY170"/>
  <c r="AX170"/>
  <c r="AZ169"/>
  <c r="AY169"/>
  <c r="AX169"/>
  <c r="AZ168"/>
  <c r="AY168"/>
  <c r="AX168"/>
  <c r="AZ167"/>
  <c r="AY167"/>
  <c r="AX167"/>
  <c r="AZ166"/>
  <c r="AY166"/>
  <c r="AX166"/>
  <c r="AZ165"/>
  <c r="AY165"/>
  <c r="AX165"/>
  <c r="AZ164"/>
  <c r="AY164"/>
  <c r="AX164"/>
  <c r="AZ163"/>
  <c r="AY163"/>
  <c r="AX163"/>
  <c r="AZ162"/>
  <c r="AY162"/>
  <c r="AX162"/>
  <c r="AZ161"/>
  <c r="AY161"/>
  <c r="AX161"/>
  <c r="AZ160"/>
  <c r="AY160"/>
  <c r="AX160"/>
  <c r="AZ159"/>
  <c r="AY159"/>
  <c r="AX159"/>
  <c r="AZ158"/>
  <c r="AY158"/>
  <c r="AX158"/>
  <c r="AZ157"/>
  <c r="AY157"/>
  <c r="AX157"/>
  <c r="AZ156"/>
  <c r="AY156"/>
  <c r="AX156"/>
  <c r="AZ155"/>
  <c r="AY155"/>
  <c r="AX155"/>
  <c r="AZ154"/>
  <c r="AY154"/>
  <c r="AX154"/>
  <c r="AZ153"/>
  <c r="AY153"/>
  <c r="AX153"/>
  <c r="AZ152"/>
  <c r="AY152"/>
  <c r="AX152"/>
  <c r="AZ151"/>
  <c r="AY151"/>
  <c r="AX151"/>
  <c r="AZ150"/>
  <c r="AY150"/>
  <c r="AX150"/>
  <c r="AZ149"/>
  <c r="AY149"/>
  <c r="AX149"/>
  <c r="AZ148"/>
  <c r="AY148"/>
  <c r="AX148"/>
  <c r="AZ147"/>
  <c r="AY147"/>
  <c r="AX147"/>
  <c r="AZ146"/>
  <c r="AY146"/>
  <c r="AX146"/>
  <c r="AZ145"/>
  <c r="AY145"/>
  <c r="AX145"/>
  <c r="AZ144"/>
  <c r="AY144"/>
  <c r="AX144"/>
  <c r="AZ143"/>
  <c r="AY143"/>
  <c r="AX143"/>
  <c r="AZ142"/>
  <c r="AY142"/>
  <c r="AX142"/>
  <c r="AZ141"/>
  <c r="AY141"/>
  <c r="AX141"/>
  <c r="AZ140"/>
  <c r="AY140"/>
  <c r="AX140"/>
  <c r="AZ139"/>
  <c r="AY139"/>
  <c r="AX139"/>
  <c r="AZ138"/>
  <c r="AY138"/>
  <c r="AX138"/>
  <c r="AZ137"/>
  <c r="AY137"/>
  <c r="AX137"/>
  <c r="AZ136"/>
  <c r="AY136"/>
  <c r="AX136"/>
  <c r="AZ135"/>
  <c r="AY135"/>
  <c r="AX135"/>
  <c r="AZ134"/>
  <c r="AY134"/>
  <c r="AX134"/>
  <c r="AZ133"/>
  <c r="AY133"/>
  <c r="AX133"/>
  <c r="AZ132"/>
  <c r="AY132"/>
  <c r="AX132"/>
  <c r="AZ131"/>
  <c r="AY131"/>
  <c r="AX131"/>
  <c r="AZ130"/>
  <c r="AY130"/>
  <c r="AX130"/>
  <c r="AZ129"/>
  <c r="AY129"/>
  <c r="AX129"/>
  <c r="AZ128"/>
  <c r="AY128"/>
  <c r="AX128"/>
  <c r="AZ127"/>
  <c r="AY127"/>
  <c r="AX127"/>
  <c r="AZ126"/>
  <c r="AY126"/>
  <c r="AX126"/>
  <c r="AZ125"/>
  <c r="AY125"/>
  <c r="AX125"/>
  <c r="AZ124"/>
  <c r="AY124"/>
  <c r="AX124"/>
  <c r="AZ123"/>
  <c r="AY123"/>
  <c r="AX123"/>
  <c r="AZ122"/>
  <c r="AY122"/>
  <c r="AX122"/>
  <c r="AZ121"/>
  <c r="AY121"/>
  <c r="AX121"/>
  <c r="AZ120"/>
  <c r="AY120"/>
  <c r="AX120"/>
  <c r="AZ119"/>
  <c r="AY119"/>
  <c r="AX119"/>
  <c r="AZ118"/>
  <c r="AY118"/>
  <c r="AX118"/>
  <c r="AZ117"/>
  <c r="AY117"/>
  <c r="AX117"/>
  <c r="AZ116"/>
  <c r="AY116"/>
  <c r="AX116"/>
  <c r="AZ115"/>
  <c r="AY115"/>
  <c r="AX115"/>
  <c r="AZ114"/>
  <c r="AY114"/>
  <c r="AX114"/>
  <c r="AZ113"/>
  <c r="AY113"/>
  <c r="AX113"/>
  <c r="AZ112"/>
  <c r="AY112"/>
  <c r="AX112"/>
  <c r="AZ111"/>
  <c r="AY111"/>
  <c r="AX111"/>
  <c r="AZ110"/>
  <c r="AY110"/>
  <c r="AX110"/>
  <c r="AZ109"/>
  <c r="AY109"/>
  <c r="AX109"/>
  <c r="AZ108"/>
  <c r="AY108"/>
  <c r="AX108"/>
  <c r="AZ107"/>
  <c r="AY107"/>
  <c r="AX107"/>
  <c r="AZ106"/>
  <c r="AY106"/>
  <c r="AX106"/>
  <c r="AZ105"/>
  <c r="AY105"/>
  <c r="AX105"/>
  <c r="AZ104"/>
  <c r="AY104"/>
  <c r="AX104"/>
  <c r="AZ103"/>
  <c r="AY103"/>
  <c r="AX103"/>
  <c r="AZ102"/>
  <c r="AY102"/>
  <c r="AX102"/>
  <c r="AZ101"/>
  <c r="AY101"/>
  <c r="AX101"/>
  <c r="AZ100"/>
  <c r="AY100"/>
  <c r="AX100"/>
  <c r="AZ99"/>
  <c r="AY99"/>
  <c r="AX99"/>
  <c r="AZ98"/>
  <c r="AY98"/>
  <c r="AX98"/>
  <c r="AZ97"/>
  <c r="AY97"/>
  <c r="AX97"/>
  <c r="AZ96"/>
  <c r="AY96"/>
  <c r="AX96"/>
  <c r="AZ95"/>
  <c r="AY95"/>
  <c r="AX95"/>
  <c r="AZ94"/>
  <c r="AY94"/>
  <c r="AX94"/>
  <c r="AZ93"/>
  <c r="AY93"/>
  <c r="AX93"/>
  <c r="AZ92"/>
  <c r="AY92"/>
  <c r="AX92"/>
  <c r="AZ91"/>
  <c r="AY91"/>
  <c r="AX91"/>
  <c r="AZ90"/>
  <c r="AY90"/>
  <c r="AX90"/>
  <c r="AZ89"/>
  <c r="AY89"/>
  <c r="AX89"/>
  <c r="AZ88"/>
  <c r="AY88"/>
  <c r="AX88"/>
  <c r="AZ87"/>
  <c r="AY87"/>
  <c r="AX87"/>
  <c r="AZ86"/>
  <c r="AY86"/>
  <c r="AX86"/>
  <c r="AZ85"/>
  <c r="AY85"/>
  <c r="AX85"/>
  <c r="AZ84"/>
  <c r="AY84"/>
  <c r="AX84"/>
  <c r="AZ83"/>
  <c r="AY83"/>
  <c r="AX83"/>
  <c r="AZ82"/>
  <c r="AY82"/>
  <c r="AX82"/>
  <c r="AZ81"/>
  <c r="AY81"/>
  <c r="AX81"/>
  <c r="AZ80"/>
  <c r="AY80"/>
  <c r="AX80"/>
  <c r="AZ79"/>
  <c r="AY79"/>
  <c r="AX79"/>
  <c r="AZ78"/>
  <c r="AY78"/>
  <c r="AX78"/>
  <c r="AZ77"/>
  <c r="AY77"/>
  <c r="AX77"/>
  <c r="AZ76"/>
  <c r="AY76"/>
  <c r="AX76"/>
  <c r="AZ75"/>
  <c r="AY75"/>
  <c r="AX75"/>
  <c r="AZ74"/>
  <c r="AY74"/>
  <c r="AX74"/>
  <c r="AZ73"/>
  <c r="AY73"/>
  <c r="AX73"/>
  <c r="AZ72"/>
  <c r="AY72"/>
  <c r="AX72"/>
  <c r="AZ71"/>
  <c r="AY71"/>
  <c r="AX71"/>
  <c r="AZ70"/>
  <c r="AY70"/>
  <c r="AX70"/>
  <c r="AZ69"/>
  <c r="AY69"/>
  <c r="AX69"/>
  <c r="AZ68"/>
  <c r="AY68"/>
  <c r="AX68"/>
  <c r="AZ67"/>
  <c r="AY67"/>
  <c r="AX67"/>
  <c r="AZ66"/>
  <c r="AY66"/>
  <c r="AX66"/>
  <c r="AZ65"/>
  <c r="AY65"/>
  <c r="AX65"/>
  <c r="AZ64"/>
  <c r="AY64"/>
  <c r="AX64"/>
  <c r="AZ63"/>
  <c r="AY63"/>
  <c r="AX63"/>
  <c r="AZ62"/>
  <c r="AY62"/>
  <c r="AX62"/>
  <c r="AZ61"/>
  <c r="AY61"/>
  <c r="AX61"/>
  <c r="AZ60"/>
  <c r="AY60"/>
  <c r="AX60"/>
  <c r="AZ59"/>
  <c r="AY59"/>
  <c r="AX59"/>
  <c r="AZ58"/>
  <c r="AY58"/>
  <c r="AX58"/>
  <c r="AZ57"/>
  <c r="AY57"/>
  <c r="AX57"/>
  <c r="AZ56"/>
  <c r="AY56"/>
  <c r="AX56"/>
  <c r="AZ55"/>
  <c r="AY55"/>
  <c r="AX55"/>
  <c r="AZ54"/>
  <c r="AY54"/>
  <c r="AX54"/>
  <c r="AZ53"/>
  <c r="AY53"/>
  <c r="AX53"/>
  <c r="AZ52"/>
  <c r="AY52"/>
  <c r="AX52"/>
  <c r="AZ51"/>
  <c r="AY51"/>
  <c r="AX51"/>
  <c r="AZ50"/>
  <c r="AY50"/>
  <c r="AX50"/>
  <c r="AZ49"/>
  <c r="AY49"/>
  <c r="AX49"/>
  <c r="AZ48"/>
  <c r="AY48"/>
  <c r="AX48"/>
  <c r="AZ47"/>
  <c r="AY47"/>
  <c r="AX47"/>
  <c r="AZ46"/>
  <c r="AY46"/>
  <c r="AX46"/>
  <c r="AZ45"/>
  <c r="AY45"/>
  <c r="AX45"/>
  <c r="AZ44"/>
  <c r="AY44"/>
  <c r="AX44"/>
  <c r="AZ43"/>
  <c r="AY43"/>
  <c r="AX43"/>
  <c r="AZ42"/>
  <c r="AY42"/>
  <c r="AX42"/>
  <c r="AZ41"/>
  <c r="AY41"/>
  <c r="AX41"/>
  <c r="AZ40"/>
  <c r="AY40"/>
  <c r="AX40"/>
  <c r="AZ39"/>
  <c r="AY39"/>
  <c r="AX39"/>
  <c r="AZ38"/>
  <c r="AY38"/>
  <c r="AX38"/>
  <c r="AZ37"/>
  <c r="AY37"/>
  <c r="AX37"/>
  <c r="AZ36"/>
  <c r="AY36"/>
  <c r="AX36"/>
  <c r="AZ35"/>
  <c r="AY35"/>
  <c r="AX35"/>
  <c r="AZ34"/>
  <c r="AY34"/>
  <c r="AX34"/>
  <c r="AZ33"/>
  <c r="AY33"/>
  <c r="AX33"/>
  <c r="AZ32"/>
  <c r="AY32"/>
  <c r="AX32"/>
  <c r="AZ31"/>
  <c r="AY31"/>
  <c r="AX31"/>
  <c r="AZ30"/>
  <c r="AY30"/>
  <c r="AX30"/>
  <c r="AZ29"/>
  <c r="AY29"/>
  <c r="AX29"/>
  <c r="AZ28"/>
  <c r="AY28"/>
  <c r="AX28"/>
  <c r="AZ27"/>
  <c r="AY27"/>
  <c r="AX27"/>
  <c r="AZ26"/>
  <c r="AY26"/>
  <c r="AX26"/>
  <c r="AZ25"/>
  <c r="AY25"/>
  <c r="AX25"/>
  <c r="AZ24"/>
  <c r="AY24"/>
  <c r="AX24"/>
  <c r="AZ23"/>
  <c r="AY23"/>
  <c r="AX23"/>
  <c r="AZ22"/>
  <c r="AY22"/>
  <c r="AX22"/>
  <c r="AZ21"/>
  <c r="AY21"/>
  <c r="AX21"/>
  <c r="AZ20"/>
  <c r="AY20"/>
  <c r="AX20"/>
  <c r="AZ19"/>
  <c r="AY19"/>
  <c r="AX19"/>
  <c r="AZ18"/>
  <c r="AY18"/>
  <c r="AX18"/>
  <c r="AZ17"/>
  <c r="AY17"/>
  <c r="AX17"/>
  <c r="AZ16"/>
  <c r="BE16" s="1"/>
  <c r="AD1" i="1" s="1"/>
  <c r="AY16" i="2"/>
  <c r="BD16" s="1"/>
  <c r="AC1" i="1" s="1"/>
  <c r="AX16" i="2"/>
  <c r="BC16" s="1"/>
  <c r="AB1" i="1" s="1"/>
  <c r="J42" i="2"/>
  <c r="G42"/>
  <c r="D42"/>
  <c r="AR17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F12"/>
  <c r="F11"/>
  <c r="F10"/>
  <c r="F9"/>
  <c r="F8"/>
  <c r="F7"/>
  <c r="F6"/>
  <c r="D27"/>
  <c r="J22"/>
  <c r="J26"/>
  <c r="G22"/>
  <c r="G27"/>
  <c r="G29"/>
  <c r="D22"/>
  <c r="J29"/>
  <c r="D30"/>
  <c r="D29"/>
  <c r="G32"/>
  <c r="D170"/>
  <c r="D26"/>
  <c r="G21"/>
  <c r="D20"/>
  <c r="J30"/>
  <c r="G30"/>
  <c r="D28"/>
  <c r="J24"/>
  <c r="G50"/>
  <c r="G31"/>
  <c r="G23"/>
  <c r="G26"/>
  <c r="J20"/>
  <c r="J25"/>
  <c r="G33"/>
  <c r="G25"/>
  <c r="D23"/>
  <c r="G19"/>
  <c r="D25"/>
  <c r="D21"/>
  <c r="G34"/>
  <c r="G20"/>
  <c r="J28"/>
  <c r="J23"/>
  <c r="D208"/>
  <c r="D201"/>
  <c r="D206"/>
  <c r="D200"/>
  <c r="D210"/>
  <c r="D203"/>
  <c r="D207"/>
  <c r="D202"/>
  <c r="D199"/>
  <c r="D209"/>
  <c r="G182"/>
  <c r="G207"/>
  <c r="G186"/>
  <c r="G183"/>
  <c r="H180"/>
  <c r="G185"/>
  <c r="G181"/>
  <c r="G184"/>
  <c r="D180"/>
  <c r="G141"/>
  <c r="G143"/>
  <c r="G103"/>
  <c r="G150"/>
  <c r="G102"/>
  <c r="G84"/>
  <c r="G144"/>
  <c r="G120"/>
  <c r="D118"/>
  <c r="D83"/>
  <c r="G123"/>
  <c r="G88"/>
  <c r="D117"/>
  <c r="G59"/>
  <c r="G46"/>
  <c r="G58"/>
  <c r="G66"/>
  <c r="G45"/>
  <c r="G60"/>
  <c r="G63"/>
  <c r="G47"/>
  <c r="G55"/>
  <c r="G61"/>
  <c r="G54"/>
  <c r="G67"/>
  <c r="G57"/>
  <c r="G53"/>
  <c r="G62"/>
  <c r="D53"/>
  <c r="D48"/>
  <c r="D45"/>
  <c r="D46"/>
  <c r="D52"/>
  <c r="D54"/>
  <c r="D56"/>
  <c r="D51"/>
  <c r="D55"/>
  <c r="D47"/>
  <c r="G99"/>
  <c r="G148"/>
  <c r="G100"/>
  <c r="G65"/>
  <c r="G95"/>
  <c r="G160"/>
  <c r="G81"/>
  <c r="G80"/>
  <c r="G140"/>
  <c r="G93"/>
  <c r="G101"/>
  <c r="G48"/>
  <c r="G115"/>
  <c r="G79"/>
  <c r="G142"/>
  <c r="G117"/>
  <c r="G69" l="1"/>
  <c r="BD17"/>
  <c r="BC17"/>
  <c r="BE17"/>
  <c r="G56"/>
  <c r="BD18"/>
  <c r="BE18"/>
  <c r="BC18"/>
  <c r="J204"/>
  <c r="J203"/>
  <c r="G68"/>
  <c r="J186"/>
  <c r="J167" s="1"/>
  <c r="G170"/>
  <c r="M198"/>
  <c r="M199"/>
  <c r="D119"/>
  <c r="D79"/>
  <c r="D85"/>
  <c r="D115"/>
  <c r="D196"/>
  <c r="D198"/>
  <c r="M174"/>
  <c r="M175"/>
  <c r="M177"/>
  <c r="M176"/>
  <c r="G116"/>
  <c r="G122"/>
  <c r="G118"/>
  <c r="G86"/>
  <c r="G145"/>
  <c r="G121"/>
  <c r="D84"/>
  <c r="G85"/>
  <c r="G87"/>
  <c r="D82"/>
  <c r="D80"/>
  <c r="D86"/>
  <c r="D116"/>
  <c r="D120"/>
  <c r="J48"/>
  <c r="J47"/>
  <c r="J46"/>
  <c r="J45"/>
  <c r="G51" a="1"/>
  <c r="M45"/>
  <c r="G119"/>
  <c r="G97" l="1"/>
  <c r="G149"/>
  <c r="G104"/>
  <c r="G83"/>
  <c r="G151"/>
  <c r="G129"/>
  <c r="G94"/>
  <c r="G96" s="1"/>
  <c r="G161" s="1"/>
  <c r="G156" s="1"/>
  <c r="G9" s="1"/>
  <c r="G51"/>
  <c r="BE19"/>
  <c r="BC19"/>
  <c r="BD19"/>
  <c r="G146"/>
  <c r="G147" s="1"/>
  <c r="G126"/>
  <c r="G127" s="1"/>
  <c r="M170"/>
  <c r="J170"/>
  <c r="J205"/>
  <c r="J79"/>
  <c r="D176"/>
  <c r="D173" l="1"/>
  <c r="G152"/>
  <c r="J175" s="1"/>
  <c r="D76"/>
  <c r="G76" s="1"/>
  <c r="M76" s="1"/>
  <c r="BD20"/>
  <c r="BE20"/>
  <c r="BC20"/>
  <c r="D197"/>
  <c r="D204" s="1"/>
  <c r="G174"/>
  <c r="G175" s="1"/>
  <c r="G49"/>
  <c r="D49"/>
  <c r="D50" s="1"/>
  <c r="J178"/>
  <c r="D205"/>
  <c r="G82"/>
  <c r="D81"/>
  <c r="G136" l="1"/>
  <c r="G8" s="1"/>
  <c r="BE21"/>
  <c r="BC21"/>
  <c r="BD21"/>
  <c r="G91"/>
  <c r="J182"/>
  <c r="M182" s="1"/>
  <c r="D211"/>
  <c r="J185"/>
  <c r="J166" s="1"/>
  <c r="J76"/>
  <c r="BD22" l="1"/>
  <c r="BE22"/>
  <c r="BC22"/>
  <c r="D174"/>
  <c r="D175" s="1"/>
  <c r="G90"/>
  <c r="G92" s="1"/>
  <c r="D177" s="1"/>
  <c r="G173" s="1"/>
  <c r="G176" s="1"/>
  <c r="J177" s="1"/>
  <c r="G98"/>
  <c r="G105" s="1"/>
  <c r="BE23" l="1"/>
  <c r="BC23"/>
  <c r="BD23"/>
  <c r="G74"/>
  <c r="G6" s="1"/>
  <c r="J173"/>
  <c r="G130"/>
  <c r="G131" s="1"/>
  <c r="D165"/>
  <c r="G10" s="1"/>
  <c r="J176"/>
  <c r="J184"/>
  <c r="M184" s="1"/>
  <c r="BD24" l="1"/>
  <c r="BE24"/>
  <c r="BC24"/>
  <c r="J183"/>
  <c r="M183" s="1"/>
  <c r="G111"/>
  <c r="G7" s="1"/>
  <c r="J174"/>
  <c r="M173" s="1"/>
  <c r="G166" s="1"/>
  <c r="BE25" l="1"/>
  <c r="BC25"/>
  <c r="BD25"/>
  <c r="G165"/>
  <c r="G167"/>
  <c r="J181"/>
  <c r="D181" s="1"/>
  <c r="G180" s="1"/>
  <c r="J180" s="1"/>
  <c r="BD26" l="1"/>
  <c r="BE26"/>
  <c r="BC26"/>
  <c r="J165"/>
  <c r="M180"/>
  <c r="M181"/>
  <c r="J197"/>
  <c r="BE27" l="1"/>
  <c r="BC27"/>
  <c r="BD27"/>
  <c r="J168"/>
  <c r="G202" s="1"/>
  <c r="G203" s="1"/>
  <c r="G204" s="1"/>
  <c r="M200"/>
  <c r="G201"/>
  <c r="BD28" l="1"/>
  <c r="BE28"/>
  <c r="BC28"/>
  <c r="G197"/>
  <c r="G198" s="1"/>
  <c r="G199" s="1"/>
  <c r="J198"/>
  <c r="G205"/>
  <c r="M205" s="1"/>
  <c r="J199" l="1"/>
  <c r="J200" s="1"/>
  <c r="G193" s="1"/>
  <c r="G11" s="1"/>
  <c r="M201"/>
  <c r="M202" s="1"/>
  <c r="M203" s="1"/>
  <c r="G194" s="1"/>
  <c r="BE29"/>
  <c r="BC29"/>
  <c r="BD29"/>
  <c r="G12" l="1"/>
  <c r="M206"/>
  <c r="BD30"/>
  <c r="BE30"/>
  <c r="BC30"/>
  <c r="BE31" l="1"/>
  <c r="BC31"/>
  <c r="BD31"/>
  <c r="BD32" l="1"/>
  <c r="BE32"/>
  <c r="BC32"/>
  <c r="BE33" l="1"/>
  <c r="BC33"/>
  <c r="BD33"/>
  <c r="BD34" l="1"/>
  <c r="BE34"/>
  <c r="BC34"/>
  <c r="BE35" l="1"/>
  <c r="BC35"/>
  <c r="BD35"/>
  <c r="BD36" l="1"/>
  <c r="BE36"/>
  <c r="BC36"/>
  <c r="BE37" l="1"/>
  <c r="BC37"/>
  <c r="BD37"/>
  <c r="BD38" l="1"/>
  <c r="BE38"/>
  <c r="BC38"/>
  <c r="AR40" l="1"/>
  <c r="BE39"/>
  <c r="BC39"/>
  <c r="BD39"/>
  <c r="BE40" l="1"/>
  <c r="AD25" i="1" s="1"/>
  <c r="BC40" i="2"/>
  <c r="AB25" i="1" s="1"/>
  <c r="BD40" i="2"/>
  <c r="AC25" i="1" s="1"/>
  <c r="AR41" i="2"/>
  <c r="BD41" l="1"/>
  <c r="AC26" i="1" s="1"/>
  <c r="BE41" i="2"/>
  <c r="AD26" i="1" s="1"/>
  <c r="BC41" i="2"/>
  <c r="AB26" i="1" s="1"/>
  <c r="AR42" i="2"/>
  <c r="BE42" l="1"/>
  <c r="AD27" i="1" s="1"/>
  <c r="BC42" i="2"/>
  <c r="AB27" i="1" s="1"/>
  <c r="BD42" i="2"/>
  <c r="AC27" i="1" s="1"/>
  <c r="AR43" i="2"/>
  <c r="BD43" l="1"/>
  <c r="AC28" i="1" s="1"/>
  <c r="BE43" i="2"/>
  <c r="AD28" i="1" s="1"/>
  <c r="BC43" i="2"/>
  <c r="AB28" i="1" s="1"/>
  <c r="AR44" i="2"/>
  <c r="BE44" l="1"/>
  <c r="BC44"/>
  <c r="BD44"/>
  <c r="AR45"/>
  <c r="BD45" l="1"/>
  <c r="BE45"/>
  <c r="BC45"/>
  <c r="AR46"/>
  <c r="BE46" l="1"/>
  <c r="BC46"/>
  <c r="BD46"/>
  <c r="AR47"/>
  <c r="BD47" l="1"/>
  <c r="BE47"/>
  <c r="BC47"/>
  <c r="AR48"/>
  <c r="BE48" l="1"/>
  <c r="BC48"/>
  <c r="BD48"/>
  <c r="AR49"/>
  <c r="BD49" l="1"/>
  <c r="BE49"/>
  <c r="BC49"/>
  <c r="AR50"/>
  <c r="BE50" l="1"/>
  <c r="BC50"/>
  <c r="BD50"/>
  <c r="AR51"/>
  <c r="BD51" l="1"/>
  <c r="BE51"/>
  <c r="BC51"/>
  <c r="AR52"/>
  <c r="BE52" l="1"/>
  <c r="BC52"/>
  <c r="BD52"/>
  <c r="AR53"/>
  <c r="BD53" l="1"/>
  <c r="BE53"/>
  <c r="BC53"/>
  <c r="AR54"/>
  <c r="BE54" l="1"/>
  <c r="BC54"/>
  <c r="BD54"/>
  <c r="AR55"/>
  <c r="BD55" l="1"/>
  <c r="BE55"/>
  <c r="BC55"/>
  <c r="AR56"/>
  <c r="BE56" l="1"/>
  <c r="BC56"/>
  <c r="BD56"/>
  <c r="AR57"/>
  <c r="BD57" l="1"/>
  <c r="BE57"/>
  <c r="BC57"/>
  <c r="AR58"/>
  <c r="BE58" l="1"/>
  <c r="BC58"/>
  <c r="BD58"/>
  <c r="AR59"/>
  <c r="BD59" l="1"/>
  <c r="BE59"/>
  <c r="BC59"/>
  <c r="AR60"/>
  <c r="BE60" l="1"/>
  <c r="BC60"/>
  <c r="BD60"/>
  <c r="AR61"/>
  <c r="H13" i="13"/>
  <c r="H12"/>
  <c r="H11"/>
  <c r="H10"/>
  <c r="H9"/>
  <c r="H8"/>
  <c r="H7"/>
  <c r="H6"/>
  <c r="U65" i="12"/>
  <c r="U64"/>
  <c r="U63"/>
  <c r="U62"/>
  <c r="I24"/>
  <c r="I23"/>
  <c r="I22"/>
  <c r="I21"/>
  <c r="I20"/>
  <c r="I19"/>
  <c r="I18"/>
  <c r="I14"/>
  <c r="I13"/>
  <c r="I12"/>
  <c r="I11"/>
  <c r="I10"/>
  <c r="I9"/>
  <c r="I8"/>
  <c r="H5" i="11"/>
  <c r="F54" i="8"/>
  <c r="E54"/>
  <c r="D54"/>
  <c r="F53"/>
  <c r="E53"/>
  <c r="D53"/>
  <c r="F52"/>
  <c r="E52"/>
  <c r="D52"/>
  <c r="F94" i="7"/>
  <c r="A1526" i="5"/>
  <c r="A1527" s="1"/>
  <c r="A1022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D1021"/>
  <c r="AJ518"/>
  <c r="AJ519" s="1"/>
  <c r="AJ520" s="1"/>
  <c r="AJ521" s="1"/>
  <c r="AJ522" s="1"/>
  <c r="AJ523" s="1"/>
  <c r="AJ524" s="1"/>
  <c r="AJ525" s="1"/>
  <c r="AJ526" s="1"/>
  <c r="AJ527" s="1"/>
  <c r="AJ528" s="1"/>
  <c r="AJ529" s="1"/>
  <c r="AJ530" s="1"/>
  <c r="AJ531" s="1"/>
  <c r="AJ532" s="1"/>
  <c r="AJ533" s="1"/>
  <c r="AJ534" s="1"/>
  <c r="AJ535" s="1"/>
  <c r="AJ536" s="1"/>
  <c r="AJ537" s="1"/>
  <c r="AJ538" s="1"/>
  <c r="AJ539" s="1"/>
  <c r="AJ540" s="1"/>
  <c r="AJ541" s="1"/>
  <c r="AJ542" s="1"/>
  <c r="AJ543" s="1"/>
  <c r="AJ544" s="1"/>
  <c r="AJ545" s="1"/>
  <c r="AJ546" s="1"/>
  <c r="AJ547" s="1"/>
  <c r="AJ548" s="1"/>
  <c r="AJ549" s="1"/>
  <c r="AJ550" s="1"/>
  <c r="AJ551" s="1"/>
  <c r="AJ552" s="1"/>
  <c r="AJ553" s="1"/>
  <c r="AJ554" s="1"/>
  <c r="AJ555" s="1"/>
  <c r="AJ556" s="1"/>
  <c r="AJ557" s="1"/>
  <c r="AJ558" s="1"/>
  <c r="AJ559" s="1"/>
  <c r="AJ560" s="1"/>
  <c r="AJ561" s="1"/>
  <c r="AJ562" s="1"/>
  <c r="AJ563" s="1"/>
  <c r="AJ564" s="1"/>
  <c r="AJ565" s="1"/>
  <c r="AJ566" s="1"/>
  <c r="AJ567" s="1"/>
  <c r="AJ568" s="1"/>
  <c r="AJ569" s="1"/>
  <c r="AJ570" s="1"/>
  <c r="AJ571" s="1"/>
  <c r="AJ572" s="1"/>
  <c r="AJ573" s="1"/>
  <c r="AJ574" s="1"/>
  <c r="AJ575" s="1"/>
  <c r="AJ576" s="1"/>
  <c r="AJ577" s="1"/>
  <c r="AJ578" s="1"/>
  <c r="AJ579" s="1"/>
  <c r="AJ580" s="1"/>
  <c r="AJ581" s="1"/>
  <c r="AJ582" s="1"/>
  <c r="AJ583" s="1"/>
  <c r="AJ584" s="1"/>
  <c r="AJ585" s="1"/>
  <c r="AJ586" s="1"/>
  <c r="AJ587" s="1"/>
  <c r="AJ588" s="1"/>
  <c r="AJ589" s="1"/>
  <c r="AJ590" s="1"/>
  <c r="AJ591" s="1"/>
  <c r="AJ592" s="1"/>
  <c r="AJ593" s="1"/>
  <c r="AJ594" s="1"/>
  <c r="AJ595" s="1"/>
  <c r="AJ596" s="1"/>
  <c r="AJ597" s="1"/>
  <c r="AJ598" s="1"/>
  <c r="AJ599" s="1"/>
  <c r="AJ600" s="1"/>
  <c r="AJ601" s="1"/>
  <c r="AJ602" s="1"/>
  <c r="AJ603" s="1"/>
  <c r="AJ604" s="1"/>
  <c r="AJ605" s="1"/>
  <c r="AJ606" s="1"/>
  <c r="AJ607" s="1"/>
  <c r="AJ608" s="1"/>
  <c r="AJ609" s="1"/>
  <c r="AJ610" s="1"/>
  <c r="AJ611" s="1"/>
  <c r="AJ612" s="1"/>
  <c r="AJ613" s="1"/>
  <c r="AJ614" s="1"/>
  <c r="AJ615" s="1"/>
  <c r="AJ616" s="1"/>
  <c r="AJ617" s="1"/>
  <c r="AJ618" s="1"/>
  <c r="AJ619" s="1"/>
  <c r="AJ620" s="1"/>
  <c r="AJ621" s="1"/>
  <c r="AJ622" s="1"/>
  <c r="AJ623" s="1"/>
  <c r="AJ624" s="1"/>
  <c r="AJ625" s="1"/>
  <c r="AJ626" s="1"/>
  <c r="AJ627" s="1"/>
  <c r="AJ628" s="1"/>
  <c r="AJ629" s="1"/>
  <c r="AJ630" s="1"/>
  <c r="AJ631" s="1"/>
  <c r="AJ632" s="1"/>
  <c r="AJ633" s="1"/>
  <c r="AJ634" s="1"/>
  <c r="AJ635" s="1"/>
  <c r="AJ636" s="1"/>
  <c r="AJ637" s="1"/>
  <c r="AJ638" s="1"/>
  <c r="AJ639" s="1"/>
  <c r="AJ640" s="1"/>
  <c r="AJ641" s="1"/>
  <c r="AJ642" s="1"/>
  <c r="AJ643" s="1"/>
  <c r="AJ644" s="1"/>
  <c r="AJ645" s="1"/>
  <c r="AJ646" s="1"/>
  <c r="AJ647" s="1"/>
  <c r="AJ648" s="1"/>
  <c r="AJ649" s="1"/>
  <c r="AJ650" s="1"/>
  <c r="AJ651" s="1"/>
  <c r="AJ652" s="1"/>
  <c r="AJ653" s="1"/>
  <c r="AJ654" s="1"/>
  <c r="AJ655" s="1"/>
  <c r="AJ656" s="1"/>
  <c r="AJ657" s="1"/>
  <c r="AJ658" s="1"/>
  <c r="AJ659" s="1"/>
  <c r="AJ660" s="1"/>
  <c r="AJ661" s="1"/>
  <c r="AJ662" s="1"/>
  <c r="AJ663" s="1"/>
  <c r="AJ664" s="1"/>
  <c r="AJ665" s="1"/>
  <c r="AJ666" s="1"/>
  <c r="AJ667" s="1"/>
  <c r="AJ668" s="1"/>
  <c r="AJ669" s="1"/>
  <c r="AJ670" s="1"/>
  <c r="AJ671" s="1"/>
  <c r="AJ672" s="1"/>
  <c r="AJ673" s="1"/>
  <c r="AJ674" s="1"/>
  <c r="AJ675" s="1"/>
  <c r="AJ676" s="1"/>
  <c r="AJ677" s="1"/>
  <c r="AJ678" s="1"/>
  <c r="AJ679" s="1"/>
  <c r="AJ680" s="1"/>
  <c r="AJ681" s="1"/>
  <c r="AJ682" s="1"/>
  <c r="AJ683" s="1"/>
  <c r="AJ684" s="1"/>
  <c r="AJ685" s="1"/>
  <c r="AJ686" s="1"/>
  <c r="AJ687" s="1"/>
  <c r="AJ688" s="1"/>
  <c r="AJ689" s="1"/>
  <c r="AJ690" s="1"/>
  <c r="AJ691" s="1"/>
  <c r="AJ692" s="1"/>
  <c r="AJ693" s="1"/>
  <c r="AJ694" s="1"/>
  <c r="AJ695" s="1"/>
  <c r="AJ696" s="1"/>
  <c r="AJ697" s="1"/>
  <c r="AJ698" s="1"/>
  <c r="AJ699" s="1"/>
  <c r="AJ700" s="1"/>
  <c r="AJ701" s="1"/>
  <c r="AJ702" s="1"/>
  <c r="AJ703" s="1"/>
  <c r="AJ704" s="1"/>
  <c r="AJ705" s="1"/>
  <c r="AJ706" s="1"/>
  <c r="AJ707" s="1"/>
  <c r="AJ708" s="1"/>
  <c r="AJ709" s="1"/>
  <c r="AJ710" s="1"/>
  <c r="AJ711" s="1"/>
  <c r="AJ712" s="1"/>
  <c r="AJ713" s="1"/>
  <c r="AJ714" s="1"/>
  <c r="AJ715" s="1"/>
  <c r="AJ716" s="1"/>
  <c r="AJ717" s="1"/>
  <c r="AJ718" s="1"/>
  <c r="AJ719" s="1"/>
  <c r="AJ720" s="1"/>
  <c r="AJ721" s="1"/>
  <c r="AJ722" s="1"/>
  <c r="AJ723" s="1"/>
  <c r="AJ724" s="1"/>
  <c r="AJ725" s="1"/>
  <c r="AJ726" s="1"/>
  <c r="AJ727" s="1"/>
  <c r="AJ728" s="1"/>
  <c r="AJ729" s="1"/>
  <c r="AJ730" s="1"/>
  <c r="AJ731" s="1"/>
  <c r="AJ732" s="1"/>
  <c r="AJ733" s="1"/>
  <c r="AJ734" s="1"/>
  <c r="AJ735" s="1"/>
  <c r="AJ736" s="1"/>
  <c r="AJ737" s="1"/>
  <c r="AJ738" s="1"/>
  <c r="AJ739" s="1"/>
  <c r="AJ740" s="1"/>
  <c r="AJ741" s="1"/>
  <c r="AJ742" s="1"/>
  <c r="AJ743" s="1"/>
  <c r="AJ744" s="1"/>
  <c r="AJ745" s="1"/>
  <c r="AJ746" s="1"/>
  <c r="AJ747" s="1"/>
  <c r="AJ748" s="1"/>
  <c r="AJ749" s="1"/>
  <c r="AJ750" s="1"/>
  <c r="AJ751" s="1"/>
  <c r="AJ752" s="1"/>
  <c r="AJ753" s="1"/>
  <c r="AJ754" s="1"/>
  <c r="AJ755" s="1"/>
  <c r="AJ756" s="1"/>
  <c r="AJ757" s="1"/>
  <c r="AJ758" s="1"/>
  <c r="AJ759" s="1"/>
  <c r="AJ760" s="1"/>
  <c r="AJ761" s="1"/>
  <c r="AJ762" s="1"/>
  <c r="AJ763" s="1"/>
  <c r="AJ764" s="1"/>
  <c r="AJ765" s="1"/>
  <c r="AJ766" s="1"/>
  <c r="AJ767" s="1"/>
  <c r="AJ768" s="1"/>
  <c r="AJ769" s="1"/>
  <c r="AJ770" s="1"/>
  <c r="AJ771" s="1"/>
  <c r="AJ772" s="1"/>
  <c r="AJ773" s="1"/>
  <c r="AJ774" s="1"/>
  <c r="AJ775" s="1"/>
  <c r="AJ776" s="1"/>
  <c r="AJ777" s="1"/>
  <c r="AJ778" s="1"/>
  <c r="AJ779" s="1"/>
  <c r="AJ780" s="1"/>
  <c r="AJ781" s="1"/>
  <c r="AJ782" s="1"/>
  <c r="AJ783" s="1"/>
  <c r="AJ784" s="1"/>
  <c r="AJ785" s="1"/>
  <c r="AJ786" s="1"/>
  <c r="AJ787" s="1"/>
  <c r="AJ788" s="1"/>
  <c r="AJ789" s="1"/>
  <c r="AJ790" s="1"/>
  <c r="AJ791" s="1"/>
  <c r="AJ792" s="1"/>
  <c r="AJ793" s="1"/>
  <c r="AJ794" s="1"/>
  <c r="AJ795" s="1"/>
  <c r="AJ796" s="1"/>
  <c r="AJ797" s="1"/>
  <c r="AJ798" s="1"/>
  <c r="AJ799" s="1"/>
  <c r="AJ800" s="1"/>
  <c r="AJ801" s="1"/>
  <c r="AJ802" s="1"/>
  <c r="AJ803" s="1"/>
  <c r="AJ804" s="1"/>
  <c r="AJ805" s="1"/>
  <c r="AJ806" s="1"/>
  <c r="AJ807" s="1"/>
  <c r="AJ808" s="1"/>
  <c r="AJ809" s="1"/>
  <c r="AJ810" s="1"/>
  <c r="AJ811" s="1"/>
  <c r="AJ812" s="1"/>
  <c r="AJ813" s="1"/>
  <c r="AJ814" s="1"/>
  <c r="AJ815" s="1"/>
  <c r="AJ816" s="1"/>
  <c r="AJ817" s="1"/>
  <c r="AJ818" s="1"/>
  <c r="AJ819" s="1"/>
  <c r="AJ820" s="1"/>
  <c r="AJ821" s="1"/>
  <c r="AJ822" s="1"/>
  <c r="AJ823" s="1"/>
  <c r="AJ824" s="1"/>
  <c r="AJ825" s="1"/>
  <c r="AJ826" s="1"/>
  <c r="AJ827" s="1"/>
  <c r="AJ828" s="1"/>
  <c r="AJ829" s="1"/>
  <c r="AJ830" s="1"/>
  <c r="AJ831" s="1"/>
  <c r="AJ832" s="1"/>
  <c r="AJ833" s="1"/>
  <c r="AJ834" s="1"/>
  <c r="AJ835" s="1"/>
  <c r="AJ836" s="1"/>
  <c r="AJ837" s="1"/>
  <c r="AJ838" s="1"/>
  <c r="AJ839" s="1"/>
  <c r="AJ840" s="1"/>
  <c r="AJ841" s="1"/>
  <c r="AJ842" s="1"/>
  <c r="AJ843" s="1"/>
  <c r="AJ844" s="1"/>
  <c r="AJ845" s="1"/>
  <c r="AJ846" s="1"/>
  <c r="AJ847" s="1"/>
  <c r="AJ848" s="1"/>
  <c r="AJ849" s="1"/>
  <c r="AJ850" s="1"/>
  <c r="AJ851" s="1"/>
  <c r="AJ852" s="1"/>
  <c r="AJ853" s="1"/>
  <c r="AJ854" s="1"/>
  <c r="AJ855" s="1"/>
  <c r="AJ856" s="1"/>
  <c r="AJ857" s="1"/>
  <c r="AJ858" s="1"/>
  <c r="AJ859" s="1"/>
  <c r="AJ860" s="1"/>
  <c r="AJ861" s="1"/>
  <c r="AJ862" s="1"/>
  <c r="AJ863" s="1"/>
  <c r="AJ864" s="1"/>
  <c r="AJ865" s="1"/>
  <c r="AJ866" s="1"/>
  <c r="AJ867" s="1"/>
  <c r="AJ868" s="1"/>
  <c r="AJ869" s="1"/>
  <c r="AJ870" s="1"/>
  <c r="AJ871" s="1"/>
  <c r="AJ872" s="1"/>
  <c r="AJ873" s="1"/>
  <c r="AJ874" s="1"/>
  <c r="AJ875" s="1"/>
  <c r="AJ876" s="1"/>
  <c r="AJ877" s="1"/>
  <c r="AJ878" s="1"/>
  <c r="AJ879" s="1"/>
  <c r="AJ880" s="1"/>
  <c r="AJ881" s="1"/>
  <c r="AJ882" s="1"/>
  <c r="AJ883" s="1"/>
  <c r="AJ884" s="1"/>
  <c r="AJ885" s="1"/>
  <c r="AJ886" s="1"/>
  <c r="AJ887" s="1"/>
  <c r="AJ888" s="1"/>
  <c r="AJ889" s="1"/>
  <c r="AJ890" s="1"/>
  <c r="AJ891" s="1"/>
  <c r="AJ892" s="1"/>
  <c r="AJ893" s="1"/>
  <c r="AJ894" s="1"/>
  <c r="AJ895" s="1"/>
  <c r="AJ896" s="1"/>
  <c r="AJ897" s="1"/>
  <c r="AJ898" s="1"/>
  <c r="AJ899" s="1"/>
  <c r="AJ900" s="1"/>
  <c r="AJ901" s="1"/>
  <c r="AJ902" s="1"/>
  <c r="AJ903" s="1"/>
  <c r="AJ904" s="1"/>
  <c r="AJ905" s="1"/>
  <c r="AJ906" s="1"/>
  <c r="AJ907" s="1"/>
  <c r="AJ908" s="1"/>
  <c r="AJ909" s="1"/>
  <c r="AJ910" s="1"/>
  <c r="AJ911" s="1"/>
  <c r="AJ912" s="1"/>
  <c r="AJ913" s="1"/>
  <c r="AJ914" s="1"/>
  <c r="AJ915" s="1"/>
  <c r="AJ916" s="1"/>
  <c r="AJ917" s="1"/>
  <c r="AJ918" s="1"/>
  <c r="AJ919" s="1"/>
  <c r="AJ920" s="1"/>
  <c r="AJ921" s="1"/>
  <c r="AJ922" s="1"/>
  <c r="AJ923" s="1"/>
  <c r="AJ924" s="1"/>
  <c r="AJ925" s="1"/>
  <c r="AJ926" s="1"/>
  <c r="AJ927" s="1"/>
  <c r="AJ928" s="1"/>
  <c r="AJ929" s="1"/>
  <c r="AJ930" s="1"/>
  <c r="AJ931" s="1"/>
  <c r="AJ932" s="1"/>
  <c r="AJ933" s="1"/>
  <c r="AJ934" s="1"/>
  <c r="AJ935" s="1"/>
  <c r="AJ936" s="1"/>
  <c r="AJ937" s="1"/>
  <c r="AJ938" s="1"/>
  <c r="AJ939" s="1"/>
  <c r="AJ940" s="1"/>
  <c r="AJ941" s="1"/>
  <c r="AJ942" s="1"/>
  <c r="AJ943" s="1"/>
  <c r="AJ944" s="1"/>
  <c r="AJ945" s="1"/>
  <c r="AJ946" s="1"/>
  <c r="AJ947" s="1"/>
  <c r="AJ948" s="1"/>
  <c r="AJ949" s="1"/>
  <c r="AJ950" s="1"/>
  <c r="AJ951" s="1"/>
  <c r="AJ952" s="1"/>
  <c r="AJ953" s="1"/>
  <c r="AJ954" s="1"/>
  <c r="AJ955" s="1"/>
  <c r="AJ956" s="1"/>
  <c r="AJ957" s="1"/>
  <c r="AJ958" s="1"/>
  <c r="AJ959" s="1"/>
  <c r="AJ960" s="1"/>
  <c r="AJ961" s="1"/>
  <c r="AJ962" s="1"/>
  <c r="AJ963" s="1"/>
  <c r="AJ964" s="1"/>
  <c r="AJ965" s="1"/>
  <c r="AJ966" s="1"/>
  <c r="AJ967" s="1"/>
  <c r="AJ968" s="1"/>
  <c r="AJ969" s="1"/>
  <c r="AJ970" s="1"/>
  <c r="AJ971" s="1"/>
  <c r="AJ972" s="1"/>
  <c r="AJ973" s="1"/>
  <c r="AJ974" s="1"/>
  <c r="AJ975" s="1"/>
  <c r="AJ976" s="1"/>
  <c r="AJ977" s="1"/>
  <c r="AJ978" s="1"/>
  <c r="AJ979" s="1"/>
  <c r="AJ980" s="1"/>
  <c r="AJ981" s="1"/>
  <c r="AJ982" s="1"/>
  <c r="AJ983" s="1"/>
  <c r="AJ984" s="1"/>
  <c r="AJ985" s="1"/>
  <c r="AJ986" s="1"/>
  <c r="AJ987" s="1"/>
  <c r="AJ988" s="1"/>
  <c r="AJ989" s="1"/>
  <c r="AJ990" s="1"/>
  <c r="AJ991" s="1"/>
  <c r="AJ992" s="1"/>
  <c r="AJ993" s="1"/>
  <c r="AJ994" s="1"/>
  <c r="AJ995" s="1"/>
  <c r="AJ996" s="1"/>
  <c r="AJ997" s="1"/>
  <c r="AJ998" s="1"/>
  <c r="AJ999" s="1"/>
  <c r="AJ1000" s="1"/>
  <c r="AJ1001" s="1"/>
  <c r="AJ1002" s="1"/>
  <c r="AJ1003" s="1"/>
  <c r="AJ1004" s="1"/>
  <c r="AJ1005" s="1"/>
  <c r="AJ1006" s="1"/>
  <c r="AJ1007" s="1"/>
  <c r="AJ1008" s="1"/>
  <c r="AJ1009" s="1"/>
  <c r="AJ1010" s="1"/>
  <c r="AJ1011" s="1"/>
  <c r="AJ1012" s="1"/>
  <c r="AJ1013" s="1"/>
  <c r="AJ1014" s="1"/>
  <c r="AJ1015" s="1"/>
  <c r="A518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D517"/>
  <c r="AJ13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J105" s="1"/>
  <c r="AJ106" s="1"/>
  <c r="AJ107" s="1"/>
  <c r="AJ108" s="1"/>
  <c r="AJ109" s="1"/>
  <c r="AJ110" s="1"/>
  <c r="AJ111" s="1"/>
  <c r="AJ112" s="1"/>
  <c r="AJ113" s="1"/>
  <c r="AJ114" s="1"/>
  <c r="AJ115" s="1"/>
  <c r="AJ116" s="1"/>
  <c r="AJ117" s="1"/>
  <c r="AJ118" s="1"/>
  <c r="AJ119" s="1"/>
  <c r="AJ120" s="1"/>
  <c r="AJ121" s="1"/>
  <c r="AJ122" s="1"/>
  <c r="AJ123" s="1"/>
  <c r="AJ124" s="1"/>
  <c r="AJ125" s="1"/>
  <c r="AJ126" s="1"/>
  <c r="AJ127" s="1"/>
  <c r="AJ128" s="1"/>
  <c r="AJ129" s="1"/>
  <c r="AJ130" s="1"/>
  <c r="AJ131" s="1"/>
  <c r="AJ132" s="1"/>
  <c r="AJ133" s="1"/>
  <c r="AJ134" s="1"/>
  <c r="AJ135" s="1"/>
  <c r="AJ136" s="1"/>
  <c r="AJ137" s="1"/>
  <c r="AJ138" s="1"/>
  <c r="AJ139" s="1"/>
  <c r="AJ140" s="1"/>
  <c r="AJ141" s="1"/>
  <c r="AJ142" s="1"/>
  <c r="AJ143" s="1"/>
  <c r="AJ144" s="1"/>
  <c r="AJ145" s="1"/>
  <c r="AJ146" s="1"/>
  <c r="AJ147" s="1"/>
  <c r="AJ148" s="1"/>
  <c r="AJ149" s="1"/>
  <c r="AJ150" s="1"/>
  <c r="AJ151" s="1"/>
  <c r="AJ152" s="1"/>
  <c r="AJ153" s="1"/>
  <c r="AJ154" s="1"/>
  <c r="AJ155" s="1"/>
  <c r="AJ156" s="1"/>
  <c r="AJ157" s="1"/>
  <c r="AJ158" s="1"/>
  <c r="AJ159" s="1"/>
  <c r="AJ160" s="1"/>
  <c r="AJ161" s="1"/>
  <c r="AJ162" s="1"/>
  <c r="AJ163" s="1"/>
  <c r="AJ164" s="1"/>
  <c r="AJ165" s="1"/>
  <c r="AJ166" s="1"/>
  <c r="AJ167" s="1"/>
  <c r="AJ168" s="1"/>
  <c r="AJ169" s="1"/>
  <c r="AJ170" s="1"/>
  <c r="AJ171" s="1"/>
  <c r="AJ172" s="1"/>
  <c r="AJ173" s="1"/>
  <c r="AJ174" s="1"/>
  <c r="AJ175" s="1"/>
  <c r="AJ176" s="1"/>
  <c r="AJ177" s="1"/>
  <c r="AJ178" s="1"/>
  <c r="AJ179" s="1"/>
  <c r="AJ180" s="1"/>
  <c r="AJ181" s="1"/>
  <c r="AJ182" s="1"/>
  <c r="AJ183" s="1"/>
  <c r="AJ184" s="1"/>
  <c r="AJ185" s="1"/>
  <c r="AJ186" s="1"/>
  <c r="AJ187" s="1"/>
  <c r="AJ188" s="1"/>
  <c r="AJ189" s="1"/>
  <c r="AJ190" s="1"/>
  <c r="AJ191" s="1"/>
  <c r="AJ192" s="1"/>
  <c r="AJ193" s="1"/>
  <c r="AJ194" s="1"/>
  <c r="AJ195" s="1"/>
  <c r="AJ196" s="1"/>
  <c r="AJ197" s="1"/>
  <c r="AJ198" s="1"/>
  <c r="AJ199" s="1"/>
  <c r="AJ200" s="1"/>
  <c r="AJ201" s="1"/>
  <c r="AJ202" s="1"/>
  <c r="AJ203" s="1"/>
  <c r="AJ204" s="1"/>
  <c r="AJ205" s="1"/>
  <c r="AJ206" s="1"/>
  <c r="AJ207" s="1"/>
  <c r="AJ208" s="1"/>
  <c r="AJ209" s="1"/>
  <c r="AJ210" s="1"/>
  <c r="AJ211" s="1"/>
  <c r="AJ212" s="1"/>
  <c r="AJ213" s="1"/>
  <c r="AJ214" s="1"/>
  <c r="AJ215" s="1"/>
  <c r="AJ216" s="1"/>
  <c r="AJ217" s="1"/>
  <c r="AJ218" s="1"/>
  <c r="AJ219" s="1"/>
  <c r="AJ220" s="1"/>
  <c r="AJ221" s="1"/>
  <c r="AJ222" s="1"/>
  <c r="AJ223" s="1"/>
  <c r="AJ224" s="1"/>
  <c r="AJ225" s="1"/>
  <c r="AJ226" s="1"/>
  <c r="AJ227" s="1"/>
  <c r="AJ228" s="1"/>
  <c r="AJ229" s="1"/>
  <c r="AJ230" s="1"/>
  <c r="AJ231" s="1"/>
  <c r="AJ232" s="1"/>
  <c r="AJ233" s="1"/>
  <c r="AJ234" s="1"/>
  <c r="AJ235" s="1"/>
  <c r="AJ236" s="1"/>
  <c r="AJ237" s="1"/>
  <c r="AJ238" s="1"/>
  <c r="AJ239" s="1"/>
  <c r="AJ240" s="1"/>
  <c r="AJ241" s="1"/>
  <c r="AJ242" s="1"/>
  <c r="AJ243" s="1"/>
  <c r="AJ244" s="1"/>
  <c r="AJ245" s="1"/>
  <c r="AJ246" s="1"/>
  <c r="AJ247" s="1"/>
  <c r="AJ248" s="1"/>
  <c r="AJ249" s="1"/>
  <c r="AJ250" s="1"/>
  <c r="AJ251" s="1"/>
  <c r="AJ252" s="1"/>
  <c r="AJ253" s="1"/>
  <c r="AJ254" s="1"/>
  <c r="AJ255" s="1"/>
  <c r="AJ256" s="1"/>
  <c r="AJ257" s="1"/>
  <c r="AJ258" s="1"/>
  <c r="AJ259" s="1"/>
  <c r="AJ260" s="1"/>
  <c r="AJ261" s="1"/>
  <c r="AJ262" s="1"/>
  <c r="AJ263" s="1"/>
  <c r="AJ264" s="1"/>
  <c r="AJ265" s="1"/>
  <c r="AJ266" s="1"/>
  <c r="AJ267" s="1"/>
  <c r="AJ268" s="1"/>
  <c r="AJ269" s="1"/>
  <c r="AJ270" s="1"/>
  <c r="AJ271" s="1"/>
  <c r="AJ272" s="1"/>
  <c r="AJ273" s="1"/>
  <c r="AJ274" s="1"/>
  <c r="AJ275" s="1"/>
  <c r="AJ276" s="1"/>
  <c r="AJ277" s="1"/>
  <c r="AJ278" s="1"/>
  <c r="AJ279" s="1"/>
  <c r="AJ280" s="1"/>
  <c r="AJ281" s="1"/>
  <c r="AJ282" s="1"/>
  <c r="AJ283" s="1"/>
  <c r="AJ284" s="1"/>
  <c r="AJ285" s="1"/>
  <c r="AJ286" s="1"/>
  <c r="AJ287" s="1"/>
  <c r="AJ288" s="1"/>
  <c r="AJ289" s="1"/>
  <c r="AJ290" s="1"/>
  <c r="AJ291" s="1"/>
  <c r="AJ292" s="1"/>
  <c r="AJ293" s="1"/>
  <c r="AJ294" s="1"/>
  <c r="AJ295" s="1"/>
  <c r="AJ296" s="1"/>
  <c r="AJ297" s="1"/>
  <c r="AJ298" s="1"/>
  <c r="AJ299" s="1"/>
  <c r="AJ300" s="1"/>
  <c r="AJ301" s="1"/>
  <c r="AJ302" s="1"/>
  <c r="AJ303" s="1"/>
  <c r="AJ304" s="1"/>
  <c r="AJ305" s="1"/>
  <c r="AJ306" s="1"/>
  <c r="AJ307" s="1"/>
  <c r="AJ308" s="1"/>
  <c r="AJ309" s="1"/>
  <c r="AJ310" s="1"/>
  <c r="AJ311" s="1"/>
  <c r="AJ312" s="1"/>
  <c r="AJ313" s="1"/>
  <c r="AJ314" s="1"/>
  <c r="AJ315" s="1"/>
  <c r="AJ316" s="1"/>
  <c r="AJ317" s="1"/>
  <c r="AJ318" s="1"/>
  <c r="AJ319" s="1"/>
  <c r="AJ320" s="1"/>
  <c r="AJ321" s="1"/>
  <c r="AJ322" s="1"/>
  <c r="AJ323" s="1"/>
  <c r="AJ324" s="1"/>
  <c r="AJ325" s="1"/>
  <c r="AJ326" s="1"/>
  <c r="AJ327" s="1"/>
  <c r="AJ328" s="1"/>
  <c r="AJ329" s="1"/>
  <c r="AJ330" s="1"/>
  <c r="AJ331" s="1"/>
  <c r="AJ332" s="1"/>
  <c r="AJ333" s="1"/>
  <c r="AJ334" s="1"/>
  <c r="AJ335" s="1"/>
  <c r="AJ336" s="1"/>
  <c r="AJ337" s="1"/>
  <c r="AJ338" s="1"/>
  <c r="AJ339" s="1"/>
  <c r="AJ340" s="1"/>
  <c r="AJ341" s="1"/>
  <c r="AJ342" s="1"/>
  <c r="AJ343" s="1"/>
  <c r="AJ344" s="1"/>
  <c r="AJ345" s="1"/>
  <c r="AJ346" s="1"/>
  <c r="AJ347" s="1"/>
  <c r="AJ348" s="1"/>
  <c r="AJ349" s="1"/>
  <c r="AJ350" s="1"/>
  <c r="AJ351" s="1"/>
  <c r="AJ352" s="1"/>
  <c r="AJ353" s="1"/>
  <c r="AJ354" s="1"/>
  <c r="AJ355" s="1"/>
  <c r="AJ356" s="1"/>
  <c r="AJ357" s="1"/>
  <c r="AJ358" s="1"/>
  <c r="AJ359" s="1"/>
  <c r="AJ360" s="1"/>
  <c r="AJ361" s="1"/>
  <c r="AJ362" s="1"/>
  <c r="AJ363" s="1"/>
  <c r="AJ364" s="1"/>
  <c r="AJ365" s="1"/>
  <c r="AJ366" s="1"/>
  <c r="AJ367" s="1"/>
  <c r="AJ368" s="1"/>
  <c r="AJ369" s="1"/>
  <c r="AJ370" s="1"/>
  <c r="AJ371" s="1"/>
  <c r="AJ372" s="1"/>
  <c r="AJ373" s="1"/>
  <c r="AJ374" s="1"/>
  <c r="AJ375" s="1"/>
  <c r="AJ376" s="1"/>
  <c r="AJ377" s="1"/>
  <c r="AJ378" s="1"/>
  <c r="AJ379" s="1"/>
  <c r="AJ380" s="1"/>
  <c r="AJ381" s="1"/>
  <c r="AJ382" s="1"/>
  <c r="AJ383" s="1"/>
  <c r="AJ384" s="1"/>
  <c r="AJ385" s="1"/>
  <c r="AJ386" s="1"/>
  <c r="AJ387" s="1"/>
  <c r="AJ388" s="1"/>
  <c r="AJ389" s="1"/>
  <c r="AJ390" s="1"/>
  <c r="AJ391" s="1"/>
  <c r="AJ392" s="1"/>
  <c r="AJ393" s="1"/>
  <c r="AJ394" s="1"/>
  <c r="AJ395" s="1"/>
  <c r="AJ396" s="1"/>
  <c r="AJ397" s="1"/>
  <c r="AJ398" s="1"/>
  <c r="AJ399" s="1"/>
  <c r="AJ400" s="1"/>
  <c r="AJ401" s="1"/>
  <c r="AJ402" s="1"/>
  <c r="AJ403" s="1"/>
  <c r="AJ404" s="1"/>
  <c r="AJ405" s="1"/>
  <c r="AJ406" s="1"/>
  <c r="AJ407" s="1"/>
  <c r="AJ408" s="1"/>
  <c r="AJ409" s="1"/>
  <c r="AJ410" s="1"/>
  <c r="AJ411" s="1"/>
  <c r="AJ412" s="1"/>
  <c r="AJ413" s="1"/>
  <c r="AJ414" s="1"/>
  <c r="AJ415" s="1"/>
  <c r="AJ416" s="1"/>
  <c r="AJ417" s="1"/>
  <c r="AJ418" s="1"/>
  <c r="AJ419" s="1"/>
  <c r="AJ420" s="1"/>
  <c r="AJ421" s="1"/>
  <c r="AJ422" s="1"/>
  <c r="AJ423" s="1"/>
  <c r="AJ424" s="1"/>
  <c r="AJ425" s="1"/>
  <c r="AJ426" s="1"/>
  <c r="AJ427" s="1"/>
  <c r="AJ428" s="1"/>
  <c r="AJ429" s="1"/>
  <c r="AJ430" s="1"/>
  <c r="AJ431" s="1"/>
  <c r="AJ432" s="1"/>
  <c r="AJ433" s="1"/>
  <c r="AJ434" s="1"/>
  <c r="AJ435" s="1"/>
  <c r="AJ436" s="1"/>
  <c r="AJ437" s="1"/>
  <c r="AJ438" s="1"/>
  <c r="AJ439" s="1"/>
  <c r="AJ440" s="1"/>
  <c r="AJ441" s="1"/>
  <c r="AJ442" s="1"/>
  <c r="AJ443" s="1"/>
  <c r="AJ444" s="1"/>
  <c r="AJ445" s="1"/>
  <c r="AJ446" s="1"/>
  <c r="AJ447" s="1"/>
  <c r="AJ448" s="1"/>
  <c r="AJ449" s="1"/>
  <c r="AJ450" s="1"/>
  <c r="AJ451" s="1"/>
  <c r="AJ452" s="1"/>
  <c r="AJ453" s="1"/>
  <c r="AJ454" s="1"/>
  <c r="AJ455" s="1"/>
  <c r="AJ456" s="1"/>
  <c r="AJ457" s="1"/>
  <c r="AJ458" s="1"/>
  <c r="AJ459" s="1"/>
  <c r="AJ460" s="1"/>
  <c r="AJ461" s="1"/>
  <c r="AJ462" s="1"/>
  <c r="AJ463" s="1"/>
  <c r="AJ464" s="1"/>
  <c r="AJ465" s="1"/>
  <c r="AJ466" s="1"/>
  <c r="AJ467" s="1"/>
  <c r="AJ468" s="1"/>
  <c r="AJ469" s="1"/>
  <c r="AJ470" s="1"/>
  <c r="AJ471" s="1"/>
  <c r="AJ472" s="1"/>
  <c r="AJ473" s="1"/>
  <c r="AJ474" s="1"/>
  <c r="AJ475" s="1"/>
  <c r="AJ476" s="1"/>
  <c r="AJ477" s="1"/>
  <c r="AJ478" s="1"/>
  <c r="AJ479" s="1"/>
  <c r="AJ480" s="1"/>
  <c r="AJ481" s="1"/>
  <c r="AJ482" s="1"/>
  <c r="AJ483" s="1"/>
  <c r="AJ484" s="1"/>
  <c r="AJ485" s="1"/>
  <c r="AJ486" s="1"/>
  <c r="AJ487" s="1"/>
  <c r="AJ488" s="1"/>
  <c r="AJ489" s="1"/>
  <c r="AJ490" s="1"/>
  <c r="AJ491" s="1"/>
  <c r="AJ492" s="1"/>
  <c r="AJ493" s="1"/>
  <c r="AJ494" s="1"/>
  <c r="AJ495" s="1"/>
  <c r="AJ496" s="1"/>
  <c r="AJ497" s="1"/>
  <c r="AJ498" s="1"/>
  <c r="AJ499" s="1"/>
  <c r="AJ500" s="1"/>
  <c r="AJ501" s="1"/>
  <c r="AJ502" s="1"/>
  <c r="AJ503" s="1"/>
  <c r="AJ504" s="1"/>
  <c r="AJ505" s="1"/>
  <c r="AJ506" s="1"/>
  <c r="AJ507" s="1"/>
  <c r="AJ508" s="1"/>
  <c r="AJ509" s="1"/>
  <c r="AJ510" s="1"/>
  <c r="A13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D12"/>
  <c r="F4" i="8"/>
  <c r="D15" i="5"/>
  <c r="D14"/>
  <c r="D13"/>
  <c r="D1040"/>
  <c r="D1024"/>
  <c r="F1040"/>
  <c r="D1026"/>
  <c r="D1022"/>
  <c r="E1040"/>
  <c r="D1031"/>
  <c r="D1035"/>
  <c r="D1029"/>
  <c r="D1033"/>
  <c r="D1041"/>
  <c r="D1025"/>
  <c r="D1028"/>
  <c r="D1030"/>
  <c r="D1023"/>
  <c r="D1027"/>
  <c r="D1032"/>
  <c r="D1034"/>
  <c r="D520"/>
  <c r="D518"/>
  <c r="D519"/>
  <c r="D8"/>
  <c r="G16" i="4"/>
  <c r="G36"/>
  <c r="G38"/>
  <c r="G17"/>
  <c r="G26"/>
  <c r="G18"/>
  <c r="G50"/>
  <c r="G12"/>
  <c r="G60"/>
  <c r="G57"/>
  <c r="G10"/>
  <c r="G27"/>
  <c r="G53"/>
  <c r="G54"/>
  <c r="G55"/>
  <c r="G40"/>
  <c r="G34"/>
  <c r="G37"/>
  <c r="G29"/>
  <c r="G42"/>
  <c r="G28"/>
  <c r="G15"/>
  <c r="G56"/>
  <c r="G44"/>
  <c r="G46"/>
  <c r="G59"/>
  <c r="G13"/>
  <c r="G39"/>
  <c r="G58"/>
  <c r="G41"/>
  <c r="G49"/>
  <c r="G25"/>
  <c r="G48"/>
  <c r="G61"/>
  <c r="G45"/>
  <c r="G35"/>
  <c r="G52"/>
  <c r="G21"/>
  <c r="G11"/>
  <c r="G51"/>
  <c r="G30"/>
  <c r="G62"/>
  <c r="G22"/>
  <c r="G19"/>
  <c r="G43"/>
  <c r="G20"/>
  <c r="G23"/>
  <c r="G32"/>
  <c r="G33"/>
  <c r="G47"/>
  <c r="G31"/>
  <c r="G24"/>
  <c r="G14"/>
  <c r="G94" i="7" l="1"/>
  <c r="I5" i="11"/>
  <c r="BD61" i="2"/>
  <c r="BE61"/>
  <c r="BC61"/>
  <c r="AR62"/>
  <c r="AG7" i="1"/>
  <c r="AG6"/>
  <c r="AG5"/>
  <c r="AG4"/>
  <c r="AG3"/>
  <c r="AG2"/>
  <c r="AG1"/>
  <c r="H94" i="7" l="1"/>
  <c r="J5" i="11"/>
  <c r="BE62" i="2"/>
  <c r="BC62"/>
  <c r="BD62"/>
  <c r="AR63"/>
  <c r="AC2" i="1"/>
  <c r="AC3"/>
  <c r="AB3"/>
  <c r="AD3"/>
  <c r="AB2"/>
  <c r="AD2"/>
  <c r="E51"/>
  <c r="I94" i="7" l="1"/>
  <c r="K5" i="11"/>
  <c r="BD63" i="2"/>
  <c r="BE63"/>
  <c r="BC63"/>
  <c r="AR64"/>
  <c r="AD4" i="1"/>
  <c r="AB4"/>
  <c r="AC4"/>
  <c r="C51"/>
  <c r="J94" i="7" l="1"/>
  <c r="L5" i="11"/>
  <c r="BE64" i="2"/>
  <c r="BC64"/>
  <c r="BD64"/>
  <c r="AR65"/>
  <c r="AD5" i="1"/>
  <c r="AB5"/>
  <c r="AC5"/>
  <c r="H47"/>
  <c r="K94" i="7" l="1"/>
  <c r="M5" i="11"/>
  <c r="BD65" i="2"/>
  <c r="BE65"/>
  <c r="BC65"/>
  <c r="AR66"/>
  <c r="AD6" i="1"/>
  <c r="AB6"/>
  <c r="AC6"/>
  <c r="H48"/>
  <c r="L94" i="7" l="1"/>
  <c r="N5" i="11"/>
  <c r="BE66" i="2"/>
  <c r="BC66"/>
  <c r="BD66"/>
  <c r="AR67"/>
  <c r="AC7" i="1"/>
  <c r="AB7"/>
  <c r="AD7"/>
  <c r="E47"/>
  <c r="AM5"/>
  <c r="BD67" i="2" l="1"/>
  <c r="BE67"/>
  <c r="BC67"/>
  <c r="AR68"/>
  <c r="AD8" i="1"/>
  <c r="AB8"/>
  <c r="AC8"/>
  <c r="AR7"/>
  <c r="AV7" s="1"/>
  <c r="AQ7"/>
  <c r="AU7" s="1"/>
  <c r="AM4"/>
  <c r="BE68" i="2" l="1"/>
  <c r="BC68"/>
  <c r="BD68"/>
  <c r="AR69"/>
  <c r="AD9" i="1"/>
  <c r="AB9"/>
  <c r="AC9"/>
  <c r="AM3"/>
  <c r="AP3"/>
  <c r="BD69" i="2" l="1"/>
  <c r="BE69"/>
  <c r="BC69"/>
  <c r="AR70"/>
  <c r="AT3" i="1"/>
  <c r="AP7"/>
  <c r="AB10"/>
  <c r="AC10"/>
  <c r="AD10"/>
  <c r="AM2"/>
  <c r="AR2"/>
  <c r="AO2"/>
  <c r="AP2"/>
  <c r="BE70" i="2" l="1"/>
  <c r="BC70"/>
  <c r="BD70"/>
  <c r="AR71"/>
  <c r="AP6" i="1"/>
  <c r="AT2"/>
  <c r="AT7"/>
  <c r="F14" s="1"/>
  <c r="AR6"/>
  <c r="AV2"/>
  <c r="AD11"/>
  <c r="AB11"/>
  <c r="AC11"/>
  <c r="AM1"/>
  <c r="AQ1"/>
  <c r="AP1"/>
  <c r="AR1"/>
  <c r="AQ2"/>
  <c r="AQ6" l="1"/>
  <c r="AU2"/>
  <c r="AU6"/>
  <c r="AT6"/>
  <c r="BD71" i="2"/>
  <c r="BE71"/>
  <c r="BC71"/>
  <c r="AR72"/>
  <c r="AV6" i="1"/>
  <c r="AQ5"/>
  <c r="AU1"/>
  <c r="AR5"/>
  <c r="AV1"/>
  <c r="AP5"/>
  <c r="AT1"/>
  <c r="AD12"/>
  <c r="AB12"/>
  <c r="AC12"/>
  <c r="F13" l="1"/>
  <c r="BE72" i="2"/>
  <c r="BC72"/>
  <c r="BD72"/>
  <c r="AR73"/>
  <c r="AV5" i="1"/>
  <c r="AT5"/>
  <c r="AU5"/>
  <c r="AD13"/>
  <c r="AB13"/>
  <c r="AC13"/>
  <c r="BD73" i="2" l="1"/>
  <c r="BE73"/>
  <c r="BC73"/>
  <c r="AR74"/>
  <c r="F12" i="1"/>
  <c r="AC14"/>
  <c r="AD14"/>
  <c r="AB14"/>
  <c r="BE74" i="2" l="1"/>
  <c r="BC74"/>
  <c r="BD74"/>
  <c r="AR75"/>
  <c r="AD15" i="1"/>
  <c r="AB15"/>
  <c r="AC15"/>
  <c r="BD75" i="2" l="1"/>
  <c r="BE75"/>
  <c r="BC75"/>
  <c r="AR76"/>
  <c r="AD16" i="1"/>
  <c r="AB16"/>
  <c r="AC16"/>
  <c r="BE76" i="2" l="1"/>
  <c r="BC76"/>
  <c r="BD76"/>
  <c r="AR77"/>
  <c r="AD17" i="1"/>
  <c r="AB17"/>
  <c r="AC17"/>
  <c r="BD77" i="2" l="1"/>
  <c r="BE77"/>
  <c r="BC77"/>
  <c r="AR78"/>
  <c r="AD18" i="1"/>
  <c r="AB18"/>
  <c r="AC18"/>
  <c r="BE78" i="2" l="1"/>
  <c r="BC78"/>
  <c r="BD78"/>
  <c r="AR79"/>
  <c r="AD19" i="1"/>
  <c r="AB19"/>
  <c r="AC19"/>
  <c r="BD79" i="2" l="1"/>
  <c r="BE79"/>
  <c r="BC79"/>
  <c r="AR80"/>
  <c r="AC20" i="1"/>
  <c r="AD20"/>
  <c r="AB20"/>
  <c r="BE80" i="2" l="1"/>
  <c r="BC80"/>
  <c r="BD80"/>
  <c r="AR81"/>
  <c r="AD21" i="1"/>
  <c r="AB21"/>
  <c r="AC21"/>
  <c r="BD81" i="2" l="1"/>
  <c r="BE81"/>
  <c r="BC81"/>
  <c r="AR82"/>
  <c r="AC22" i="1"/>
  <c r="AB22"/>
  <c r="AD22"/>
  <c r="BE82" i="2" l="1"/>
  <c r="BC82"/>
  <c r="BD82"/>
  <c r="AR83"/>
  <c r="AD23" i="1"/>
  <c r="AB23"/>
  <c r="AC23"/>
  <c r="BD83" i="2" l="1"/>
  <c r="BE83"/>
  <c r="BC83"/>
  <c r="AR84"/>
  <c r="AC24" i="1"/>
  <c r="AD24"/>
  <c r="AB24"/>
  <c r="BE84" i="2" l="1"/>
  <c r="BC84"/>
  <c r="BD84"/>
  <c r="AR85"/>
  <c r="BD85" l="1"/>
  <c r="BE85"/>
  <c r="BC85"/>
  <c r="AR86"/>
  <c r="BE86" l="1"/>
  <c r="BC86"/>
  <c r="BD86"/>
  <c r="AR87"/>
  <c r="AD29" i="1"/>
  <c r="AB29"/>
  <c r="AC29"/>
  <c r="BD87" i="2" l="1"/>
  <c r="BE87"/>
  <c r="BC87"/>
  <c r="AR88"/>
  <c r="AC30" i="1"/>
  <c r="AD30"/>
  <c r="AB30"/>
  <c r="BE88" i="2" l="1"/>
  <c r="BC88"/>
  <c r="BD88"/>
  <c r="AR89"/>
  <c r="AD31" i="1"/>
  <c r="AB31"/>
  <c r="AC31"/>
  <c r="BD89" i="2" l="1"/>
  <c r="BE89"/>
  <c r="BC89"/>
  <c r="AR90"/>
  <c r="AC32" i="1"/>
  <c r="AB32"/>
  <c r="AD32"/>
  <c r="BE90" i="2" l="1"/>
  <c r="BC90"/>
  <c r="BD90"/>
  <c r="AR91"/>
  <c r="AD33" i="1"/>
  <c r="AB33"/>
  <c r="AC33"/>
  <c r="BD91" i="2" l="1"/>
  <c r="BE91"/>
  <c r="BC91"/>
  <c r="AR92"/>
  <c r="AC34" i="1"/>
  <c r="AB34"/>
  <c r="AD34"/>
  <c r="BE92" i="2" l="1"/>
  <c r="BC92"/>
  <c r="BD92"/>
  <c r="AR93"/>
  <c r="AD35" i="1"/>
  <c r="AB35"/>
  <c r="AC35"/>
  <c r="BD93" i="2" l="1"/>
  <c r="BE93"/>
  <c r="BC93"/>
  <c r="AR94"/>
  <c r="AC36" i="1"/>
  <c r="AB36"/>
  <c r="AD36"/>
  <c r="BE94" i="2" l="1"/>
  <c r="BC94"/>
  <c r="BD94"/>
  <c r="AR95"/>
  <c r="AD37" i="1"/>
  <c r="AB37"/>
  <c r="AC37"/>
  <c r="BD95" i="2" l="1"/>
  <c r="BE95"/>
  <c r="BC95"/>
  <c r="AR96"/>
  <c r="AD38" i="1"/>
  <c r="AB38"/>
  <c r="AC38"/>
  <c r="BE96" i="2" l="1"/>
  <c r="BC96"/>
  <c r="BD96"/>
  <c r="AR97"/>
  <c r="AD39" i="1"/>
  <c r="AB39"/>
  <c r="AC39"/>
  <c r="BD97" i="2" l="1"/>
  <c r="BE97"/>
  <c r="BC97"/>
  <c r="AR98"/>
  <c r="AB40" i="1"/>
  <c r="AC40"/>
  <c r="AD40"/>
  <c r="BE98" i="2" l="1"/>
  <c r="BC98"/>
  <c r="BD98"/>
  <c r="AR99"/>
  <c r="AD41" i="1"/>
  <c r="AB41"/>
  <c r="AC41"/>
  <c r="BD99" i="2" l="1"/>
  <c r="BE99"/>
  <c r="BC99"/>
  <c r="AR100"/>
  <c r="AC42" i="1"/>
  <c r="AD42"/>
  <c r="AB42"/>
  <c r="BE100" i="2" l="1"/>
  <c r="BC100"/>
  <c r="BD100"/>
  <c r="AR101"/>
  <c r="AC43" i="1"/>
  <c r="AB43"/>
  <c r="AD43"/>
  <c r="BD101" i="2" l="1"/>
  <c r="BE101"/>
  <c r="BC101"/>
  <c r="AR102"/>
  <c r="AC44" i="1"/>
  <c r="AB44"/>
  <c r="AD44"/>
  <c r="BE102" i="2" l="1"/>
  <c r="BC102"/>
  <c r="BD102"/>
  <c r="AR103"/>
  <c r="AC45" i="1"/>
  <c r="AB45"/>
  <c r="AD45"/>
  <c r="BD103" i="2" l="1"/>
  <c r="BE103"/>
  <c r="BC103"/>
  <c r="AR104"/>
  <c r="AC46" i="1"/>
  <c r="AB46"/>
  <c r="AD46"/>
  <c r="BE104" i="2" l="1"/>
  <c r="BC104"/>
  <c r="BD104"/>
  <c r="AR105"/>
  <c r="AC47" i="1"/>
  <c r="AB47"/>
  <c r="AD47"/>
  <c r="BD105" i="2" l="1"/>
  <c r="BE105"/>
  <c r="BC105"/>
  <c r="AR106"/>
  <c r="AC48" i="1"/>
  <c r="AB48"/>
  <c r="AD48"/>
  <c r="BE106" i="2" l="1"/>
  <c r="BC106"/>
  <c r="BD106"/>
  <c r="AR107"/>
  <c r="AC49" i="1"/>
  <c r="AB49"/>
  <c r="AD49"/>
  <c r="BD107" i="2" l="1"/>
  <c r="BE107"/>
  <c r="BC107"/>
  <c r="AR108"/>
  <c r="AC50" i="1"/>
  <c r="AB50"/>
  <c r="AD50"/>
  <c r="BE108" i="2" l="1"/>
  <c r="BC108"/>
  <c r="BD108"/>
  <c r="AR109"/>
  <c r="AD51" i="1"/>
  <c r="AB51"/>
  <c r="AC51"/>
  <c r="BD109" i="2" l="1"/>
  <c r="BE109"/>
  <c r="BC109"/>
  <c r="AR110"/>
  <c r="AD52" i="1"/>
  <c r="AB52"/>
  <c r="AC52"/>
  <c r="BE110" i="2" l="1"/>
  <c r="BC110"/>
  <c r="BD110"/>
  <c r="AR111"/>
  <c r="AD53" i="1"/>
  <c r="AB53"/>
  <c r="AC53"/>
  <c r="BD111" i="2" l="1"/>
  <c r="BE111"/>
  <c r="BC111"/>
  <c r="AR112"/>
  <c r="AD54" i="1"/>
  <c r="AB54"/>
  <c r="AC54"/>
  <c r="BE112" i="2" l="1"/>
  <c r="BC112"/>
  <c r="BD112"/>
  <c r="AR113"/>
  <c r="AC55" i="1"/>
  <c r="AB55"/>
  <c r="AD55"/>
  <c r="BD113" i="2" l="1"/>
  <c r="BE113"/>
  <c r="BC113"/>
  <c r="AR114"/>
  <c r="AD56" i="1"/>
  <c r="AB56"/>
  <c r="AC56"/>
  <c r="BE114" i="2" l="1"/>
  <c r="BC114"/>
  <c r="BD114"/>
  <c r="AR115"/>
  <c r="AC57" i="1"/>
  <c r="AD57"/>
  <c r="AB57"/>
  <c r="BD115" i="2" l="1"/>
  <c r="BE115"/>
  <c r="BC115"/>
  <c r="AR116"/>
  <c r="AD58" i="1"/>
  <c r="AB58"/>
  <c r="AC58"/>
  <c r="BE116" i="2" l="1"/>
  <c r="BC116"/>
  <c r="BD116"/>
  <c r="AR117"/>
  <c r="AD59" i="1"/>
  <c r="AB59"/>
  <c r="AC59"/>
  <c r="BD117" i="2" l="1"/>
  <c r="BE117"/>
  <c r="BC117"/>
  <c r="AR118"/>
  <c r="AC60" i="1"/>
  <c r="AD60"/>
  <c r="AB60"/>
  <c r="BE118" i="2" l="1"/>
  <c r="BC118"/>
  <c r="BD118"/>
  <c r="AR119"/>
  <c r="AD61" i="1"/>
  <c r="AB61"/>
  <c r="AC61"/>
  <c r="BD119" i="2" l="1"/>
  <c r="BE119"/>
  <c r="BC119"/>
  <c r="AR120"/>
  <c r="AC62" i="1"/>
  <c r="AD62"/>
  <c r="AB62"/>
  <c r="BE120" i="2" l="1"/>
  <c r="BC120"/>
  <c r="BD120"/>
  <c r="AR121"/>
  <c r="AD63" i="1"/>
  <c r="AB63"/>
  <c r="AC63"/>
  <c r="BD121" i="2" l="1"/>
  <c r="BE121"/>
  <c r="BC121"/>
  <c r="AR122"/>
  <c r="AD64" i="1"/>
  <c r="AB64"/>
  <c r="AC64"/>
  <c r="BE122" i="2" l="1"/>
  <c r="BC122"/>
  <c r="BD122"/>
  <c r="AR123"/>
  <c r="AD65" i="1"/>
  <c r="AB65"/>
  <c r="AC65"/>
  <c r="BD123" i="2" l="1"/>
  <c r="BE123"/>
  <c r="BC123"/>
  <c r="AR124"/>
  <c r="AD66" i="1"/>
  <c r="AB66"/>
  <c r="AC66"/>
  <c r="BE124" i="2" l="1"/>
  <c r="BC124"/>
  <c r="BD124"/>
  <c r="AR125"/>
  <c r="AD67" i="1"/>
  <c r="AB67"/>
  <c r="AC67"/>
  <c r="BD125" i="2" l="1"/>
  <c r="BE125"/>
  <c r="BC125"/>
  <c r="AR126"/>
  <c r="AD68" i="1"/>
  <c r="AB68"/>
  <c r="AC68"/>
  <c r="BE126" i="2" l="1"/>
  <c r="BC126"/>
  <c r="BD126"/>
  <c r="AR127"/>
  <c r="AC69" i="1"/>
  <c r="AD69"/>
  <c r="AB69"/>
  <c r="BD127" i="2" l="1"/>
  <c r="BE127"/>
  <c r="BC127"/>
  <c r="AR128"/>
  <c r="AD70" i="1"/>
  <c r="AB70"/>
  <c r="AC70"/>
  <c r="BE128" i="2" l="1"/>
  <c r="BC128"/>
  <c r="BD128"/>
  <c r="AR129"/>
  <c r="AD71" i="1"/>
  <c r="AB71"/>
  <c r="AC71"/>
  <c r="BD129" i="2" l="1"/>
  <c r="BE129"/>
  <c r="BC129"/>
  <c r="AR130"/>
  <c r="AD72" i="1"/>
  <c r="AB72"/>
  <c r="AC72"/>
  <c r="BE130" i="2" l="1"/>
  <c r="BC130"/>
  <c r="BD130"/>
  <c r="AR131"/>
  <c r="AB73" i="1"/>
  <c r="AD73"/>
  <c r="AC73"/>
  <c r="BD131" i="2" l="1"/>
  <c r="BE131"/>
  <c r="BC131"/>
  <c r="AR132"/>
  <c r="AC74" i="1"/>
  <c r="AB74"/>
  <c r="AD74"/>
  <c r="BE132" i="2" l="1"/>
  <c r="BC132"/>
  <c r="BD132"/>
  <c r="AR133"/>
  <c r="AC75" i="1"/>
  <c r="AB75"/>
  <c r="AD75"/>
  <c r="BD133" i="2" l="1"/>
  <c r="BE133"/>
  <c r="BC133"/>
  <c r="AR134"/>
  <c r="AC76" i="1"/>
  <c r="AB76"/>
  <c r="AD76"/>
  <c r="BE134" i="2" l="1"/>
  <c r="BC134"/>
  <c r="BD134"/>
  <c r="AR135"/>
  <c r="AB77" i="1"/>
  <c r="AC77"/>
  <c r="AD77"/>
  <c r="BD135" i="2" l="1"/>
  <c r="BE135"/>
  <c r="BC135"/>
  <c r="AR136"/>
  <c r="AC78" i="1"/>
  <c r="AB78"/>
  <c r="AD78"/>
  <c r="BE136" i="2" l="1"/>
  <c r="BC136"/>
  <c r="BD136"/>
  <c r="AR137"/>
  <c r="AC79" i="1"/>
  <c r="AD79"/>
  <c r="AB79"/>
  <c r="BD137" i="2" l="1"/>
  <c r="BE137"/>
  <c r="BC137"/>
  <c r="AR138"/>
  <c r="AB80" i="1"/>
  <c r="AD80"/>
  <c r="AC80"/>
  <c r="BE138" i="2" l="1"/>
  <c r="BC138"/>
  <c r="BD138"/>
  <c r="AR139"/>
  <c r="AD81" i="1"/>
  <c r="AB81"/>
  <c r="AC81"/>
  <c r="BD139" i="2" l="1"/>
  <c r="BE139"/>
  <c r="BC139"/>
  <c r="AR140"/>
  <c r="AD82" i="1"/>
  <c r="AB82"/>
  <c r="AC82"/>
  <c r="BE140" i="2" l="1"/>
  <c r="BC140"/>
  <c r="BD140"/>
  <c r="AR141"/>
  <c r="AD83" i="1"/>
  <c r="AB83"/>
  <c r="AC83"/>
  <c r="BD141" i="2" l="1"/>
  <c r="BE141"/>
  <c r="BC141"/>
  <c r="AR142"/>
  <c r="AD84" i="1"/>
  <c r="AB84"/>
  <c r="AC84"/>
  <c r="BE142" i="2" l="1"/>
  <c r="BC142"/>
  <c r="BD142"/>
  <c r="AR143"/>
  <c r="AD85" i="1"/>
  <c r="AB85"/>
  <c r="AC85"/>
  <c r="BD143" i="2" l="1"/>
  <c r="BE143"/>
  <c r="BC143"/>
  <c r="AR144"/>
  <c r="AD86" i="1"/>
  <c r="AB86"/>
  <c r="AC86"/>
  <c r="BE144" i="2" l="1"/>
  <c r="BC144"/>
  <c r="BD144"/>
  <c r="AR145"/>
  <c r="AD87" i="1"/>
  <c r="AB87"/>
  <c r="AC87"/>
  <c r="BD145" i="2" l="1"/>
  <c r="BE145"/>
  <c r="BC145"/>
  <c r="AR146"/>
  <c r="AC88" i="1"/>
  <c r="AD88"/>
  <c r="AB88"/>
  <c r="BE146" i="2" l="1"/>
  <c r="BC146"/>
  <c r="BD146"/>
  <c r="AR147"/>
  <c r="AB89" i="1"/>
  <c r="AD89"/>
  <c r="AC89"/>
  <c r="BD147" i="2" l="1"/>
  <c r="BE147"/>
  <c r="BC147"/>
  <c r="AR148"/>
  <c r="AC90" i="1"/>
  <c r="AD90"/>
  <c r="AB90"/>
  <c r="BE148" i="2" l="1"/>
  <c r="BC148"/>
  <c r="BD148"/>
  <c r="AR149"/>
  <c r="AD91" i="1"/>
  <c r="AB91"/>
  <c r="AC91"/>
  <c r="BD149" i="2" l="1"/>
  <c r="BE149"/>
  <c r="BC149"/>
  <c r="AR150"/>
  <c r="AC92" i="1"/>
  <c r="AD92"/>
  <c r="AB92"/>
  <c r="BE150" i="2" l="1"/>
  <c r="BC150"/>
  <c r="BD150"/>
  <c r="AR151"/>
  <c r="AD93" i="1"/>
  <c r="AB93"/>
  <c r="AC93"/>
  <c r="BD151" i="2" l="1"/>
  <c r="BE151"/>
  <c r="BC151"/>
  <c r="AR152"/>
  <c r="AC94" i="1"/>
  <c r="AB94"/>
  <c r="AD94"/>
  <c r="BE152" i="2" l="1"/>
  <c r="BC152"/>
  <c r="BD152"/>
  <c r="AR153"/>
  <c r="AD95" i="1"/>
  <c r="AB95"/>
  <c r="AC95"/>
  <c r="BD153" i="2" l="1"/>
  <c r="BE153"/>
  <c r="BC153"/>
  <c r="AR154"/>
  <c r="AD96" i="1"/>
  <c r="AB96"/>
  <c r="AC96"/>
  <c r="BE154" i="2" l="1"/>
  <c r="BC154"/>
  <c r="BD154"/>
  <c r="AR155"/>
  <c r="AC97" i="1"/>
  <c r="AB97"/>
  <c r="AD97"/>
  <c r="BD155" i="2" l="1"/>
  <c r="BE155"/>
  <c r="BC155"/>
  <c r="AR156"/>
  <c r="AD98" i="1"/>
  <c r="AB98"/>
  <c r="AC98"/>
  <c r="BE156" i="2" l="1"/>
  <c r="BC156"/>
  <c r="BD156"/>
  <c r="AR157"/>
  <c r="AC99" i="1"/>
  <c r="AD99"/>
  <c r="AB99"/>
  <c r="BD157" i="2" l="1"/>
  <c r="BE157"/>
  <c r="BC157"/>
  <c r="AR158"/>
  <c r="AD100" i="1"/>
  <c r="AB100"/>
  <c r="AC100"/>
  <c r="BE158" i="2" l="1"/>
  <c r="BC158"/>
  <c r="BD158"/>
  <c r="AR159"/>
  <c r="AD101" i="1"/>
  <c r="AB101"/>
  <c r="AC101"/>
  <c r="BD159" i="2" l="1"/>
  <c r="BE159"/>
  <c r="BC159"/>
  <c r="AR160"/>
  <c r="AB102" i="1"/>
  <c r="AD102"/>
  <c r="AC102"/>
  <c r="BE160" i="2" l="1"/>
  <c r="BC160"/>
  <c r="BD160"/>
  <c r="AR161"/>
  <c r="AD103" i="1"/>
  <c r="AB103"/>
  <c r="AC103"/>
  <c r="BD161" i="2" l="1"/>
  <c r="BE161"/>
  <c r="BC161"/>
  <c r="AR162"/>
  <c r="AC104" i="1"/>
  <c r="AD104"/>
  <c r="AB104"/>
  <c r="BE162" i="2" l="1"/>
  <c r="BC162"/>
  <c r="BD162"/>
  <c r="AR163"/>
  <c r="AD105" i="1"/>
  <c r="AB105"/>
  <c r="AC105"/>
  <c r="BD163" i="2" l="1"/>
  <c r="BE163"/>
  <c r="BC163"/>
  <c r="AR164"/>
  <c r="AD106" i="1"/>
  <c r="AB106"/>
  <c r="AC106"/>
  <c r="BE164" i="2" l="1"/>
  <c r="BC164"/>
  <c r="BD164"/>
  <c r="AR165"/>
  <c r="AC107" i="1"/>
  <c r="AD107"/>
  <c r="AB107"/>
  <c r="BD165" i="2" l="1"/>
  <c r="BE165"/>
  <c r="BC165"/>
  <c r="AR166"/>
  <c r="AD108" i="1"/>
  <c r="AB108"/>
  <c r="AC108"/>
  <c r="BE166" i="2" l="1"/>
  <c r="BC166"/>
  <c r="BD166"/>
  <c r="AR167"/>
  <c r="AC109" i="1"/>
  <c r="AB109"/>
  <c r="AD109"/>
  <c r="BD167" i="2" l="1"/>
  <c r="BE167"/>
  <c r="BC167"/>
  <c r="AR168"/>
  <c r="AD110" i="1"/>
  <c r="AB110"/>
  <c r="AC110"/>
  <c r="BE168" i="2" l="1"/>
  <c r="BC168"/>
  <c r="BD168"/>
  <c r="AR169"/>
  <c r="AD111" i="1"/>
  <c r="AB111"/>
  <c r="AC111"/>
  <c r="BD169" i="2" l="1"/>
  <c r="BE169"/>
  <c r="BC169"/>
  <c r="AR170"/>
  <c r="AD112" i="1"/>
  <c r="AB112"/>
  <c r="AC112"/>
  <c r="BE170" i="2" l="1"/>
  <c r="BC170"/>
  <c r="BD170"/>
  <c r="AR171"/>
  <c r="AC113" i="1"/>
  <c r="AB113"/>
  <c r="AD113"/>
  <c r="BD171" i="2" l="1"/>
  <c r="BE171"/>
  <c r="BC171"/>
  <c r="AR172"/>
  <c r="AC114" i="1"/>
  <c r="AD114"/>
  <c r="AB114"/>
  <c r="BE172" i="2" l="1"/>
  <c r="BC172"/>
  <c r="BD172"/>
  <c r="AR173"/>
  <c r="AC115" i="1"/>
  <c r="AB115"/>
  <c r="AD115"/>
  <c r="BD173" i="2" l="1"/>
  <c r="BE173"/>
  <c r="BC173"/>
  <c r="AR174"/>
  <c r="AC116" i="1"/>
  <c r="AD116"/>
  <c r="AB116"/>
  <c r="BE174" i="2" l="1"/>
  <c r="BC174"/>
  <c r="BD174"/>
  <c r="AR175"/>
  <c r="AD117" i="1"/>
  <c r="AB117"/>
  <c r="AC117"/>
  <c r="BD175" i="2" l="1"/>
  <c r="BE175"/>
  <c r="BC175"/>
  <c r="AR176"/>
  <c r="AC118" i="1"/>
  <c r="AB118"/>
  <c r="AD118"/>
  <c r="BE176" i="2" l="1"/>
  <c r="BC176"/>
  <c r="BD176"/>
  <c r="AR177"/>
  <c r="AD119" i="1"/>
  <c r="AB119"/>
  <c r="AC119"/>
  <c r="BD177" i="2" l="1"/>
  <c r="BE177"/>
  <c r="BC177"/>
  <c r="AR178"/>
  <c r="AC120" i="1"/>
  <c r="AD120"/>
  <c r="AB120"/>
  <c r="BE178" i="2" l="1"/>
  <c r="BC178"/>
  <c r="BD178"/>
  <c r="AR179"/>
  <c r="AC121" i="1"/>
  <c r="AB121"/>
  <c r="AD121"/>
  <c r="BD179" i="2" l="1"/>
  <c r="BE179"/>
  <c r="BC179"/>
  <c r="AR180"/>
  <c r="AD122" i="1"/>
  <c r="AB122"/>
  <c r="AC122"/>
  <c r="BE180" i="2" l="1"/>
  <c r="BC180"/>
  <c r="BD180"/>
  <c r="AR181"/>
  <c r="AC123" i="1"/>
  <c r="AD123"/>
  <c r="AB123"/>
  <c r="BD181" i="2" l="1"/>
  <c r="BE181"/>
  <c r="BC181"/>
  <c r="AR182"/>
  <c r="AD124" i="1"/>
  <c r="AB124"/>
  <c r="AC124"/>
  <c r="BE182" i="2" l="1"/>
  <c r="BC182"/>
  <c r="BD182"/>
  <c r="AR183"/>
  <c r="AD125" i="1"/>
  <c r="AB125"/>
  <c r="AC125"/>
  <c r="BD183" i="2" l="1"/>
  <c r="BE183"/>
  <c r="BC183"/>
  <c r="AR184"/>
  <c r="AC126" i="1"/>
  <c r="AD126"/>
  <c r="AB126"/>
  <c r="BE184" i="2" l="1"/>
  <c r="BC184"/>
  <c r="BD184"/>
  <c r="AR185"/>
  <c r="AB127" i="1"/>
  <c r="AC127"/>
  <c r="AD127"/>
  <c r="BD185" i="2" l="1"/>
  <c r="BE185"/>
  <c r="BC185"/>
  <c r="AR186"/>
  <c r="AD128" i="1"/>
  <c r="AB128"/>
  <c r="AC128"/>
  <c r="BE186" i="2" l="1"/>
  <c r="BC186"/>
  <c r="BD186"/>
  <c r="AR187"/>
  <c r="AD129" i="1"/>
  <c r="AB129"/>
  <c r="AC129"/>
  <c r="BD187" i="2" l="1"/>
  <c r="BE187"/>
  <c r="BC187"/>
  <c r="AR188"/>
  <c r="AD130" i="1"/>
  <c r="AB130"/>
  <c r="AC130"/>
  <c r="BE188" i="2" l="1"/>
  <c r="BC188"/>
  <c r="BD188"/>
  <c r="AR189"/>
  <c r="AD131" i="1"/>
  <c r="AB131"/>
  <c r="AC131"/>
  <c r="BD189" i="2" l="1"/>
  <c r="BE189"/>
  <c r="BC189"/>
  <c r="AR190"/>
  <c r="AD132" i="1"/>
  <c r="AB132"/>
  <c r="AC132"/>
  <c r="BE190" i="2" l="1"/>
  <c r="BC190"/>
  <c r="BD190"/>
  <c r="AR191"/>
  <c r="AD133" i="1"/>
  <c r="AB133"/>
  <c r="AC133"/>
  <c r="BD191" i="2" l="1"/>
  <c r="BE191"/>
  <c r="BC191"/>
  <c r="AR192"/>
  <c r="AD134" i="1"/>
  <c r="AB134"/>
  <c r="AC134"/>
  <c r="BE192" i="2" l="1"/>
  <c r="BC192"/>
  <c r="BD192"/>
  <c r="AR193"/>
  <c r="AD135" i="1"/>
  <c r="AB135"/>
  <c r="AC135"/>
  <c r="BD193" i="2" l="1"/>
  <c r="BE193"/>
  <c r="BC193"/>
  <c r="AR194"/>
  <c r="AD136" i="1"/>
  <c r="AB136"/>
  <c r="AC136"/>
  <c r="BE194" i="2" l="1"/>
  <c r="BC194"/>
  <c r="BD194"/>
  <c r="AR195"/>
  <c r="AB137" i="1"/>
  <c r="AD137"/>
  <c r="AC137"/>
  <c r="BD195" i="2" l="1"/>
  <c r="BE195"/>
  <c r="BC195"/>
  <c r="AR196"/>
  <c r="AC138" i="1"/>
  <c r="AD138"/>
  <c r="AB138"/>
  <c r="BE196" i="2" l="1"/>
  <c r="BC196"/>
  <c r="BD196"/>
  <c r="AR197"/>
  <c r="AD139" i="1"/>
  <c r="AB139"/>
  <c r="AC139"/>
  <c r="BD197" i="2" l="1"/>
  <c r="BE197"/>
  <c r="BC197"/>
  <c r="AR198"/>
  <c r="AC140" i="1"/>
  <c r="AB140"/>
  <c r="AD140"/>
  <c r="BE198" i="2" l="1"/>
  <c r="BC198"/>
  <c r="BD198"/>
  <c r="AR199"/>
  <c r="AC141" i="1"/>
  <c r="AD141"/>
  <c r="AB141"/>
  <c r="BD199" i="2" l="1"/>
  <c r="BE199"/>
  <c r="BC199"/>
  <c r="AR200"/>
  <c r="AD142" i="1"/>
  <c r="AB142"/>
  <c r="AC142"/>
  <c r="BE200" i="2" l="1"/>
  <c r="BC200"/>
  <c r="BD200"/>
  <c r="AR201"/>
  <c r="AC143" i="1"/>
  <c r="AB143"/>
  <c r="AD143"/>
  <c r="BD201" i="2" l="1"/>
  <c r="BE201"/>
  <c r="BC201"/>
  <c r="AR202"/>
  <c r="AD144" i="1"/>
  <c r="AB144"/>
  <c r="AC144"/>
  <c r="BE202" i="2" l="1"/>
  <c r="BC202"/>
  <c r="BD202"/>
  <c r="AR203"/>
  <c r="AD145" i="1"/>
  <c r="AB145"/>
  <c r="AC145"/>
  <c r="BD203" i="2" l="1"/>
  <c r="BE203"/>
  <c r="BC203"/>
  <c r="AR204"/>
  <c r="AB146" i="1"/>
  <c r="AD146"/>
  <c r="AC146"/>
  <c r="BE204" i="2" l="1"/>
  <c r="BC204"/>
  <c r="BD204"/>
  <c r="AR205"/>
  <c r="AC147" i="1"/>
  <c r="AD147"/>
  <c r="AB147"/>
  <c r="BD205" i="2" l="1"/>
  <c r="BE205"/>
  <c r="BC205"/>
  <c r="AR206"/>
  <c r="AD148" i="1"/>
  <c r="AB148"/>
  <c r="AC148"/>
  <c r="BE206" i="2" l="1"/>
  <c r="BC206"/>
  <c r="BD206"/>
  <c r="AR207"/>
  <c r="AC149" i="1"/>
  <c r="AB149"/>
  <c r="AD149"/>
  <c r="BD207" i="2" l="1"/>
  <c r="BE207"/>
  <c r="BC207"/>
  <c r="AR208"/>
  <c r="AC150" i="1"/>
  <c r="AD150"/>
  <c r="AB150"/>
  <c r="BE208" i="2" l="1"/>
  <c r="BC208"/>
  <c r="BD208"/>
  <c r="AR209"/>
  <c r="AD151" i="1"/>
  <c r="AB151"/>
  <c r="AC151"/>
  <c r="BD209" i="2" l="1"/>
  <c r="BE209"/>
  <c r="BC209"/>
  <c r="AR210"/>
  <c r="AC152" i="1"/>
  <c r="AB152"/>
  <c r="AD152"/>
  <c r="BE210" i="2" l="1"/>
  <c r="BC210"/>
  <c r="BD210"/>
  <c r="AR211"/>
  <c r="AC153" i="1"/>
  <c r="AD153"/>
  <c r="AB153"/>
  <c r="BD211" i="2" l="1"/>
  <c r="BE211"/>
  <c r="BC211"/>
  <c r="AR212"/>
  <c r="AD154" i="1"/>
  <c r="AB154"/>
  <c r="AC154"/>
  <c r="BE212" i="2" l="1"/>
  <c r="BC212"/>
  <c r="BD212"/>
  <c r="AR213"/>
  <c r="AD155" i="1"/>
  <c r="AB155"/>
  <c r="AC155"/>
  <c r="BD213" i="2" l="1"/>
  <c r="BE213"/>
  <c r="BC213"/>
  <c r="AR214"/>
  <c r="AC156" i="1"/>
  <c r="AD156"/>
  <c r="AB156"/>
  <c r="BE214" i="2" l="1"/>
  <c r="BC214"/>
  <c r="BD214"/>
  <c r="AR215"/>
  <c r="AB157" i="1"/>
  <c r="AD157"/>
  <c r="AC157"/>
  <c r="BD215" i="2" l="1"/>
  <c r="BE215"/>
  <c r="BC215"/>
  <c r="AR216"/>
  <c r="AC158" i="1"/>
  <c r="AB158"/>
  <c r="AD158"/>
  <c r="BE216" i="2" l="1"/>
  <c r="BC216"/>
  <c r="BD216"/>
  <c r="AR217"/>
  <c r="AD159" i="1"/>
  <c r="AB159"/>
  <c r="AC159"/>
  <c r="BD217" i="2" l="1"/>
  <c r="BE217"/>
  <c r="BC217"/>
  <c r="AR218"/>
  <c r="AC160" i="1"/>
  <c r="AB160"/>
  <c r="AD160"/>
  <c r="BE218" i="2" l="1"/>
  <c r="BC218"/>
  <c r="BD218"/>
  <c r="AR219"/>
  <c r="AD161" i="1"/>
  <c r="AB161"/>
  <c r="AC161"/>
  <c r="BD219" i="2" l="1"/>
  <c r="BE219"/>
  <c r="BC219"/>
  <c r="AR220"/>
  <c r="AC162" i="1"/>
  <c r="AD162"/>
  <c r="AB162"/>
  <c r="BE220" i="2" l="1"/>
  <c r="BC220"/>
  <c r="BD220"/>
  <c r="AR221"/>
  <c r="AC163" i="1"/>
  <c r="AD163"/>
  <c r="AB163"/>
  <c r="BD221" i="2" l="1"/>
  <c r="BE221"/>
  <c r="BC221"/>
  <c r="AR222"/>
  <c r="AD164" i="1"/>
  <c r="AB164"/>
  <c r="AC164"/>
  <c r="BE222" i="2" l="1"/>
  <c r="BC222"/>
  <c r="BD222"/>
  <c r="AR223"/>
  <c r="AD165" i="1"/>
  <c r="AB165"/>
  <c r="AC165"/>
  <c r="BD223" i="2" l="1"/>
  <c r="BE223"/>
  <c r="BC223"/>
  <c r="AR224"/>
  <c r="AC166" i="1"/>
  <c r="AB166"/>
  <c r="AD166"/>
  <c r="BE224" i="2" l="1"/>
  <c r="BC224"/>
  <c r="BD224"/>
  <c r="AR225"/>
  <c r="AC167" i="1"/>
  <c r="AD167"/>
  <c r="AB167"/>
  <c r="BD225" i="2" l="1"/>
  <c r="BE225"/>
  <c r="BC225"/>
  <c r="AR226"/>
  <c r="AD168" i="1"/>
  <c r="AB168"/>
  <c r="AC168"/>
  <c r="BE226" i="2" l="1"/>
  <c r="BC226"/>
  <c r="BD226"/>
  <c r="AR227"/>
  <c r="AC169" i="1"/>
  <c r="AD169"/>
  <c r="AB169"/>
  <c r="BD227" i="2" l="1"/>
  <c r="BE227"/>
  <c r="BC227"/>
  <c r="AR228"/>
  <c r="AC170" i="1"/>
  <c r="AB170"/>
  <c r="AD170"/>
  <c r="BE228" i="2" l="1"/>
  <c r="BC228"/>
  <c r="BD228"/>
  <c r="AR229"/>
  <c r="AB171" i="1"/>
  <c r="AD171"/>
  <c r="AC171"/>
  <c r="BD229" i="2" l="1"/>
  <c r="BE229"/>
  <c r="BC229"/>
  <c r="AR230"/>
  <c r="AC172" i="1"/>
  <c r="AD172"/>
  <c r="AB172"/>
  <c r="BE230" i="2" l="1"/>
  <c r="BC230"/>
  <c r="BD230"/>
  <c r="AR231"/>
  <c r="AD173" i="1"/>
  <c r="AB173"/>
  <c r="AC173"/>
  <c r="BD231" i="2" l="1"/>
  <c r="BE231"/>
  <c r="BC231"/>
  <c r="AR232"/>
  <c r="AC174" i="1"/>
  <c r="AB174"/>
  <c r="AD174"/>
  <c r="BE232" i="2" l="1"/>
  <c r="BC232"/>
  <c r="BD232"/>
  <c r="AR233"/>
  <c r="AD175" i="1"/>
  <c r="AB175"/>
  <c r="AC175"/>
  <c r="BD233" i="2" l="1"/>
  <c r="BE233"/>
  <c r="BC233"/>
  <c r="AR234"/>
  <c r="AC176" i="1"/>
  <c r="AD176"/>
  <c r="AB176"/>
  <c r="BE234" i="2" l="1"/>
  <c r="BC234"/>
  <c r="BD234"/>
  <c r="AR235"/>
  <c r="AD177" i="1"/>
  <c r="AB177"/>
  <c r="AC177"/>
  <c r="BD235" i="2" l="1"/>
  <c r="BE235"/>
  <c r="BC235"/>
  <c r="AR236"/>
  <c r="AD178" i="1"/>
  <c r="AB178"/>
  <c r="AC178"/>
  <c r="BE236" i="2" l="1"/>
  <c r="BC236"/>
  <c r="BD236"/>
  <c r="AR237"/>
  <c r="AD179" i="1"/>
  <c r="AB179"/>
  <c r="AC179"/>
  <c r="BD237" i="2" l="1"/>
  <c r="BE237"/>
  <c r="BC237"/>
  <c r="AR238"/>
  <c r="AC180" i="1"/>
  <c r="AD180"/>
  <c r="AB180"/>
  <c r="BE238" i="2" l="1"/>
  <c r="BC238"/>
  <c r="BD238"/>
  <c r="AR239"/>
  <c r="AC181" i="1"/>
  <c r="AD181"/>
  <c r="AB181"/>
  <c r="BD239" i="2" l="1"/>
  <c r="BE239"/>
  <c r="BC239"/>
  <c r="AR240"/>
  <c r="AC182" i="1"/>
  <c r="AB182"/>
  <c r="AD182"/>
  <c r="BE240" i="2" l="1"/>
  <c r="BC240"/>
  <c r="BD240"/>
  <c r="AR241"/>
  <c r="AC183" i="1"/>
  <c r="AB183"/>
  <c r="AD183"/>
  <c r="BD241" i="2" l="1"/>
  <c r="BE241"/>
  <c r="BC241"/>
  <c r="AR242"/>
  <c r="AC184" i="1"/>
  <c r="AB184"/>
  <c r="AD184"/>
  <c r="BE242" i="2" l="1"/>
  <c r="BC242"/>
  <c r="BD242"/>
  <c r="AR243"/>
  <c r="AC185" i="1"/>
  <c r="AB185"/>
  <c r="AD185"/>
  <c r="BD243" i="2" l="1"/>
  <c r="BE243"/>
  <c r="BC243"/>
  <c r="AR244"/>
  <c r="AC186" i="1"/>
  <c r="AB186"/>
  <c r="AD186"/>
  <c r="BE244" i="2" l="1"/>
  <c r="BC244"/>
  <c r="BD244"/>
  <c r="AR245"/>
  <c r="AC187" i="1"/>
  <c r="AB187"/>
  <c r="AD187"/>
  <c r="BD245" i="2" l="1"/>
  <c r="BE245"/>
  <c r="BC245"/>
  <c r="AR246"/>
  <c r="AD188" i="1"/>
  <c r="AB188"/>
  <c r="AC188"/>
  <c r="BE246" i="2" l="1"/>
  <c r="BC246"/>
  <c r="BD246"/>
  <c r="AR247"/>
  <c r="AD189" i="1"/>
  <c r="AB189"/>
  <c r="AC189"/>
  <c r="BD247" i="2" l="1"/>
  <c r="BE247"/>
  <c r="BC247"/>
  <c r="AR248"/>
  <c r="AD190" i="1"/>
  <c r="AB190"/>
  <c r="AC190"/>
  <c r="BE248" i="2" l="1"/>
  <c r="BC248"/>
  <c r="BD248"/>
  <c r="AR249"/>
  <c r="AC191" i="1"/>
  <c r="AD191"/>
  <c r="AB191"/>
  <c r="BD249" i="2" l="1"/>
  <c r="BE249"/>
  <c r="BC249"/>
  <c r="AR250"/>
  <c r="AD192" i="1"/>
  <c r="AB192"/>
  <c r="AC192"/>
  <c r="BE250" i="2" l="1"/>
  <c r="BC250"/>
  <c r="BD250"/>
  <c r="AR251"/>
  <c r="AD193" i="1"/>
  <c r="AB193"/>
  <c r="AC193"/>
  <c r="BD251" i="2" l="1"/>
  <c r="BE251"/>
  <c r="BC251"/>
  <c r="AR252"/>
  <c r="AB194" i="1"/>
  <c r="AD194"/>
  <c r="AC194"/>
  <c r="BE252" i="2" l="1"/>
  <c r="BC252"/>
  <c r="BD252"/>
  <c r="AR253"/>
  <c r="AC195" i="1"/>
  <c r="AD195"/>
  <c r="AB195"/>
  <c r="BD253" i="2" l="1"/>
  <c r="BE253"/>
  <c r="BC253"/>
  <c r="AR254"/>
  <c r="AC196" i="1"/>
  <c r="AD196"/>
  <c r="AB196"/>
  <c r="BE254" i="2" l="1"/>
  <c r="BC254"/>
  <c r="BD254"/>
  <c r="AR255"/>
  <c r="AB197" i="1"/>
  <c r="AD197"/>
  <c r="AC197"/>
  <c r="BD255" i="2" l="1"/>
  <c r="BE255"/>
  <c r="BC255"/>
  <c r="AR256"/>
  <c r="AC198" i="1"/>
  <c r="AB198"/>
  <c r="AD198"/>
  <c r="BE256" i="2" l="1"/>
  <c r="BC256"/>
  <c r="BD256"/>
  <c r="AR257"/>
  <c r="AB199" i="1"/>
  <c r="AD199"/>
  <c r="AC199"/>
  <c r="BD257" i="2" l="1"/>
  <c r="BE257"/>
  <c r="BC257"/>
  <c r="AR258"/>
  <c r="AC200" i="1"/>
  <c r="AD200"/>
  <c r="AB200"/>
  <c r="BE258" i="2" l="1"/>
  <c r="BC258"/>
  <c r="BD258"/>
  <c r="AR259"/>
  <c r="AD201" i="1"/>
  <c r="AB201"/>
  <c r="AC201"/>
  <c r="BD259" i="2" l="1"/>
  <c r="BE259"/>
  <c r="BC259"/>
  <c r="AR260"/>
  <c r="AC202" i="1"/>
  <c r="AD202"/>
  <c r="AB202"/>
  <c r="BE260" i="2" l="1"/>
  <c r="BC260"/>
  <c r="BD260"/>
  <c r="AR261"/>
  <c r="AB203" i="1"/>
  <c r="AD203"/>
  <c r="AC203"/>
  <c r="BD261" i="2" l="1"/>
  <c r="BE261"/>
  <c r="BC261"/>
  <c r="AR262"/>
  <c r="AC204" i="1"/>
  <c r="AD204"/>
  <c r="AB204"/>
  <c r="BE262" i="2" l="1"/>
  <c r="BC262"/>
  <c r="BD262"/>
  <c r="AR263"/>
  <c r="AB205" i="1"/>
  <c r="AD205"/>
  <c r="AC205"/>
  <c r="BD263" i="2" l="1"/>
  <c r="BE263"/>
  <c r="BC263"/>
  <c r="AR264"/>
  <c r="AC206" i="1"/>
  <c r="AB206"/>
  <c r="AD206"/>
  <c r="BE264" i="2" l="1"/>
  <c r="BC264"/>
  <c r="BD264"/>
  <c r="AR265"/>
  <c r="AD207" i="1"/>
  <c r="AB207"/>
  <c r="AC207"/>
  <c r="BD265" i="2" l="1"/>
  <c r="BE265"/>
  <c r="BC265"/>
  <c r="AR266"/>
  <c r="AC208" i="1"/>
  <c r="AD208"/>
  <c r="AB208"/>
  <c r="BE266" i="2" l="1"/>
  <c r="BC266"/>
  <c r="BD266"/>
  <c r="AR267"/>
  <c r="AB209" i="1"/>
  <c r="AD209"/>
  <c r="AC209"/>
  <c r="BD267" i="2" l="1"/>
  <c r="BE267"/>
  <c r="BC267"/>
  <c r="AR268"/>
  <c r="AC210" i="1"/>
  <c r="AD210"/>
  <c r="AB210"/>
  <c r="BE268" i="2" l="1"/>
  <c r="BC268"/>
  <c r="BD268"/>
  <c r="AR269"/>
  <c r="AD211" i="1"/>
  <c r="AB211"/>
  <c r="AC211"/>
  <c r="BD269" i="2" l="1"/>
  <c r="BE269"/>
  <c r="BC269"/>
  <c r="AR270"/>
  <c r="AC212" i="1"/>
  <c r="AD212"/>
  <c r="AB212"/>
  <c r="BE270" i="2" l="1"/>
  <c r="BC270"/>
  <c r="BD270"/>
  <c r="AR271"/>
  <c r="AD213" i="1"/>
  <c r="AB213"/>
  <c r="AC213"/>
  <c r="BD271" i="2" l="1"/>
  <c r="BE271"/>
  <c r="BC271"/>
  <c r="AR272"/>
  <c r="AC214" i="1"/>
  <c r="AB214"/>
  <c r="AD214"/>
  <c r="BE272" i="2" l="1"/>
  <c r="BC272"/>
  <c r="BD272"/>
  <c r="AR273"/>
  <c r="AD215" i="1"/>
  <c r="AB215"/>
  <c r="AC215"/>
  <c r="BD273" i="2" l="1"/>
  <c r="BE273"/>
  <c r="BC273"/>
  <c r="AR274"/>
  <c r="AC216" i="1"/>
  <c r="AB216"/>
  <c r="AD216"/>
  <c r="BE274" i="2" l="1"/>
  <c r="BC274"/>
  <c r="BD274"/>
  <c r="AR275"/>
  <c r="AD217" i="1"/>
  <c r="AB217"/>
  <c r="AC217"/>
  <c r="BD275" i="2" l="1"/>
  <c r="BE275"/>
  <c r="BC275"/>
  <c r="AR276"/>
  <c r="AC218" i="1"/>
  <c r="AD218"/>
  <c r="AB218"/>
  <c r="BE276" i="2" l="1"/>
  <c r="BC276"/>
  <c r="BD276"/>
  <c r="AR277"/>
  <c r="AD219" i="1"/>
  <c r="AB219"/>
  <c r="AC219"/>
  <c r="BD277" i="2" l="1"/>
  <c r="BE277"/>
  <c r="BC277"/>
  <c r="AR278"/>
  <c r="AC220" i="1"/>
  <c r="AB220"/>
  <c r="AD220"/>
  <c r="BE278" i="2" l="1"/>
  <c r="BC278"/>
  <c r="BD278"/>
  <c r="AR279"/>
  <c r="AD221" i="1"/>
  <c r="AB221"/>
  <c r="AC221"/>
  <c r="BD279" i="2" l="1"/>
  <c r="BE279"/>
  <c r="BC279"/>
  <c r="AR280"/>
  <c r="AC222" i="1"/>
  <c r="AB222"/>
  <c r="AD222"/>
  <c r="BE280" i="2" l="1"/>
  <c r="BC280"/>
  <c r="BD280"/>
  <c r="AR281"/>
  <c r="AD223" i="1"/>
  <c r="AB223"/>
  <c r="AC223"/>
  <c r="BD281" i="2" l="1"/>
  <c r="BE281"/>
  <c r="BC281"/>
  <c r="AR282"/>
  <c r="AC224" i="1"/>
  <c r="AB224"/>
  <c r="AD224"/>
  <c r="BE282" i="2" l="1"/>
  <c r="BC282"/>
  <c r="BD282"/>
  <c r="AR283"/>
  <c r="AD225" i="1"/>
  <c r="AB225"/>
  <c r="AC225"/>
  <c r="BD283" i="2" l="1"/>
  <c r="BE283"/>
  <c r="BC283"/>
  <c r="AR284"/>
  <c r="AC226" i="1"/>
  <c r="AD226"/>
  <c r="AB226"/>
  <c r="BE284" i="2" l="1"/>
  <c r="BC284"/>
  <c r="BD284"/>
  <c r="AR285"/>
  <c r="AD227" i="1"/>
  <c r="AB227"/>
  <c r="AC227"/>
  <c r="BD285" i="2" l="1"/>
  <c r="BE285"/>
  <c r="BC285"/>
  <c r="AR286"/>
  <c r="AC228" i="1"/>
  <c r="AB228"/>
  <c r="AD228"/>
  <c r="BE286" i="2" l="1"/>
  <c r="BC286"/>
  <c r="BD286"/>
  <c r="AR287"/>
  <c r="AD229" i="1"/>
  <c r="AB229"/>
  <c r="AC229"/>
  <c r="BD287" i="2" l="1"/>
  <c r="BE287"/>
  <c r="BC287"/>
  <c r="AR288"/>
  <c r="AC230" i="1"/>
  <c r="AD230"/>
  <c r="AB230"/>
  <c r="BE288" i="2" l="1"/>
  <c r="BC288"/>
  <c r="BD288"/>
  <c r="AR289"/>
  <c r="AD231" i="1"/>
  <c r="AB231"/>
  <c r="AC231"/>
  <c r="BD289" i="2" l="1"/>
  <c r="BE289"/>
  <c r="BC289"/>
  <c r="AR290"/>
  <c r="AC232" i="1"/>
  <c r="AD232"/>
  <c r="AB232"/>
  <c r="BE290" i="2" l="1"/>
  <c r="BC290"/>
  <c r="BD290"/>
  <c r="AR291"/>
  <c r="AD233" i="1"/>
  <c r="AB233"/>
  <c r="AC233"/>
  <c r="BD291" i="2" l="1"/>
  <c r="BE291"/>
  <c r="BC291"/>
  <c r="AR292"/>
  <c r="AC234" i="1"/>
  <c r="AB234"/>
  <c r="AD234"/>
  <c r="BE292" i="2" l="1"/>
  <c r="BC292"/>
  <c r="BD292"/>
  <c r="AR293"/>
  <c r="AD235" i="1"/>
  <c r="AB235"/>
  <c r="AC235"/>
  <c r="BD293" i="2" l="1"/>
  <c r="BE293"/>
  <c r="BC293"/>
  <c r="AR294"/>
  <c r="AC236" i="1"/>
  <c r="AD236"/>
  <c r="AB236"/>
  <c r="BE294" i="2" l="1"/>
  <c r="BC294"/>
  <c r="BD294"/>
  <c r="AR295"/>
  <c r="AD237" i="1"/>
  <c r="AB237"/>
  <c r="AC237"/>
  <c r="BD295" i="2" l="1"/>
  <c r="BE295"/>
  <c r="BC295"/>
  <c r="AR296"/>
  <c r="AC238" i="1"/>
  <c r="AD238"/>
  <c r="AB238"/>
  <c r="BE296" i="2" l="1"/>
  <c r="BC296"/>
  <c r="BD296"/>
  <c r="AR297"/>
  <c r="AD239" i="1"/>
  <c r="AB239"/>
  <c r="AC239"/>
  <c r="BD297" i="2" l="1"/>
  <c r="BE297"/>
  <c r="BC297"/>
  <c r="AR298"/>
  <c r="AC240" i="1"/>
  <c r="AB240"/>
  <c r="AD240"/>
  <c r="BE298" i="2" l="1"/>
  <c r="BC298"/>
  <c r="BD298"/>
  <c r="AR299"/>
  <c r="AD241" i="1"/>
  <c r="AB241"/>
  <c r="AC241"/>
  <c r="BD299" i="2" l="1"/>
  <c r="BE299"/>
  <c r="BC299"/>
  <c r="AR300"/>
  <c r="AC242" i="1"/>
  <c r="AB242"/>
  <c r="AD242"/>
  <c r="BE300" i="2" l="1"/>
  <c r="BC300"/>
  <c r="BD300"/>
  <c r="AR301"/>
  <c r="AD243" i="1"/>
  <c r="AB243"/>
  <c r="AC243"/>
  <c r="BD301" i="2" l="1"/>
  <c r="BE301"/>
  <c r="BC301"/>
  <c r="AR302"/>
  <c r="AC244" i="1"/>
  <c r="AB244"/>
  <c r="AD244"/>
  <c r="BE302" i="2" l="1"/>
  <c r="BC302"/>
  <c r="BD302"/>
  <c r="AR303"/>
  <c r="AD245" i="1"/>
  <c r="AB245"/>
  <c r="AC245"/>
  <c r="BD303" i="2" l="1"/>
  <c r="BE303"/>
  <c r="BC303"/>
  <c r="AR304"/>
  <c r="AC246" i="1"/>
  <c r="AD246"/>
  <c r="AB246"/>
  <c r="BE304" i="2" l="1"/>
  <c r="BC304"/>
  <c r="BD304"/>
  <c r="AR305"/>
  <c r="AD247" i="1"/>
  <c r="AB247"/>
  <c r="AC247"/>
  <c r="BD305" i="2" l="1"/>
  <c r="BE305"/>
  <c r="BC305"/>
  <c r="AR306"/>
  <c r="AC248" i="1"/>
  <c r="AB248"/>
  <c r="AD248"/>
  <c r="BE306" i="2" l="1"/>
  <c r="BC306"/>
  <c r="BD306"/>
  <c r="AR307"/>
  <c r="AD249" i="1"/>
  <c r="AB249"/>
  <c r="AC249"/>
  <c r="BD307" i="2" l="1"/>
  <c r="BE307"/>
  <c r="BC307"/>
  <c r="AR308"/>
  <c r="AC250" i="1"/>
  <c r="AB250"/>
  <c r="AD250"/>
  <c r="BE308" i="2" l="1"/>
  <c r="BC308"/>
  <c r="BD308"/>
  <c r="AR309"/>
  <c r="AD251" i="1"/>
  <c r="AB251"/>
  <c r="AC251"/>
  <c r="BD309" i="2" l="1"/>
  <c r="BE309"/>
  <c r="BC309"/>
  <c r="AR310"/>
  <c r="AC252" i="1"/>
  <c r="AB252"/>
  <c r="AD252"/>
  <c r="BE310" i="2" l="1"/>
  <c r="BC310"/>
  <c r="BD310"/>
  <c r="AR311"/>
  <c r="AB253" i="1"/>
  <c r="AD253"/>
  <c r="AC253"/>
  <c r="BD311" i="2" l="1"/>
  <c r="BE311"/>
  <c r="BC311"/>
  <c r="AR312"/>
  <c r="AB254" i="1"/>
  <c r="AD254"/>
  <c r="AC254"/>
  <c r="BE312" i="2" l="1"/>
  <c r="BC312"/>
  <c r="BD312"/>
  <c r="AR313"/>
  <c r="AC255" i="1"/>
  <c r="AB255"/>
  <c r="AD255"/>
  <c r="BD313" i="2" l="1"/>
  <c r="BE313"/>
  <c r="BC313"/>
  <c r="AR314"/>
  <c r="AB256" i="1"/>
  <c r="AD256"/>
  <c r="AC256"/>
  <c r="BE314" i="2" l="1"/>
  <c r="BC314"/>
  <c r="BD314"/>
  <c r="AR315"/>
  <c r="AC257" i="1"/>
  <c r="AD257"/>
  <c r="AB257"/>
  <c r="BD315" i="2" l="1"/>
  <c r="BE315"/>
  <c r="BC315"/>
  <c r="AR316"/>
  <c r="AB258" i="1"/>
  <c r="AD258"/>
  <c r="AC258"/>
  <c r="BE316" i="2" l="1"/>
  <c r="BC316"/>
  <c r="BD316"/>
  <c r="AR317"/>
  <c r="AC259" i="1"/>
  <c r="AB259"/>
  <c r="AD259"/>
  <c r="BD317" i="2" l="1"/>
  <c r="BE317"/>
  <c r="BC317"/>
  <c r="AR318"/>
  <c r="AB260" i="1"/>
  <c r="AD260"/>
  <c r="AC260"/>
  <c r="BE318" i="2" l="1"/>
  <c r="BC318"/>
  <c r="BD318"/>
  <c r="AR319"/>
  <c r="AC261" i="1"/>
  <c r="AD261"/>
  <c r="AB261"/>
  <c r="BD319" i="2" l="1"/>
  <c r="BE319"/>
  <c r="BC319"/>
  <c r="AR320"/>
  <c r="AB262" i="1"/>
  <c r="AD262"/>
  <c r="AC262"/>
  <c r="BE320" i="2" l="1"/>
  <c r="BC320"/>
  <c r="BD320"/>
  <c r="AR321"/>
  <c r="AC263" i="1"/>
  <c r="AB263"/>
  <c r="AD263"/>
  <c r="BD321" i="2" l="1"/>
  <c r="BE321"/>
  <c r="BC321"/>
  <c r="AR322"/>
  <c r="AB264" i="1"/>
  <c r="AD264"/>
  <c r="AC264"/>
  <c r="BE322" i="2" l="1"/>
  <c r="BC322"/>
  <c r="BD322"/>
  <c r="AR323"/>
  <c r="AC265" i="1"/>
  <c r="AD265"/>
  <c r="AB265"/>
  <c r="BD323" i="2" l="1"/>
  <c r="BE323"/>
  <c r="BC323"/>
  <c r="AR324"/>
  <c r="AB266" i="1"/>
  <c r="AD266"/>
  <c r="AC266"/>
  <c r="BE324" i="2" l="1"/>
  <c r="BC324"/>
  <c r="BD324"/>
  <c r="AR325"/>
  <c r="AC267" i="1"/>
  <c r="AB267"/>
  <c r="AD267"/>
  <c r="BD325" i="2" l="1"/>
  <c r="BE325"/>
  <c r="BC325"/>
  <c r="AR326"/>
  <c r="AB268" i="1"/>
  <c r="AD268"/>
  <c r="AC268"/>
  <c r="BE326" i="2" l="1"/>
  <c r="BC326"/>
  <c r="BD326"/>
  <c r="AR327"/>
  <c r="AC269" i="1"/>
  <c r="AD269"/>
  <c r="AB269"/>
  <c r="BD327" i="2" l="1"/>
  <c r="BE327"/>
  <c r="BC327"/>
  <c r="AR328"/>
  <c r="AB270" i="1"/>
  <c r="AD270"/>
  <c r="AC270"/>
  <c r="BE328" i="2" l="1"/>
  <c r="BC328"/>
  <c r="BD328"/>
  <c r="AR329"/>
  <c r="AC271" i="1"/>
  <c r="AB271"/>
  <c r="AD271"/>
  <c r="BD329" i="2" l="1"/>
  <c r="BE329"/>
  <c r="BC329"/>
  <c r="AR330"/>
  <c r="AB272" i="1"/>
  <c r="AD272"/>
  <c r="AC272"/>
  <c r="BE330" i="2" l="1"/>
  <c r="BC330"/>
  <c r="BD330"/>
  <c r="AR331"/>
  <c r="AC273" i="1"/>
  <c r="AD273"/>
  <c r="AB273"/>
  <c r="BD331" i="2" l="1"/>
  <c r="BE331"/>
  <c r="BC331"/>
  <c r="AR332"/>
  <c r="AB274" i="1"/>
  <c r="AD274"/>
  <c r="AC274"/>
  <c r="BE332" i="2" l="1"/>
  <c r="BC332"/>
  <c r="BD332"/>
  <c r="AR333"/>
  <c r="AC275" i="1"/>
  <c r="AB275"/>
  <c r="AD275"/>
  <c r="BD333" i="2" l="1"/>
  <c r="BE333"/>
  <c r="BC333"/>
  <c r="AR334"/>
  <c r="AB276" i="1"/>
  <c r="AD276"/>
  <c r="AC276"/>
  <c r="BE334" i="2" l="1"/>
  <c r="BC334"/>
  <c r="BD334"/>
  <c r="AR335"/>
  <c r="AC277" i="1"/>
  <c r="AD277"/>
  <c r="AB277"/>
  <c r="BD335" i="2" l="1"/>
  <c r="BE335"/>
  <c r="BC335"/>
  <c r="AR336"/>
  <c r="AB278" i="1"/>
  <c r="AD278"/>
  <c r="AC278"/>
  <c r="BE336" i="2" l="1"/>
  <c r="BC336"/>
  <c r="BD336"/>
  <c r="AR337"/>
  <c r="AC279" i="1"/>
  <c r="AB279"/>
  <c r="AD279"/>
  <c r="BD337" i="2" l="1"/>
  <c r="BE337"/>
  <c r="BC337"/>
  <c r="AR338"/>
  <c r="AB280" i="1"/>
  <c r="AD280"/>
  <c r="AC280"/>
  <c r="BE338" i="2" l="1"/>
  <c r="BC338"/>
  <c r="BD338"/>
  <c r="AR339"/>
  <c r="AC281" i="1"/>
  <c r="AD281"/>
  <c r="AB281"/>
  <c r="BD339" i="2" l="1"/>
  <c r="BE339"/>
  <c r="BC339"/>
  <c r="AR340"/>
  <c r="AB282" i="1"/>
  <c r="AD282"/>
  <c r="AC282"/>
  <c r="BE340" i="2" l="1"/>
  <c r="BC340"/>
  <c r="BD340"/>
  <c r="AR341"/>
  <c r="AC283" i="1"/>
  <c r="AB283"/>
  <c r="AD283"/>
  <c r="BD341" i="2" l="1"/>
  <c r="BE341"/>
  <c r="BC341"/>
  <c r="AR342"/>
  <c r="AB284" i="1"/>
  <c r="AD284"/>
  <c r="AC284"/>
  <c r="BE342" i="2" l="1"/>
  <c r="BC342"/>
  <c r="BD342"/>
  <c r="AR343"/>
  <c r="AC285" i="1"/>
  <c r="AD285"/>
  <c r="AB285"/>
  <c r="BD343" i="2" l="1"/>
  <c r="BE343"/>
  <c r="BC343"/>
  <c r="AR344"/>
  <c r="AB286" i="1"/>
  <c r="AD286"/>
  <c r="AC286"/>
  <c r="BE344" i="2" l="1"/>
  <c r="BC344"/>
  <c r="BD344"/>
  <c r="AR345"/>
  <c r="AC287" i="1"/>
  <c r="AB287"/>
  <c r="AD287"/>
  <c r="BD345" i="2" l="1"/>
  <c r="BE345"/>
  <c r="BC345"/>
  <c r="AR346"/>
  <c r="AB288" i="1"/>
  <c r="AD288"/>
  <c r="AC288"/>
  <c r="BE346" i="2" l="1"/>
  <c r="BC346"/>
  <c r="BD346"/>
  <c r="AR347"/>
  <c r="AC289" i="1"/>
  <c r="AD289"/>
  <c r="AB289"/>
  <c r="BD347" i="2" l="1"/>
  <c r="BE347"/>
  <c r="BC347"/>
  <c r="AR348"/>
  <c r="AB290" i="1"/>
  <c r="AD290"/>
  <c r="AC290"/>
  <c r="BE348" i="2" l="1"/>
  <c r="BC348"/>
  <c r="BD348"/>
  <c r="AR349"/>
  <c r="AC291" i="1"/>
  <c r="AB291"/>
  <c r="AD291"/>
  <c r="BD349" i="2" l="1"/>
  <c r="BE349"/>
  <c r="BC349"/>
  <c r="AR350"/>
  <c r="AB292" i="1"/>
  <c r="AD292"/>
  <c r="AC292"/>
  <c r="BE350" i="2" l="1"/>
  <c r="BC350"/>
  <c r="BD350"/>
  <c r="AR351"/>
  <c r="AC293" i="1"/>
  <c r="AD293"/>
  <c r="AB293"/>
  <c r="BD351" i="2" l="1"/>
  <c r="BE351"/>
  <c r="BC351"/>
  <c r="AR352"/>
  <c r="AB294" i="1"/>
  <c r="AD294"/>
  <c r="AC294"/>
  <c r="BE352" i="2" l="1"/>
  <c r="BC352"/>
  <c r="BD352"/>
  <c r="AR353"/>
  <c r="AC295" i="1"/>
  <c r="AB295"/>
  <c r="AD295"/>
  <c r="BD353" i="2" l="1"/>
  <c r="BE353"/>
  <c r="BC353"/>
  <c r="AR354"/>
  <c r="AB296" i="1"/>
  <c r="AD296"/>
  <c r="AC296"/>
  <c r="BE354" i="2" l="1"/>
  <c r="BC354"/>
  <c r="BD354"/>
  <c r="AR355"/>
  <c r="AC297" i="1"/>
  <c r="AD297"/>
  <c r="AB297"/>
  <c r="BD355" i="2" l="1"/>
  <c r="BE355"/>
  <c r="BC355"/>
  <c r="AR356"/>
  <c r="AD298" i="1"/>
  <c r="AB298"/>
  <c r="AC298"/>
  <c r="BE356" i="2" l="1"/>
  <c r="BC356"/>
  <c r="BD356"/>
  <c r="AR357"/>
  <c r="AC299" i="1"/>
  <c r="AB299"/>
  <c r="AD299"/>
  <c r="BD357" i="2" l="1"/>
  <c r="BE357"/>
  <c r="BC357"/>
  <c r="AR358"/>
  <c r="AD300" i="1"/>
  <c r="AB300"/>
  <c r="AC300"/>
  <c r="BE358" i="2" l="1"/>
  <c r="BC358"/>
  <c r="BD358"/>
  <c r="AR359"/>
  <c r="AC301" i="1"/>
  <c r="AD301"/>
  <c r="AB301"/>
  <c r="BD359" i="2" l="1"/>
  <c r="BE359"/>
  <c r="BC359"/>
  <c r="AR360"/>
  <c r="AD302" i="1"/>
  <c r="AB302"/>
  <c r="AC302"/>
  <c r="BE360" i="2" l="1"/>
  <c r="BC360"/>
  <c r="BD360"/>
  <c r="AR361"/>
  <c r="AC303" i="1"/>
  <c r="AB303"/>
  <c r="AD303"/>
  <c r="BD361" i="2" l="1"/>
  <c r="BE361"/>
  <c r="BC361"/>
  <c r="AR362"/>
  <c r="AD304" i="1"/>
  <c r="AB304"/>
  <c r="AC304"/>
  <c r="BE362" i="2" l="1"/>
  <c r="BC362"/>
  <c r="BD362"/>
  <c r="AR363"/>
  <c r="AC305" i="1"/>
  <c r="AD305"/>
  <c r="AB305"/>
  <c r="BD363" i="2" l="1"/>
  <c r="BE363"/>
  <c r="BC363"/>
  <c r="AR364"/>
  <c r="AD306" i="1"/>
  <c r="AB306"/>
  <c r="AC306"/>
  <c r="BE364" i="2" l="1"/>
  <c r="BC364"/>
  <c r="BD364"/>
  <c r="AR365"/>
  <c r="AC307" i="1"/>
  <c r="AB307"/>
  <c r="AD307"/>
  <c r="BD365" i="2" l="1"/>
  <c r="BE365"/>
  <c r="BC365"/>
  <c r="AR366"/>
  <c r="AD308" i="1"/>
  <c r="AB308"/>
  <c r="AC308"/>
  <c r="BE366" i="2" l="1"/>
  <c r="BC366"/>
  <c r="BD366"/>
  <c r="AR367"/>
  <c r="AC309" i="1"/>
  <c r="AD309"/>
  <c r="AB309"/>
  <c r="BD367" i="2" l="1"/>
  <c r="BE367"/>
  <c r="BC367"/>
  <c r="AR368"/>
  <c r="AD310" i="1"/>
  <c r="AB310"/>
  <c r="AC310"/>
  <c r="BE368" i="2" l="1"/>
  <c r="BC368"/>
  <c r="BD368"/>
  <c r="AR369"/>
  <c r="AC311" i="1"/>
  <c r="AB311"/>
  <c r="AD311"/>
  <c r="BD369" i="2" l="1"/>
  <c r="BE369"/>
  <c r="BC369"/>
  <c r="AR370"/>
  <c r="AD312" i="1"/>
  <c r="AB312"/>
  <c r="AC312"/>
  <c r="BE370" i="2" l="1"/>
  <c r="BC370"/>
  <c r="BD370"/>
  <c r="AR371"/>
  <c r="AC313" i="1"/>
  <c r="AD313"/>
  <c r="AB313"/>
  <c r="BD371" i="2" l="1"/>
  <c r="BE371"/>
  <c r="BC371"/>
  <c r="AR372"/>
  <c r="AD314" i="1"/>
  <c r="AB314"/>
  <c r="AC314"/>
  <c r="BE372" i="2" l="1"/>
  <c r="BC372"/>
  <c r="BD372"/>
  <c r="AR373"/>
  <c r="AC315" i="1"/>
  <c r="AB315"/>
  <c r="AD315"/>
  <c r="BD373" i="2" l="1"/>
  <c r="BE373"/>
  <c r="BC373"/>
  <c r="AR374"/>
  <c r="AD316" i="1"/>
  <c r="AB316"/>
  <c r="AC316"/>
  <c r="BE374" i="2" l="1"/>
  <c r="BC374"/>
  <c r="BD374"/>
  <c r="AR375"/>
  <c r="AC317" i="1"/>
  <c r="AD317"/>
  <c r="AB317"/>
  <c r="BD375" i="2" l="1"/>
  <c r="BE375"/>
  <c r="BC375"/>
  <c r="AR376"/>
  <c r="AD318" i="1"/>
  <c r="AB318"/>
  <c r="AC318"/>
  <c r="BE376" i="2" l="1"/>
  <c r="BC376"/>
  <c r="BD376"/>
  <c r="AR377"/>
  <c r="AC319" i="1"/>
  <c r="AB319"/>
  <c r="AD319"/>
  <c r="BD377" i="2" l="1"/>
  <c r="BE377"/>
  <c r="BC377"/>
  <c r="AR378"/>
  <c r="AD320" i="1"/>
  <c r="AB320"/>
  <c r="AC320"/>
  <c r="BE378" i="2" l="1"/>
  <c r="BC378"/>
  <c r="BD378"/>
  <c r="AR379"/>
  <c r="AC321" i="1"/>
  <c r="AD321"/>
  <c r="AB321"/>
  <c r="BD379" i="2" l="1"/>
  <c r="BE379"/>
  <c r="BC379"/>
  <c r="AR380"/>
  <c r="AD322" i="1"/>
  <c r="AB322"/>
  <c r="AC322"/>
  <c r="BE380" i="2" l="1"/>
  <c r="BC380"/>
  <c r="BD380"/>
  <c r="AR381"/>
  <c r="AC323" i="1"/>
  <c r="AB323"/>
  <c r="AD323"/>
  <c r="BD381" i="2" l="1"/>
  <c r="BE381"/>
  <c r="BC381"/>
  <c r="AR382"/>
  <c r="AD324" i="1"/>
  <c r="AB324"/>
  <c r="AC324"/>
  <c r="BE382" i="2" l="1"/>
  <c r="BC382"/>
  <c r="BD382"/>
  <c r="AR383"/>
  <c r="AC325" i="1"/>
  <c r="AD325"/>
  <c r="AB325"/>
  <c r="BD383" i="2" l="1"/>
  <c r="BE383"/>
  <c r="BC383"/>
  <c r="AR384"/>
  <c r="AD326" i="1"/>
  <c r="AB326"/>
  <c r="AC326"/>
  <c r="BE384" i="2" l="1"/>
  <c r="BC384"/>
  <c r="BD384"/>
  <c r="AR385"/>
  <c r="AC327" i="1"/>
  <c r="AB327"/>
  <c r="AD327"/>
  <c r="BD385" i="2" l="1"/>
  <c r="BE385"/>
  <c r="BC385"/>
  <c r="AR386"/>
  <c r="AD328" i="1"/>
  <c r="AB328"/>
  <c r="AC328"/>
  <c r="BE386" i="2" l="1"/>
  <c r="BC386"/>
  <c r="BD386"/>
  <c r="AR387"/>
  <c r="AC329" i="1"/>
  <c r="AD329"/>
  <c r="AB329"/>
  <c r="BD387" i="2" l="1"/>
  <c r="BE387"/>
  <c r="BC387"/>
  <c r="AR388"/>
  <c r="AD330" i="1"/>
  <c r="AB330"/>
  <c r="AC330"/>
  <c r="BE388" i="2" l="1"/>
  <c r="BC388"/>
  <c r="BD388"/>
  <c r="AR389"/>
  <c r="AC331" i="1"/>
  <c r="AB331"/>
  <c r="AD331"/>
  <c r="BD389" i="2" l="1"/>
  <c r="BE389"/>
  <c r="BC389"/>
  <c r="AR390"/>
  <c r="AD332" i="1"/>
  <c r="AB332"/>
  <c r="AC332"/>
  <c r="BE390" i="2" l="1"/>
  <c r="BC390"/>
  <c r="BD390"/>
  <c r="AR391"/>
  <c r="AC333" i="1"/>
  <c r="AD333"/>
  <c r="AB333"/>
  <c r="BD391" i="2" l="1"/>
  <c r="BE391"/>
  <c r="BC391"/>
  <c r="AR392"/>
  <c r="AD334" i="1"/>
  <c r="AB334"/>
  <c r="AC334"/>
  <c r="BE392" i="2" l="1"/>
  <c r="BC392"/>
  <c r="BD392"/>
  <c r="AR393"/>
  <c r="AC335" i="1"/>
  <c r="AB335"/>
  <c r="AD335"/>
  <c r="BD393" i="2" l="1"/>
  <c r="BE393"/>
  <c r="BC393"/>
  <c r="AR394"/>
  <c r="AD336" i="1"/>
  <c r="AB336"/>
  <c r="AC336"/>
  <c r="BE394" i="2" l="1"/>
  <c r="BC394"/>
  <c r="BD394"/>
  <c r="AR395"/>
  <c r="AC337" i="1"/>
  <c r="AD337"/>
  <c r="AB337"/>
  <c r="BD395" i="2" l="1"/>
  <c r="BE395"/>
  <c r="BC395"/>
  <c r="AR396"/>
  <c r="AD338" i="1"/>
  <c r="AB338"/>
  <c r="AC338"/>
  <c r="BE396" i="2" l="1"/>
  <c r="BC396"/>
  <c r="BD396"/>
  <c r="AR397"/>
  <c r="AC339" i="1"/>
  <c r="AB339"/>
  <c r="AD339"/>
  <c r="BD397" i="2" l="1"/>
  <c r="BE397"/>
  <c r="BC397"/>
  <c r="AR398"/>
  <c r="AD340" i="1"/>
  <c r="AB340"/>
  <c r="AC340"/>
  <c r="BE398" i="2" l="1"/>
  <c r="BC398"/>
  <c r="BD398"/>
  <c r="AR399"/>
  <c r="AC341" i="1"/>
  <c r="AD341"/>
  <c r="AB341"/>
  <c r="BD399" i="2" l="1"/>
  <c r="BE399"/>
  <c r="BC399"/>
  <c r="AR400"/>
  <c r="AD342" i="1"/>
  <c r="AB342"/>
  <c r="AC342"/>
  <c r="BE400" i="2" l="1"/>
  <c r="BC400"/>
  <c r="BD400"/>
  <c r="AR401"/>
  <c r="AC343" i="1"/>
  <c r="AB343"/>
  <c r="AD343"/>
  <c r="BD401" i="2" l="1"/>
  <c r="BE401"/>
  <c r="BC401"/>
  <c r="AR402"/>
  <c r="AD344" i="1"/>
  <c r="AB344"/>
  <c r="AC344"/>
  <c r="BE402" i="2" l="1"/>
  <c r="BC402"/>
  <c r="BD402"/>
  <c r="AR403"/>
  <c r="AC345" i="1"/>
  <c r="AD345"/>
  <c r="AB345"/>
  <c r="BD403" i="2" l="1"/>
  <c r="BE403"/>
  <c r="BC403"/>
  <c r="AR404"/>
  <c r="AD346" i="1"/>
  <c r="AB346"/>
  <c r="AC346"/>
  <c r="BE404" i="2" l="1"/>
  <c r="BC404"/>
  <c r="BD404"/>
  <c r="AR405"/>
  <c r="AC347" i="1"/>
  <c r="AB347"/>
  <c r="AD347"/>
  <c r="BD405" i="2" l="1"/>
  <c r="BE405"/>
  <c r="BC405"/>
  <c r="AR406"/>
  <c r="AD348" i="1"/>
  <c r="AB348"/>
  <c r="AC348"/>
  <c r="BE406" i="2" l="1"/>
  <c r="BC406"/>
  <c r="BD406"/>
  <c r="AR407"/>
  <c r="AC349" i="1"/>
  <c r="AD349"/>
  <c r="AB349"/>
  <c r="BD407" i="2" l="1"/>
  <c r="BE407"/>
  <c r="BC407"/>
  <c r="AR408"/>
  <c r="AD350" i="1"/>
  <c r="AB350"/>
  <c r="AC350"/>
  <c r="BE408" i="2" l="1"/>
  <c r="BC408"/>
  <c r="BD408"/>
  <c r="AR409"/>
  <c r="AC351" i="1"/>
  <c r="AB351"/>
  <c r="AD351"/>
  <c r="BD409" i="2" l="1"/>
  <c r="BE409"/>
  <c r="BC409"/>
  <c r="AR410"/>
  <c r="AD352" i="1"/>
  <c r="AB352"/>
  <c r="AC352"/>
  <c r="BE410" i="2" l="1"/>
  <c r="BC410"/>
  <c r="BD410"/>
  <c r="AR411"/>
  <c r="AC353" i="1"/>
  <c r="AD353"/>
  <c r="AB353"/>
  <c r="BD411" i="2" l="1"/>
  <c r="BE411"/>
  <c r="BC411"/>
  <c r="AR412"/>
  <c r="AD354" i="1"/>
  <c r="AB354"/>
  <c r="AC354"/>
  <c r="BE412" i="2" l="1"/>
  <c r="BC412"/>
  <c r="BD412"/>
  <c r="AR413"/>
  <c r="AC355" i="1"/>
  <c r="AB355"/>
  <c r="AD355"/>
  <c r="BD413" i="2" l="1"/>
  <c r="BE413"/>
  <c r="BC413"/>
  <c r="AR414"/>
  <c r="AD356" i="1"/>
  <c r="AB356"/>
  <c r="AC356"/>
  <c r="BE414" i="2" l="1"/>
  <c r="BC414"/>
  <c r="BD414"/>
  <c r="AR415"/>
  <c r="AC357" i="1"/>
  <c r="AD357"/>
  <c r="AB357"/>
  <c r="BD415" i="2" l="1"/>
  <c r="BE415"/>
  <c r="BC415"/>
  <c r="AR416"/>
  <c r="AD358" i="1"/>
  <c r="AB358"/>
  <c r="AC358"/>
  <c r="BE416" i="2" l="1"/>
  <c r="BC416"/>
  <c r="BD416"/>
  <c r="AR417"/>
  <c r="AC359" i="1"/>
  <c r="AB359"/>
  <c r="AD359"/>
  <c r="BD417" i="2" l="1"/>
  <c r="BE417"/>
  <c r="BC417"/>
  <c r="AR418"/>
  <c r="AD360" i="1"/>
  <c r="AB360"/>
  <c r="AC360"/>
  <c r="BE418" i="2" l="1"/>
  <c r="BC418"/>
  <c r="BD418"/>
  <c r="AR419"/>
  <c r="AC361" i="1"/>
  <c r="AD361"/>
  <c r="AB361"/>
  <c r="BD419" i="2" l="1"/>
  <c r="BE419"/>
  <c r="BC419"/>
  <c r="AR420"/>
  <c r="AD362" i="1"/>
  <c r="AB362"/>
  <c r="AC362"/>
  <c r="BE420" i="2" l="1"/>
  <c r="BC420"/>
  <c r="BD420"/>
  <c r="AR421"/>
  <c r="AC363" i="1"/>
  <c r="AB363"/>
  <c r="AD363"/>
  <c r="BD421" i="2" l="1"/>
  <c r="BE421"/>
  <c r="BC421"/>
  <c r="AR422"/>
  <c r="AD364" i="1"/>
  <c r="AB364"/>
  <c r="AC364"/>
  <c r="BE422" i="2" l="1"/>
  <c r="BC422"/>
  <c r="BD422"/>
  <c r="AR423"/>
  <c r="AC365" i="1"/>
  <c r="AD365"/>
  <c r="AB365"/>
  <c r="BD423" i="2" l="1"/>
  <c r="BE423"/>
  <c r="BC423"/>
  <c r="AR424"/>
  <c r="AD366" i="1"/>
  <c r="AB366"/>
  <c r="AC366"/>
  <c r="BE424" i="2" l="1"/>
  <c r="BC424"/>
  <c r="BD424"/>
  <c r="AR425"/>
  <c r="AC367" i="1"/>
  <c r="AB367"/>
  <c r="AD367"/>
  <c r="BD425" i="2" l="1"/>
  <c r="BE425"/>
  <c r="BC425"/>
  <c r="AR426"/>
  <c r="AD368" i="1"/>
  <c r="AB368"/>
  <c r="AC368"/>
  <c r="BE426" i="2" l="1"/>
  <c r="BC426"/>
  <c r="BD426"/>
  <c r="AR427"/>
  <c r="AC369" i="1"/>
  <c r="AD369"/>
  <c r="AB369"/>
  <c r="BD427" i="2" l="1"/>
  <c r="BE427"/>
  <c r="BC427"/>
  <c r="AR428"/>
  <c r="AD370" i="1"/>
  <c r="AB370"/>
  <c r="AC370"/>
  <c r="BE428" i="2" l="1"/>
  <c r="BC428"/>
  <c r="BD428"/>
  <c r="AR429"/>
  <c r="AC371" i="1"/>
  <c r="AB371"/>
  <c r="AD371"/>
  <c r="BD429" i="2" l="1"/>
  <c r="BE429"/>
  <c r="BC429"/>
  <c r="AR430"/>
  <c r="AD372" i="1"/>
  <c r="AB372"/>
  <c r="AC372"/>
  <c r="BE430" i="2" l="1"/>
  <c r="BC430"/>
  <c r="BD430"/>
  <c r="AR431"/>
  <c r="AC373" i="1"/>
  <c r="AD373"/>
  <c r="AB373"/>
  <c r="BD431" i="2" l="1"/>
  <c r="BE431"/>
  <c r="BC431"/>
  <c r="AR432"/>
  <c r="AB374" i="1"/>
  <c r="AC374"/>
  <c r="AD374"/>
  <c r="BE432" i="2" l="1"/>
  <c r="BC432"/>
  <c r="BD432"/>
  <c r="AR433"/>
  <c r="AC375" i="1"/>
  <c r="AD375"/>
  <c r="AB375"/>
  <c r="BD433" i="2" l="1"/>
  <c r="BE433"/>
  <c r="BC433"/>
  <c r="AR434"/>
  <c r="AD376" i="1"/>
  <c r="AB376"/>
  <c r="AC376"/>
  <c r="BE434" i="2" l="1"/>
  <c r="BC434"/>
  <c r="BD434"/>
  <c r="AR435"/>
  <c r="AC377" i="1"/>
  <c r="AB377"/>
  <c r="AD377"/>
  <c r="BD435" i="2" l="1"/>
  <c r="BE435"/>
  <c r="BC435"/>
  <c r="AR436"/>
  <c r="AD378" i="1"/>
  <c r="AB378"/>
  <c r="AC378"/>
  <c r="BE436" i="2" l="1"/>
  <c r="BC436"/>
  <c r="BD436"/>
  <c r="AR437"/>
  <c r="AC379" i="1"/>
  <c r="AD379"/>
  <c r="AB379"/>
  <c r="BD437" i="2" l="1"/>
  <c r="BE437"/>
  <c r="BC437"/>
  <c r="AR438"/>
  <c r="AD380" i="1"/>
  <c r="AB380"/>
  <c r="AC380"/>
  <c r="BE438" i="2" l="1"/>
  <c r="BC438"/>
  <c r="BD438"/>
  <c r="AR439"/>
  <c r="AC381" i="1"/>
  <c r="AB381"/>
  <c r="AD381"/>
  <c r="BD439" i="2" l="1"/>
  <c r="BE439"/>
  <c r="BC439"/>
  <c r="AR440"/>
  <c r="AD382" i="1"/>
  <c r="AB382"/>
  <c r="AC382"/>
  <c r="BE440" i="2" l="1"/>
  <c r="BC440"/>
  <c r="BD440"/>
  <c r="AR441"/>
  <c r="AC383" i="1"/>
  <c r="AD383"/>
  <c r="AB383"/>
  <c r="BD441" i="2" l="1"/>
  <c r="BE441"/>
  <c r="BC441"/>
  <c r="AR442"/>
  <c r="AD384" i="1"/>
  <c r="AB384"/>
  <c r="AC384"/>
  <c r="BE442" i="2" l="1"/>
  <c r="BC442"/>
  <c r="BD442"/>
  <c r="AR443"/>
  <c r="AC385" i="1"/>
  <c r="AB385"/>
  <c r="AD385"/>
  <c r="BD443" i="2" l="1"/>
  <c r="BE443"/>
  <c r="BC443"/>
  <c r="AR444"/>
  <c r="AD386" i="1"/>
  <c r="AB386"/>
  <c r="AC386"/>
  <c r="BE444" i="2" l="1"/>
  <c r="BC444"/>
  <c r="BD444"/>
  <c r="AR445"/>
  <c r="AC387" i="1"/>
  <c r="AD387"/>
  <c r="AB387"/>
  <c r="BD445" i="2" l="1"/>
  <c r="BE445"/>
  <c r="BC445"/>
  <c r="AR446"/>
  <c r="AD388" i="1"/>
  <c r="AB388"/>
  <c r="AC388"/>
  <c r="BE446" i="2" l="1"/>
  <c r="BC446"/>
  <c r="BD446"/>
  <c r="AR447"/>
  <c r="AC389" i="1"/>
  <c r="AB389"/>
  <c r="AD389"/>
  <c r="BD447" i="2" l="1"/>
  <c r="BE447"/>
  <c r="BC447"/>
  <c r="AR448"/>
  <c r="AD390" i="1"/>
  <c r="AB390"/>
  <c r="AC390"/>
  <c r="BE448" i="2" l="1"/>
  <c r="BC448"/>
  <c r="BD448"/>
  <c r="AR449"/>
  <c r="AC391" i="1"/>
  <c r="AD391"/>
  <c r="AB391"/>
  <c r="BD449" i="2" l="1"/>
  <c r="BE449"/>
  <c r="BC449"/>
  <c r="AR450"/>
  <c r="AD392" i="1"/>
  <c r="AB392"/>
  <c r="AC392"/>
  <c r="BE450" i="2" l="1"/>
  <c r="BC450"/>
  <c r="BD450"/>
  <c r="AR451"/>
  <c r="AC393" i="1"/>
  <c r="AB393"/>
  <c r="AD393"/>
  <c r="BD451" i="2" l="1"/>
  <c r="BE451"/>
  <c r="BC451"/>
  <c r="AR452"/>
  <c r="AD394" i="1"/>
  <c r="AB394"/>
  <c r="AC394"/>
  <c r="BE452" i="2" l="1"/>
  <c r="BC452"/>
  <c r="BD452"/>
  <c r="AR453"/>
  <c r="AC395" i="1"/>
  <c r="AD395"/>
  <c r="AB395"/>
  <c r="BD453" i="2" l="1"/>
  <c r="BE453"/>
  <c r="BC453"/>
  <c r="AR454"/>
  <c r="AD396" i="1"/>
  <c r="AB396"/>
  <c r="AC396"/>
  <c r="BE454" i="2" l="1"/>
  <c r="BC454"/>
  <c r="BD454"/>
  <c r="AR455"/>
  <c r="AC397" i="1"/>
  <c r="AB397"/>
  <c r="AD397"/>
  <c r="BD455" i="2" l="1"/>
  <c r="BE455"/>
  <c r="BC455"/>
  <c r="AR456"/>
  <c r="AD398" i="1"/>
  <c r="AB398"/>
  <c r="AC398"/>
  <c r="BE456" i="2" l="1"/>
  <c r="BC456"/>
  <c r="BD456"/>
  <c r="AR457"/>
  <c r="AC399" i="1"/>
  <c r="AD399"/>
  <c r="AB399"/>
  <c r="BD457" i="2" l="1"/>
  <c r="BE457"/>
  <c r="BC457"/>
  <c r="AR458"/>
  <c r="AD400" i="1"/>
  <c r="AB400"/>
  <c r="AC400"/>
  <c r="BE458" i="2" l="1"/>
  <c r="BC458"/>
  <c r="BD458"/>
  <c r="AR459"/>
  <c r="AC401" i="1"/>
  <c r="AB401"/>
  <c r="AD401"/>
  <c r="BD459" i="2" l="1"/>
  <c r="BE459"/>
  <c r="BC459"/>
  <c r="AR460"/>
  <c r="AD402" i="1"/>
  <c r="AB402"/>
  <c r="AC402"/>
  <c r="BE460" i="2" l="1"/>
  <c r="BC460"/>
  <c r="BD460"/>
  <c r="AR461"/>
  <c r="AC403" i="1"/>
  <c r="AD403"/>
  <c r="AB403"/>
  <c r="BD461" i="2" l="1"/>
  <c r="BE461"/>
  <c r="BC461"/>
  <c r="AR462"/>
  <c r="AD404" i="1"/>
  <c r="AB404"/>
  <c r="AC404"/>
  <c r="BE462" i="2" l="1"/>
  <c r="BC462"/>
  <c r="BD462"/>
  <c r="AR463"/>
  <c r="AC405" i="1"/>
  <c r="AB405"/>
  <c r="AD405"/>
  <c r="BD463" i="2" l="1"/>
  <c r="BE463"/>
  <c r="BC463"/>
  <c r="AR464"/>
  <c r="AD406" i="1"/>
  <c r="AB406"/>
  <c r="AC406"/>
  <c r="BE464" i="2" l="1"/>
  <c r="BC464"/>
  <c r="BD464"/>
  <c r="AR465"/>
  <c r="AC407" i="1"/>
  <c r="AD407"/>
  <c r="AB407"/>
  <c r="BD465" i="2" l="1"/>
  <c r="BE465"/>
  <c r="BC465"/>
  <c r="AR466"/>
  <c r="AD408" i="1"/>
  <c r="AB408"/>
  <c r="AC408"/>
  <c r="BE466" i="2" l="1"/>
  <c r="BC466"/>
  <c r="BD466"/>
  <c r="AR467"/>
  <c r="AC409" i="1"/>
  <c r="AB409"/>
  <c r="AD409"/>
  <c r="BD467" i="2" l="1"/>
  <c r="BE467"/>
  <c r="BC467"/>
  <c r="AR468"/>
  <c r="AD410" i="1"/>
  <c r="AB410"/>
  <c r="AC410"/>
  <c r="BE468" i="2" l="1"/>
  <c r="BC468"/>
  <c r="BD468"/>
  <c r="AR469"/>
  <c r="AC411" i="1"/>
  <c r="AD411"/>
  <c r="AB411"/>
  <c r="BD469" i="2" l="1"/>
  <c r="BE469"/>
  <c r="BC469"/>
  <c r="AR470"/>
  <c r="AD412" i="1"/>
  <c r="AB412"/>
  <c r="AC412"/>
  <c r="BE470" i="2" l="1"/>
  <c r="BC470"/>
  <c r="BD470"/>
  <c r="AR471"/>
  <c r="AC413" i="1"/>
  <c r="AB413"/>
  <c r="AD413"/>
  <c r="BD471" i="2" l="1"/>
  <c r="BE471"/>
  <c r="BC471"/>
  <c r="AR472"/>
  <c r="AD414" i="1"/>
  <c r="AB414"/>
  <c r="AC414"/>
  <c r="BE472" i="2" l="1"/>
  <c r="BC472"/>
  <c r="BD472"/>
  <c r="AR473"/>
  <c r="AC415" i="1"/>
  <c r="AD415"/>
  <c r="AB415"/>
  <c r="BD473" i="2" l="1"/>
  <c r="BE473"/>
  <c r="BC473"/>
  <c r="AR474"/>
  <c r="AD416" i="1"/>
  <c r="AB416"/>
  <c r="AC416"/>
  <c r="BE474" i="2" l="1"/>
  <c r="BC474"/>
  <c r="BD474"/>
  <c r="AR475"/>
  <c r="AC417" i="1"/>
  <c r="AB417"/>
  <c r="AD417"/>
  <c r="BD475" i="2" l="1"/>
  <c r="BE475"/>
  <c r="BC475"/>
  <c r="AR476"/>
  <c r="AD418" i="1"/>
  <c r="AB418"/>
  <c r="AC418"/>
  <c r="BE476" i="2" l="1"/>
  <c r="BC476"/>
  <c r="BD476"/>
  <c r="AR477"/>
  <c r="AC419" i="1"/>
  <c r="AD419"/>
  <c r="AB419"/>
  <c r="BD477" i="2" l="1"/>
  <c r="BE477"/>
  <c r="BC477"/>
  <c r="AR478"/>
  <c r="AD420" i="1"/>
  <c r="AB420"/>
  <c r="AC420"/>
  <c r="BE478" i="2" l="1"/>
  <c r="BC478"/>
  <c r="BD478"/>
  <c r="AR479"/>
  <c r="AC421" i="1"/>
  <c r="AB421"/>
  <c r="AD421"/>
  <c r="BD479" i="2" l="1"/>
  <c r="BE479"/>
  <c r="BC479"/>
  <c r="AR480"/>
  <c r="AD422" i="1"/>
  <c r="AB422"/>
  <c r="AC422"/>
  <c r="BE480" i="2" l="1"/>
  <c r="BC480"/>
  <c r="BD480"/>
  <c r="AR481"/>
  <c r="AC423" i="1"/>
  <c r="AD423"/>
  <c r="AB423"/>
  <c r="BD481" i="2" l="1"/>
  <c r="BE481"/>
  <c r="BC481"/>
  <c r="AR482"/>
  <c r="AD424" i="1"/>
  <c r="AB424"/>
  <c r="AC424"/>
  <c r="BE482" i="2" l="1"/>
  <c r="BC482"/>
  <c r="BD482"/>
  <c r="AR483"/>
  <c r="AC425" i="1"/>
  <c r="AB425"/>
  <c r="AD425"/>
  <c r="BD483" i="2" l="1"/>
  <c r="BE483"/>
  <c r="BC483"/>
  <c r="AR484"/>
  <c r="AD426" i="1"/>
  <c r="AB426"/>
  <c r="AC426"/>
  <c r="BE484" i="2" l="1"/>
  <c r="BC484"/>
  <c r="BD484"/>
  <c r="AR485"/>
  <c r="AC427" i="1"/>
  <c r="AD427"/>
  <c r="AB427"/>
  <c r="BD485" i="2" l="1"/>
  <c r="BE485"/>
  <c r="BC485"/>
  <c r="AR486"/>
  <c r="AD428" i="1"/>
  <c r="AB428"/>
  <c r="AC428"/>
  <c r="BE486" i="2" l="1"/>
  <c r="BC486"/>
  <c r="BD486"/>
  <c r="AR487"/>
  <c r="AC429" i="1"/>
  <c r="AB429"/>
  <c r="AD429"/>
  <c r="BD487" i="2" l="1"/>
  <c r="BE487"/>
  <c r="BC487"/>
  <c r="AR488"/>
  <c r="AD430" i="1"/>
  <c r="AB430"/>
  <c r="AC430"/>
  <c r="BE488" i="2" l="1"/>
  <c r="BC488"/>
  <c r="BD488"/>
  <c r="AR489"/>
  <c r="AC431" i="1"/>
  <c r="AD431"/>
  <c r="AB431"/>
  <c r="BD489" i="2" l="1"/>
  <c r="BE489"/>
  <c r="BC489"/>
  <c r="AR490"/>
  <c r="AD432" i="1"/>
  <c r="AB432"/>
  <c r="AC432"/>
  <c r="BE490" i="2" l="1"/>
  <c r="BC490"/>
  <c r="BD490"/>
  <c r="AR491"/>
  <c r="AC433" i="1"/>
  <c r="AB433"/>
  <c r="AD433"/>
  <c r="BD491" i="2" l="1"/>
  <c r="BE491"/>
  <c r="BC491"/>
  <c r="AR492"/>
  <c r="AD434" i="1"/>
  <c r="AB434"/>
  <c r="AC434"/>
  <c r="BE492" i="2" l="1"/>
  <c r="BC492"/>
  <c r="BD492"/>
  <c r="AR493"/>
  <c r="AC435" i="1"/>
  <c r="AD435"/>
  <c r="AB435"/>
  <c r="BD493" i="2" l="1"/>
  <c r="BE493"/>
  <c r="BC493"/>
  <c r="AR494"/>
  <c r="AD436" i="1"/>
  <c r="AB436"/>
  <c r="AC436"/>
  <c r="BE494" i="2" l="1"/>
  <c r="BC494"/>
  <c r="BD494"/>
  <c r="AR495"/>
  <c r="AC437" i="1"/>
  <c r="AB437"/>
  <c r="AD437"/>
  <c r="BD495" i="2" l="1"/>
  <c r="BE495"/>
  <c r="BC495"/>
  <c r="AR496"/>
  <c r="AD438" i="1"/>
  <c r="AB438"/>
  <c r="AC438"/>
  <c r="BE496" i="2" l="1"/>
  <c r="BC496"/>
  <c r="BD496"/>
  <c r="AR497"/>
  <c r="AC439" i="1"/>
  <c r="AD439"/>
  <c r="AB439"/>
  <c r="BD497" i="2" l="1"/>
  <c r="BE497"/>
  <c r="BC497"/>
  <c r="AR498"/>
  <c r="AD440" i="1"/>
  <c r="AB440"/>
  <c r="AC440"/>
  <c r="BE498" i="2" l="1"/>
  <c r="BC498"/>
  <c r="BD498"/>
  <c r="AR499"/>
  <c r="AC441" i="1"/>
  <c r="AB441"/>
  <c r="AD441"/>
  <c r="BD499" i="2" l="1"/>
  <c r="BE499"/>
  <c r="BC499"/>
  <c r="AR500"/>
  <c r="AD442" i="1"/>
  <c r="AB442"/>
  <c r="AC442"/>
  <c r="BE500" i="2" l="1"/>
  <c r="BC500"/>
  <c r="BD500"/>
  <c r="AR501"/>
  <c r="AC443" i="1"/>
  <c r="AD443"/>
  <c r="AB443"/>
  <c r="BD501" i="2" l="1"/>
  <c r="BE501"/>
  <c r="BC501"/>
  <c r="AR502"/>
  <c r="AD444" i="1"/>
  <c r="AB444"/>
  <c r="AC444"/>
  <c r="BE502" i="2" l="1"/>
  <c r="BC502"/>
  <c r="BD502"/>
  <c r="AR503"/>
  <c r="AC445" i="1"/>
  <c r="AB445"/>
  <c r="AD445"/>
  <c r="BD503" i="2" l="1"/>
  <c r="BE503"/>
  <c r="BC503"/>
  <c r="AR504"/>
  <c r="AD446" i="1"/>
  <c r="AB446"/>
  <c r="AC446"/>
  <c r="BE504" i="2" l="1"/>
  <c r="BC504"/>
  <c r="BD504"/>
  <c r="AR505"/>
  <c r="AC447" i="1"/>
  <c r="AD447"/>
  <c r="AB447"/>
  <c r="BD505" i="2" l="1"/>
  <c r="BE505"/>
  <c r="BC505"/>
  <c r="AR506"/>
  <c r="AD448" i="1"/>
  <c r="AB448"/>
  <c r="AC448"/>
  <c r="BE506" i="2" l="1"/>
  <c r="BC506"/>
  <c r="BD506"/>
  <c r="AR507"/>
  <c r="AC449" i="1"/>
  <c r="AB449"/>
  <c r="AD449"/>
  <c r="BD507" i="2" l="1"/>
  <c r="BE507"/>
  <c r="BC507"/>
  <c r="AR508"/>
  <c r="AD450" i="1"/>
  <c r="AB450"/>
  <c r="AC450"/>
  <c r="BE508" i="2" l="1"/>
  <c r="BC508"/>
  <c r="BD508"/>
  <c r="AR509"/>
  <c r="AC451" i="1"/>
  <c r="AD451"/>
  <c r="AB451"/>
  <c r="BD509" i="2" l="1"/>
  <c r="BE509"/>
  <c r="BC509"/>
  <c r="AR510"/>
  <c r="AD452" i="1"/>
  <c r="AB452"/>
  <c r="AC452"/>
  <c r="BE510" i="2" l="1"/>
  <c r="BC510"/>
  <c r="BD510"/>
  <c r="AR511"/>
  <c r="AC453" i="1"/>
  <c r="AB453"/>
  <c r="AD453"/>
  <c r="BD511" i="2" l="1"/>
  <c r="BE511"/>
  <c r="BC511"/>
  <c r="AR512"/>
  <c r="AD454" i="1"/>
  <c r="AB454"/>
  <c r="AC454"/>
  <c r="BE512" i="2" l="1"/>
  <c r="BC512"/>
  <c r="BD512"/>
  <c r="AR513"/>
  <c r="AC455" i="1"/>
  <c r="AD455"/>
  <c r="AB455"/>
  <c r="BD513" i="2" l="1"/>
  <c r="BE513"/>
  <c r="BC513"/>
  <c r="AR514"/>
  <c r="AD456" i="1"/>
  <c r="AB456"/>
  <c r="AC456"/>
  <c r="BE514" i="2" l="1"/>
  <c r="BC514"/>
  <c r="BD514"/>
  <c r="AC457" i="1"/>
  <c r="AB457"/>
  <c r="AD457"/>
  <c r="AD458" l="1"/>
  <c r="AB458"/>
  <c r="AC458"/>
  <c r="AC459" l="1"/>
  <c r="AD459"/>
  <c r="AB459"/>
  <c r="AD460" l="1"/>
  <c r="AB460"/>
  <c r="AC460"/>
  <c r="AC461" l="1"/>
  <c r="AB461"/>
  <c r="AD461"/>
  <c r="AD462" l="1"/>
  <c r="AB462"/>
  <c r="AC462"/>
  <c r="AC463" l="1"/>
  <c r="AD463"/>
  <c r="AB463"/>
  <c r="AD464" l="1"/>
  <c r="AB464"/>
  <c r="AC464"/>
  <c r="AC465" l="1"/>
  <c r="AB465"/>
  <c r="AD465"/>
  <c r="AD466" l="1"/>
  <c r="AB466"/>
  <c r="AC466"/>
  <c r="AC467" l="1"/>
  <c r="AD467"/>
  <c r="AB467"/>
  <c r="AD468" l="1"/>
  <c r="AB468"/>
  <c r="AC468"/>
  <c r="AC469" l="1"/>
  <c r="AB469"/>
  <c r="AD469"/>
  <c r="AD470" l="1"/>
  <c r="AB470"/>
  <c r="AC470"/>
  <c r="AC471" l="1"/>
  <c r="AD471"/>
  <c r="AB471"/>
  <c r="AD472" l="1"/>
  <c r="AB472"/>
  <c r="AC472"/>
  <c r="AC473" l="1"/>
  <c r="AB473"/>
  <c r="AD473"/>
  <c r="AD474" l="1"/>
  <c r="AB474"/>
  <c r="AC474"/>
  <c r="AC475" l="1"/>
  <c r="AD475"/>
  <c r="AB475"/>
  <c r="AD476" l="1"/>
  <c r="AB476"/>
  <c r="AC476"/>
  <c r="AC477" l="1"/>
  <c r="AB477"/>
  <c r="AD477"/>
  <c r="AD478" l="1"/>
  <c r="AB478"/>
  <c r="AC478"/>
  <c r="AC479" l="1"/>
  <c r="AD479"/>
  <c r="AB479"/>
  <c r="AD480" l="1"/>
  <c r="AB480"/>
  <c r="AC480"/>
  <c r="AC481" l="1"/>
  <c r="AB481"/>
  <c r="AD481"/>
  <c r="AD482" l="1"/>
  <c r="AB482"/>
  <c r="AC482"/>
  <c r="AC483" l="1"/>
  <c r="AD483"/>
  <c r="AB483"/>
  <c r="AD484" l="1"/>
  <c r="AB484"/>
  <c r="AC484"/>
  <c r="AC485" l="1"/>
  <c r="AB485"/>
  <c r="AD485"/>
  <c r="AD486" l="1"/>
  <c r="AB486"/>
  <c r="AC486"/>
  <c r="AC487" l="1"/>
  <c r="AB487"/>
  <c r="AD487"/>
  <c r="AD488" l="1"/>
  <c r="AB488"/>
  <c r="AC488"/>
  <c r="AC489" l="1"/>
  <c r="AB489"/>
  <c r="AD489"/>
  <c r="AD490" l="1"/>
  <c r="AB490"/>
  <c r="AC490"/>
  <c r="AC491" l="1"/>
  <c r="AD491"/>
  <c r="AB491"/>
  <c r="AD492" l="1"/>
  <c r="AB492"/>
  <c r="AC492"/>
  <c r="AC493" l="1"/>
  <c r="AD493"/>
  <c r="AB493"/>
  <c r="AD494" l="1"/>
  <c r="AB494"/>
  <c r="AC494"/>
  <c r="AC495" l="1"/>
  <c r="AD495"/>
  <c r="AB495"/>
  <c r="AD496" l="1"/>
  <c r="AB496"/>
  <c r="AC496"/>
  <c r="AC497" l="1"/>
  <c r="AD497"/>
  <c r="AB497"/>
  <c r="AD498" l="1"/>
  <c r="AB498"/>
  <c r="AC498"/>
  <c r="AB499" l="1"/>
  <c r="AD499"/>
  <c r="AC499"/>
</calcChain>
</file>

<file path=xl/comments1.xml><?xml version="1.0" encoding="utf-8"?>
<comments xmlns="http://schemas.openxmlformats.org/spreadsheetml/2006/main">
  <authors>
    <author>cindyc01</author>
  </authors>
  <commentList>
    <comment ref="E3" authorId="0">
      <text>
        <r>
          <rPr>
            <sz val="16"/>
            <color indexed="81"/>
            <rFont val="Tahoma"/>
            <family val="2"/>
          </rPr>
          <t>This table does not require versioning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cindyc01</author>
    <author>Matthew Carle</author>
  </authors>
  <commentList>
    <comment ref="E12" authorId="0">
      <text>
        <r>
          <rPr>
            <b/>
            <sz val="8"/>
            <color indexed="81"/>
            <rFont val="Tahoma"/>
            <family val="2"/>
          </rPr>
          <t>cindyc01:</t>
        </r>
        <r>
          <rPr>
            <sz val="8"/>
            <color indexed="81"/>
            <rFont val="Tahoma"/>
            <family val="2"/>
          </rPr>
          <t xml:space="preserve">
We are happy with these rates</t>
        </r>
      </text>
    </comment>
    <comment ref="C19" authorId="0">
      <text>
        <r>
          <rPr>
            <b/>
            <sz val="10"/>
            <color indexed="81"/>
            <rFont val="Tahoma"/>
            <family val="2"/>
          </rPr>
          <t>cindyc01:</t>
        </r>
        <r>
          <rPr>
            <sz val="10"/>
            <color indexed="81"/>
            <rFont val="Tahoma"/>
            <family val="2"/>
          </rPr>
          <t xml:space="preserve">
Wasn't used in old model, but we do now!
</t>
        </r>
      </text>
    </comment>
    <comment ref="C20" authorId="0">
      <text>
        <r>
          <rPr>
            <b/>
            <sz val="10"/>
            <color indexed="81"/>
            <rFont val="Tahoma"/>
            <family val="2"/>
          </rPr>
          <t>cindyc01:</t>
        </r>
        <r>
          <rPr>
            <sz val="10"/>
            <color indexed="81"/>
            <rFont val="Tahoma"/>
            <family val="2"/>
          </rPr>
          <t xml:space="preserve">
New parameter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1" authorId="0">
      <text>
        <r>
          <rPr>
            <b/>
            <sz val="10"/>
            <color indexed="81"/>
            <rFont val="Tahoma"/>
            <family val="2"/>
          </rPr>
          <t>cindyc01:</t>
        </r>
        <r>
          <rPr>
            <sz val="10"/>
            <color indexed="81"/>
            <rFont val="Tahoma"/>
            <family val="2"/>
          </rPr>
          <t xml:space="preserve">
New parameter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50" authorId="1">
      <text>
        <r>
          <rPr>
            <b/>
            <sz val="8"/>
            <color indexed="81"/>
            <rFont val="Tahoma"/>
            <family val="2"/>
          </rPr>
          <t>Matthew Carle:</t>
        </r>
        <r>
          <rPr>
            <sz val="8"/>
            <color indexed="81"/>
            <rFont val="Tahoma"/>
            <family val="2"/>
          </rPr>
          <t xml:space="preserve">
This should be 250</t>
        </r>
      </text>
    </comment>
  </commentList>
</comments>
</file>

<file path=xl/sharedStrings.xml><?xml version="1.0" encoding="utf-8"?>
<sst xmlns="http://schemas.openxmlformats.org/spreadsheetml/2006/main" count="13057" uniqueCount="3089">
  <si>
    <t>Gender unknown</t>
  </si>
  <si>
    <t>Age not on record</t>
  </si>
  <si>
    <t>Licence year not on record</t>
  </si>
  <si>
    <t>Model unknown</t>
  </si>
  <si>
    <t>Year not on record</t>
  </si>
  <si>
    <t>Use undetermined</t>
  </si>
  <si>
    <t>x</t>
  </si>
  <si>
    <t>Driver</t>
  </si>
  <si>
    <t>AU0041-09-213 (5)</t>
  </si>
  <si>
    <t>Vehicle</t>
  </si>
  <si>
    <t>Policy</t>
  </si>
  <si>
    <t>Premium Type</t>
  </si>
  <si>
    <t>Gross Total Premium</t>
  </si>
  <si>
    <t>P02A122 (1)</t>
  </si>
  <si>
    <t>Theft_Premium</t>
  </si>
  <si>
    <t>AU0007-91-015 (494)</t>
  </si>
  <si>
    <t>AU0057-69-282 (21)</t>
  </si>
  <si>
    <t>AU0090-86-084 (4)</t>
  </si>
  <si>
    <t>V0908500462562 (1)</t>
  </si>
  <si>
    <t>V0131067247526 (8)</t>
  </si>
  <si>
    <t>V0114368794414 (495)</t>
  </si>
  <si>
    <t>V0843992493105 (10)</t>
  </si>
  <si>
    <t>AU0040-71-935 (2)</t>
  </si>
  <si>
    <t>Accident_Premium</t>
  </si>
  <si>
    <t>Hail_Premium</t>
  </si>
  <si>
    <t>Fire_Premium</t>
  </si>
  <si>
    <t>Net Total Premium</t>
  </si>
  <si>
    <t>V0082161349972 (2)</t>
  </si>
  <si>
    <t>V0526249085383 (7)</t>
  </si>
  <si>
    <t>V0345212807687 (286)</t>
  </si>
  <si>
    <t>V0052456517593 (9)</t>
  </si>
  <si>
    <t>Extra #</t>
  </si>
  <si>
    <t>Pay as You Drive Premium Calculator</t>
  </si>
  <si>
    <t>Effective</t>
  </si>
  <si>
    <t>Validation Lists</t>
  </si>
  <si>
    <t>Input Parameters</t>
  </si>
  <si>
    <t>Work Variables</t>
  </si>
  <si>
    <t>Returned results</t>
  </si>
  <si>
    <t>Premium:</t>
  </si>
  <si>
    <t>seq</t>
  </si>
  <si>
    <t>Policies</t>
  </si>
  <si>
    <t>Autos</t>
  </si>
  <si>
    <t>Clients</t>
  </si>
  <si>
    <t>Bases &amp; Constants</t>
  </si>
  <si>
    <t>Accidents</t>
  </si>
  <si>
    <t>Theft, Fire, Hail, etc.</t>
  </si>
  <si>
    <t>Costs</t>
  </si>
  <si>
    <t>bAcc_Freq</t>
  </si>
  <si>
    <t>bTh_Freq</t>
  </si>
  <si>
    <t>bAcc_Freq_Max</t>
  </si>
  <si>
    <t>bTh_Freq_Max</t>
  </si>
  <si>
    <t>bLiabCost</t>
  </si>
  <si>
    <t>bAcc_Freq_Min</t>
  </si>
  <si>
    <t>bTh_Freq_Min</t>
  </si>
  <si>
    <t>bPD_Weight</t>
  </si>
  <si>
    <t>bTh_Rec_Rate</t>
  </si>
  <si>
    <t>bRI_Loading</t>
  </si>
  <si>
    <t>bYD_Weight</t>
  </si>
  <si>
    <t>bTh_Dam_Rate</t>
  </si>
  <si>
    <t>bCost_Var_p</t>
  </si>
  <si>
    <t>bCost_Var_d</t>
  </si>
  <si>
    <t>bAcc_Sev_a</t>
  </si>
  <si>
    <t>bHail_Freq</t>
  </si>
  <si>
    <t>bMargin</t>
  </si>
  <si>
    <t>bAcc_Sev_b</t>
  </si>
  <si>
    <t>bHail_Sev_a</t>
  </si>
  <si>
    <t>bPay_back</t>
  </si>
  <si>
    <t>bAcc_Sev_c</t>
  </si>
  <si>
    <t>bHail_Sev_b</t>
  </si>
  <si>
    <t>bAcc_Sev_d</t>
  </si>
  <si>
    <t>bCost_Fix_p</t>
  </si>
  <si>
    <t>bAcc_Sev_e</t>
  </si>
  <si>
    <t>bFire_Freq</t>
  </si>
  <si>
    <t>bCost_Fix_d</t>
  </si>
  <si>
    <t>bAcc_Sev_f</t>
  </si>
  <si>
    <t>bFire_Sev</t>
  </si>
  <si>
    <t>bMin_Base_Prem</t>
  </si>
  <si>
    <t>bWS_Freq</t>
  </si>
  <si>
    <t>bWS_Sev_a</t>
  </si>
  <si>
    <t>b3rd_Acc</t>
  </si>
  <si>
    <t>b3rd_Sev</t>
  </si>
  <si>
    <t xml:space="preserve"> </t>
  </si>
  <si>
    <t>Driver, Vehicle, Policy, Coverage. Fields and Properties</t>
  </si>
  <si>
    <t>Coverage</t>
  </si>
  <si>
    <t>Gender</t>
  </si>
  <si>
    <t>Red Book Code</t>
  </si>
  <si>
    <t>Age Restriction</t>
  </si>
  <si>
    <t>Type</t>
  </si>
  <si>
    <t>Age</t>
  </si>
  <si>
    <t xml:space="preserve">Day Suburb </t>
  </si>
  <si>
    <t>Excess</t>
  </si>
  <si>
    <t>Marital</t>
  </si>
  <si>
    <t xml:space="preserve">Night Suburb </t>
  </si>
  <si>
    <t>suminsurance</t>
  </si>
  <si>
    <t>Licence Obtained</t>
  </si>
  <si>
    <t>Vehicle Year</t>
  </si>
  <si>
    <t>KM Purchased</t>
  </si>
  <si>
    <t>Years driving</t>
  </si>
  <si>
    <t>Rounded age</t>
  </si>
  <si>
    <t>Age group</t>
  </si>
  <si>
    <t>Workaround 1</t>
  </si>
  <si>
    <t>Claims 5 yrs</t>
  </si>
  <si>
    <t>Number of Extras</t>
  </si>
  <si>
    <t>Own Other Vehicles?</t>
  </si>
  <si>
    <t>Total of points for Extras</t>
  </si>
  <si>
    <t>Suspensions last 5 yrs</t>
  </si>
  <si>
    <t>Type of Use</t>
  </si>
  <si>
    <t>Y Gender</t>
  </si>
  <si>
    <t>offRoad</t>
  </si>
  <si>
    <t>Y Age</t>
  </si>
  <si>
    <t>Annual KM</t>
  </si>
  <si>
    <t>Y Marital</t>
  </si>
  <si>
    <t>Mileage category</t>
  </si>
  <si>
    <t>Mobile kit</t>
  </si>
  <si>
    <t>Current Insurance</t>
  </si>
  <si>
    <t>modifications Value</t>
  </si>
  <si>
    <t>color</t>
  </si>
  <si>
    <t>Day Parking</t>
  </si>
  <si>
    <t>Night Parking</t>
  </si>
  <si>
    <t>anti theft devices</t>
  </si>
  <si>
    <t>Ref Source &lt;???&gt;</t>
  </si>
  <si>
    <t>Wind Screen Option</t>
  </si>
  <si>
    <t>cal hired</t>
  </si>
  <si>
    <t>Night Postcode</t>
  </si>
  <si>
    <t>State</t>
  </si>
  <si>
    <t>Accident Premium Calculator</t>
  </si>
  <si>
    <t>Mean</t>
  </si>
  <si>
    <t>StdDev</t>
  </si>
  <si>
    <t>Mu</t>
  </si>
  <si>
    <t>Sigma</t>
  </si>
  <si>
    <t>rAcc_Freq_Age_PD</t>
  </si>
  <si>
    <t>rAcc_Freq_Suburb_Day</t>
  </si>
  <si>
    <t>rAcc_Freq_AgeRestriction</t>
  </si>
  <si>
    <t>rAcc_Freq_Marital_PD</t>
  </si>
  <si>
    <t>rAcc_Freq_Suburb_Night</t>
  </si>
  <si>
    <t>rAcc_Freq_Lic_Year_PD</t>
  </si>
  <si>
    <t>rAcc_Freq_Vehicle_ID</t>
  </si>
  <si>
    <t>rAcc_Freq_Old_Claims_PD</t>
  </si>
  <si>
    <t>rAcc_Freq_Veh_Year</t>
  </si>
  <si>
    <t>rAcc_Freq_Oth_Veh_PD</t>
  </si>
  <si>
    <t>rAcc_Freq_Extras (total)</t>
  </si>
  <si>
    <t>rAcc_Freq_Susp_PD</t>
  </si>
  <si>
    <t>rAcc_Freq_Vehicle_Use</t>
  </si>
  <si>
    <t>rAcc_Freq_Age_YD</t>
  </si>
  <si>
    <t>rAcc_Freq_Vehicle_4x4</t>
  </si>
  <si>
    <t>rAcc_Freq_Marital_YD</t>
  </si>
  <si>
    <t>rAcc_Freq_Vehicle_Km_pa</t>
  </si>
  <si>
    <t>rAcc_Freq_Vehicle_MobKit</t>
  </si>
  <si>
    <t>rAcc_Freq_Vehicle_Cur_Ins</t>
  </si>
  <si>
    <t>rAcc_Freq_Vehicle_Finance</t>
  </si>
  <si>
    <t>rAcc_Freq_Excess_level</t>
  </si>
  <si>
    <t>cAcc_Freq_Points</t>
  </si>
  <si>
    <t>cAcc_Freq_Adj</t>
  </si>
  <si>
    <t>bVeh_Writeoff</t>
  </si>
  <si>
    <t>rAcc_Sev_SI</t>
  </si>
  <si>
    <t>rAcc_Sev_ENV</t>
  </si>
  <si>
    <t>rWO_point</t>
  </si>
  <si>
    <t>dExcess_Point</t>
  </si>
  <si>
    <t>cAcc_Sev</t>
  </si>
  <si>
    <t>rAcc_Sev_Suburb_Day</t>
  </si>
  <si>
    <t>rAcc_Sev_Suburb_Night</t>
  </si>
  <si>
    <t>rAcc_Sev_Vehicle_ID</t>
  </si>
  <si>
    <t>rAcc_Sev_Vehicle_Use</t>
  </si>
  <si>
    <t>rAcc_Sev_Vehicle_Colour</t>
  </si>
  <si>
    <t>cAcc_Sev_Points</t>
  </si>
  <si>
    <t>cAcc Sev_Adj</t>
  </si>
  <si>
    <t>Theft Premium Calculator</t>
  </si>
  <si>
    <t>rTh_Freq_Age_PD</t>
  </si>
  <si>
    <t>rTh_Freq_Suburb_Day</t>
  </si>
  <si>
    <t>rTh_Freq_Marital_PD</t>
  </si>
  <si>
    <t>rTh_Freq_Park_Day</t>
  </si>
  <si>
    <t>rTh_Freq_Old_Claims_PD</t>
  </si>
  <si>
    <t>rTh_Freq_Suburb_Night</t>
  </si>
  <si>
    <t>rTh_Freq_Oth_Veh_PD</t>
  </si>
  <si>
    <t>rTh_Freq_Park_Night</t>
  </si>
  <si>
    <t>rTh_Freq_Age_YD</t>
  </si>
  <si>
    <t>rTh_Freq_Vehicle_ID</t>
  </si>
  <si>
    <t>rTh_Freq_Marital_YD</t>
  </si>
  <si>
    <t>rTh_Freq_Vehicle_Use</t>
  </si>
  <si>
    <t>rTh_Freq_Vehicle_Km_pa</t>
  </si>
  <si>
    <t>rTh_Freq_Vehicle_Security</t>
  </si>
  <si>
    <t>rTh_Freq_Vehicle_Cur_Ins</t>
  </si>
  <si>
    <t>rTh_Freq_Vehicle_Finance</t>
  </si>
  <si>
    <t>rTh_Freq_Excess_level</t>
  </si>
  <si>
    <t>cTh_Freq_Points</t>
  </si>
  <si>
    <t>cTh_Freq_Adj</t>
  </si>
  <si>
    <t>Severity</t>
  </si>
  <si>
    <t>rTh_Sev_SI</t>
  </si>
  <si>
    <t>cTh_Sev</t>
  </si>
  <si>
    <t>cTh Sev_Adj</t>
  </si>
  <si>
    <t>Hail Premium Calculator</t>
  </si>
  <si>
    <t>rHail_Freq_Suburb_Day</t>
  </si>
  <si>
    <t>rHail_Freq_Park_Day</t>
  </si>
  <si>
    <t>rHail_Freq_Suburb_Night</t>
  </si>
  <si>
    <t>rHail_Freq_Park_Night</t>
  </si>
  <si>
    <t>rHail_Freq_Vehicle_Use</t>
  </si>
  <si>
    <t>rHail_Freq_Vehicle_Km_pa</t>
  </si>
  <si>
    <t>cHail_Freq_Points</t>
  </si>
  <si>
    <t>cHail_Freq_Adj</t>
  </si>
  <si>
    <t>rHail_Sev_ENV</t>
  </si>
  <si>
    <t>cHail_Sev</t>
  </si>
  <si>
    <t>rHail_Sev_Vehicle_Colour</t>
  </si>
  <si>
    <t>cHail_Sev_Points</t>
  </si>
  <si>
    <t>cHail Sev_Adj</t>
  </si>
  <si>
    <t>Fire Premium Calculator</t>
  </si>
  <si>
    <t>bFire_ENV</t>
  </si>
  <si>
    <t>cFire_Sev</t>
  </si>
  <si>
    <t>WS, 3rd Premium Calculator. Risk Premiums. Stuff I do not understand.</t>
  </si>
  <si>
    <t>WS_Premium</t>
  </si>
  <si>
    <t>Min_Premium</t>
  </si>
  <si>
    <t>Total_Base_Risk_Premium</t>
  </si>
  <si>
    <t>Base Premium</t>
  </si>
  <si>
    <t>Travel_Fire_Prem</t>
  </si>
  <si>
    <t>Gross Premium</t>
  </si>
  <si>
    <t>Travel_Liab_Prem</t>
  </si>
  <si>
    <t>Unloaded_Total_Travel_Risk_Premium</t>
  </si>
  <si>
    <t>StDev</t>
  </si>
  <si>
    <t>Section 1</t>
  </si>
  <si>
    <t>Section 2</t>
  </si>
  <si>
    <t>Section 3</t>
  </si>
  <si>
    <t>Section 4</t>
  </si>
  <si>
    <t>cWS_Excess_Adj</t>
  </si>
  <si>
    <t>b3rd_Freq</t>
  </si>
  <si>
    <t>cAccident_Premium</t>
  </si>
  <si>
    <t>Risk_Premium</t>
  </si>
  <si>
    <t>cWS_Freq_Points</t>
  </si>
  <si>
    <t>CDF(Excess)</t>
  </si>
  <si>
    <t>cTheft_Premium</t>
  </si>
  <si>
    <t>bFees</t>
  </si>
  <si>
    <t>cWS_Freq_Adj</t>
  </si>
  <si>
    <t>cHail_Premium</t>
  </si>
  <si>
    <t>bFees_Travel</t>
  </si>
  <si>
    <t>cWS_Sev</t>
  </si>
  <si>
    <t>3rd_Premium</t>
  </si>
  <si>
    <t>cWS_Premium</t>
  </si>
  <si>
    <t>bCommission</t>
  </si>
  <si>
    <t>_c3rd_Premium</t>
  </si>
  <si>
    <t>bAcq_Cost</t>
  </si>
  <si>
    <t>cFire_Premium</t>
  </si>
  <si>
    <t>Split_Acc_Min</t>
  </si>
  <si>
    <t>Base_Acc</t>
  </si>
  <si>
    <t>Base_Acc_Prem</t>
  </si>
  <si>
    <t>Travel_Acc_Prem</t>
  </si>
  <si>
    <t>Required % of Acc Prem</t>
  </si>
  <si>
    <t>Base_Th</t>
  </si>
  <si>
    <t>Base_Th_Prem</t>
  </si>
  <si>
    <t>Travel_Th_Prem</t>
  </si>
  <si>
    <t>Base_Hail</t>
  </si>
  <si>
    <t>Base_Hail_Prem</t>
  </si>
  <si>
    <t>Travel_Hail_Prem</t>
  </si>
  <si>
    <t>Base_WS</t>
  </si>
  <si>
    <t>Base_WS_Prem</t>
  </si>
  <si>
    <t>Travel_WS_Prem</t>
  </si>
  <si>
    <t>Base_3rd</t>
  </si>
  <si>
    <t>Base_3rd_Prem</t>
  </si>
  <si>
    <t>Travel_3rd_Prem</t>
  </si>
  <si>
    <t>Base_Fire</t>
  </si>
  <si>
    <t>Base_Fire_Prem</t>
  </si>
  <si>
    <t>Base_Liab</t>
  </si>
  <si>
    <t>Base_Liab_Prem</t>
  </si>
  <si>
    <t>Summary and Conclusions</t>
  </si>
  <si>
    <t>Model ave km:</t>
  </si>
  <si>
    <t>loaded Travel Risk prem per km</t>
  </si>
  <si>
    <t>Net Base Premium</t>
  </si>
  <si>
    <t>bGST</t>
  </si>
  <si>
    <t>Workaround 2</t>
  </si>
  <si>
    <t>Loaded Travel Risk Premium</t>
  </si>
  <si>
    <t>Unloaded Net Travel Premium</t>
  </si>
  <si>
    <t>bStamp_Duty</t>
  </si>
  <si>
    <t>Mile_High_A</t>
  </si>
  <si>
    <t>Total Risk Premium</t>
  </si>
  <si>
    <t>Travel Net prem per km</t>
  </si>
  <si>
    <t>bFSL</t>
  </si>
  <si>
    <t>Mile_High_C</t>
  </si>
  <si>
    <t>Net Travel Premium</t>
  </si>
  <si>
    <t>Gross Base Premium</t>
  </si>
  <si>
    <t>Mile_High_M</t>
  </si>
  <si>
    <t>Minimum Base Premium</t>
  </si>
  <si>
    <t>Unloaded Gross Travel Premium</t>
  </si>
  <si>
    <t>Mile_High_B</t>
  </si>
  <si>
    <t>Unloaded Minimum Travel Premium</t>
  </si>
  <si>
    <t>Options</t>
  </si>
  <si>
    <t>Travel Gross prem per km</t>
  </si>
  <si>
    <t>Mile_High_T</t>
  </si>
  <si>
    <t>Travel Minimum prem per km</t>
  </si>
  <si>
    <t>bWS_Prem</t>
  </si>
  <si>
    <t>Gross Travel Premium</t>
  </si>
  <si>
    <t>Ratio of purchased km vs model:</t>
  </si>
  <si>
    <t>Minimum Travel Premium</t>
  </si>
  <si>
    <t>b10DayHire_Prem</t>
  </si>
  <si>
    <t>High Mileage % Loading:</t>
  </si>
  <si>
    <t>Minimum Total Premium</t>
  </si>
  <si>
    <t>b20DayHire_Prem</t>
  </si>
  <si>
    <t>Annual Cannot Adjust Below Net</t>
  </si>
  <si>
    <t>Mile_Low_A</t>
  </si>
  <si>
    <t>Annual Cannot Adjust Below Gross</t>
  </si>
  <si>
    <t>Mile_Low_C</t>
  </si>
  <si>
    <t>Base Cost Percentage</t>
  </si>
  <si>
    <t>Mile_Low_M</t>
  </si>
  <si>
    <t>Mile_Low_B</t>
  </si>
  <si>
    <t>Mile_Low_T</t>
  </si>
  <si>
    <t>Low Mileage Loading</t>
  </si>
  <si>
    <t>Field Name</t>
  </si>
  <si>
    <t>Input Value</t>
  </si>
  <si>
    <t>Valid Input</t>
  </si>
  <si>
    <t>Rating Version</t>
  </si>
  <si>
    <t>Description</t>
  </si>
  <si>
    <t>Chagnes made</t>
  </si>
  <si>
    <t>iQuote_Version</t>
  </si>
  <si>
    <t>1  to 10 (1 in PROD)</t>
  </si>
  <si>
    <t>Original (RPL version 14/09/06)</t>
  </si>
  <si>
    <t>Points currently in PRODUCTION</t>
  </si>
  <si>
    <t>iModel_Version</t>
  </si>
  <si>
    <t>1 = old, ELSE = new</t>
  </si>
  <si>
    <t>New Model</t>
  </si>
  <si>
    <t>New Model, No change in point</t>
  </si>
  <si>
    <t>New Model, New Points</t>
  </si>
  <si>
    <t>New Points: Lic Age, Age, Clm History, LPG, tBase, Curr Insured</t>
  </si>
  <si>
    <t>Quantium Changes</t>
  </si>
  <si>
    <t>Quote Version</t>
  </si>
  <si>
    <t>Model Version</t>
  </si>
  <si>
    <t>Changes made</t>
  </si>
  <si>
    <t>Initial</t>
  </si>
  <si>
    <t>Starting Rates</t>
  </si>
  <si>
    <t>Suburb and Age curve</t>
  </si>
  <si>
    <t>Root Type</t>
  </si>
  <si>
    <t>Properties</t>
  </si>
  <si>
    <t>Service Model Name</t>
  </si>
  <si>
    <t>CoverType</t>
  </si>
  <si>
    <t>P_DOB</t>
  </si>
  <si>
    <t>Pgender</t>
  </si>
  <si>
    <t>P_Age</t>
  </si>
  <si>
    <t>SeniorsCard</t>
  </si>
  <si>
    <t>Y_DOB</t>
  </si>
  <si>
    <t>YGender</t>
  </si>
  <si>
    <t>Yage</t>
  </si>
  <si>
    <t>VIN</t>
  </si>
  <si>
    <t>RedbookCode</t>
  </si>
  <si>
    <t>NParking</t>
  </si>
  <si>
    <t>Colour</t>
  </si>
  <si>
    <t>Security</t>
  </si>
  <si>
    <t>CarKit</t>
  </si>
  <si>
    <t>Financed</t>
  </si>
  <si>
    <t>CarHireOp</t>
  </si>
  <si>
    <t>RefSource</t>
  </si>
  <si>
    <t>Make</t>
  </si>
  <si>
    <t>Model</t>
  </si>
  <si>
    <t>Extras</t>
  </si>
  <si>
    <t>Filler</t>
  </si>
  <si>
    <t>SumInsured</t>
  </si>
  <si>
    <t>RateDate</t>
  </si>
  <si>
    <t>DriverAgeRestriction</t>
  </si>
  <si>
    <t>Sample Data From The Application Database Models</t>
  </si>
  <si>
    <t>section</t>
  </si>
  <si>
    <t>test</t>
  </si>
  <si>
    <t>Coverage.CoverType</t>
  </si>
  <si>
    <t>Motor Comp</t>
  </si>
  <si>
    <t>P02A838</t>
  </si>
  <si>
    <t>P02A122</t>
  </si>
  <si>
    <t>TwentyFiveOrOver</t>
  </si>
  <si>
    <t>KM</t>
  </si>
  <si>
    <t>P02A193</t>
  </si>
  <si>
    <t>None</t>
  </si>
  <si>
    <t>Date</t>
  </si>
  <si>
    <t>P02A520</t>
  </si>
  <si>
    <t>P02A78</t>
  </si>
  <si>
    <t>P02A672</t>
  </si>
  <si>
    <t>P02A406</t>
  </si>
  <si>
    <t>P02A307</t>
  </si>
  <si>
    <t>P02A213</t>
  </si>
  <si>
    <t>P02A913</t>
  </si>
  <si>
    <t>P02A541</t>
  </si>
  <si>
    <t>P02A313</t>
  </si>
  <si>
    <t>P02A524</t>
  </si>
  <si>
    <t>P02A962</t>
  </si>
  <si>
    <t>P02A5</t>
  </si>
  <si>
    <t>P02A418</t>
  </si>
  <si>
    <t>P02A919</t>
  </si>
  <si>
    <t>P02A939</t>
  </si>
  <si>
    <t>P02A759</t>
  </si>
  <si>
    <t>P02A652</t>
  </si>
  <si>
    <t>P02A355</t>
  </si>
  <si>
    <t>P02A519</t>
  </si>
  <si>
    <t>P02A459</t>
  </si>
  <si>
    <t>P02A477</t>
  </si>
  <si>
    <t>P02A698</t>
  </si>
  <si>
    <t>P02A30</t>
  </si>
  <si>
    <t>P02A815</t>
  </si>
  <si>
    <t>P02A451</t>
  </si>
  <si>
    <t>P02A125</t>
  </si>
  <si>
    <t>P02A10</t>
  </si>
  <si>
    <t>P02A62</t>
  </si>
  <si>
    <t>P02A239</t>
  </si>
  <si>
    <t>P02A657</t>
  </si>
  <si>
    <t>P02A990</t>
  </si>
  <si>
    <t>P02A379</t>
  </si>
  <si>
    <t>P02A771</t>
  </si>
  <si>
    <t>P02A116</t>
  </si>
  <si>
    <t>P02A298</t>
  </si>
  <si>
    <t>P02A238</t>
  </si>
  <si>
    <t>P02A430</t>
  </si>
  <si>
    <t>P02A678</t>
  </si>
  <si>
    <t>P02A295</t>
  </si>
  <si>
    <t>P02A18</t>
  </si>
  <si>
    <t>P02A257</t>
  </si>
  <si>
    <t>P02A101</t>
  </si>
  <si>
    <t>P02A356</t>
  </si>
  <si>
    <t>P02A581</t>
  </si>
  <si>
    <t>P02A337</t>
  </si>
  <si>
    <t>P02A643</t>
  </si>
  <si>
    <t>P02A767</t>
  </si>
  <si>
    <t>P02A611</t>
  </si>
  <si>
    <t>P02A955</t>
  </si>
  <si>
    <t>P02A39</t>
  </si>
  <si>
    <t>P02A97</t>
  </si>
  <si>
    <t>P02A190</t>
  </si>
  <si>
    <t>P02A714</t>
  </si>
  <si>
    <t>P02A205</t>
  </si>
  <si>
    <t>P02A84</t>
  </si>
  <si>
    <t>P02A976</t>
  </si>
  <si>
    <t>P02A473</t>
  </si>
  <si>
    <t>P02A432</t>
  </si>
  <si>
    <t>P02A760</t>
  </si>
  <si>
    <t>P02A335</t>
  </si>
  <si>
    <t>P02A222</t>
  </si>
  <si>
    <t>P02A931</t>
  </si>
  <si>
    <t>P02A79</t>
  </si>
  <si>
    <t>P02A696</t>
  </si>
  <si>
    <t>P02A583</t>
  </si>
  <si>
    <t>P02A435</t>
  </si>
  <si>
    <t>P02A317</t>
  </si>
  <si>
    <t>P02A6</t>
  </si>
  <si>
    <t>P02A341</t>
  </si>
  <si>
    <t>P02A987</t>
  </si>
  <si>
    <t>P02A927</t>
  </si>
  <si>
    <t>P02A172</t>
  </si>
  <si>
    <t>P02A419</t>
  </si>
  <si>
    <t>P02A592</t>
  </si>
  <si>
    <t>P02A276</t>
  </si>
  <si>
    <t>P02A805</t>
  </si>
  <si>
    <t>P02A612</t>
  </si>
  <si>
    <t>P02A457</t>
  </si>
  <si>
    <t>P02A261</t>
  </si>
  <si>
    <t>P02A439</t>
  </si>
  <si>
    <t>P02A889</t>
  </si>
  <si>
    <t>P02A171</t>
  </si>
  <si>
    <t>P02A584</t>
  </si>
  <si>
    <t>P02A602</t>
  </si>
  <si>
    <t>P02A111</t>
  </si>
  <si>
    <t>P02A401</t>
  </si>
  <si>
    <t>P02A776</t>
  </si>
  <si>
    <t>P02A90</t>
  </si>
  <si>
    <t>P02A726</t>
  </si>
  <si>
    <t>P02A35</t>
  </si>
  <si>
    <t>P02A166</t>
  </si>
  <si>
    <t>P02A323</t>
  </si>
  <si>
    <t>P02A801</t>
  </si>
  <si>
    <t>P02A700</t>
  </si>
  <si>
    <t>P02A752</t>
  </si>
  <si>
    <t>P02A38</t>
  </si>
  <si>
    <t>P02A510</t>
  </si>
  <si>
    <t>P02A294</t>
  </si>
  <si>
    <t>P02A773</t>
  </si>
  <si>
    <t>P02A841</t>
  </si>
  <si>
    <t>P02A388</t>
  </si>
  <si>
    <t>P02A906</t>
  </si>
  <si>
    <t>P02A344</t>
  </si>
  <si>
    <t>P02A25</t>
  </si>
  <si>
    <t>P02A491</t>
  </si>
  <si>
    <t>P02A925</t>
  </si>
  <si>
    <t>P02A707</t>
  </si>
  <si>
    <t>P02A915</t>
  </si>
  <si>
    <t>P02A32</t>
  </si>
  <si>
    <t>P02A140</t>
  </si>
  <si>
    <t>P02A296</t>
  </si>
  <si>
    <t>P02A114</t>
  </si>
  <si>
    <t>P02A242</t>
  </si>
  <si>
    <t>P02A479</t>
  </si>
  <si>
    <t>P02A517</t>
  </si>
  <si>
    <t>P02A645</t>
  </si>
  <si>
    <t>P02A937</t>
  </si>
  <si>
    <t>P02A633</t>
  </si>
  <si>
    <t>P02A265</t>
  </si>
  <si>
    <t>P02A363</t>
  </si>
  <si>
    <t>P02A559</t>
  </si>
  <si>
    <t>P02A659</t>
  </si>
  <si>
    <t>P02A438</t>
  </si>
  <si>
    <t>P02A3</t>
  </si>
  <si>
    <t>P02A358</t>
  </si>
  <si>
    <t>P02A792</t>
  </si>
  <si>
    <t>P02A386</t>
  </si>
  <si>
    <t>P02A191</t>
  </si>
  <si>
    <t>P02A727</t>
  </si>
  <si>
    <t>P02A93</t>
  </si>
  <si>
    <t>P02A433</t>
  </si>
  <si>
    <t>P02A997</t>
  </si>
  <si>
    <t>P02A51</t>
  </si>
  <si>
    <t>P02A390</t>
  </si>
  <si>
    <t>P02A319</t>
  </si>
  <si>
    <t>P02A512</t>
  </si>
  <si>
    <t>P02A376</t>
  </si>
  <si>
    <t>P02A350</t>
  </si>
  <si>
    <t>P02A235</t>
  </si>
  <si>
    <t>P02A926</t>
  </si>
  <si>
    <t>P02A132</t>
  </si>
  <si>
    <t>P02A888</t>
  </si>
  <si>
    <t>P02A256</t>
  </si>
  <si>
    <t>P02A809</t>
  </si>
  <si>
    <t>P02A404</t>
  </si>
  <si>
    <t>P02A249</t>
  </si>
  <si>
    <t>P02A54</t>
  </si>
  <si>
    <t>P02A52</t>
  </si>
  <si>
    <t>P02A593</t>
  </si>
  <si>
    <t>P02A823</t>
  </si>
  <si>
    <t>P02A810</t>
  </si>
  <si>
    <t>P02A646</t>
  </si>
  <si>
    <t>P02A151</t>
  </si>
  <si>
    <t>P02A944</t>
  </si>
  <si>
    <t>P02A384</t>
  </si>
  <si>
    <t>P02A33</t>
  </si>
  <si>
    <t>P02A91</t>
  </si>
  <si>
    <t>P02A747</t>
  </si>
  <si>
    <t>P02A735</t>
  </si>
  <si>
    <t>P02A129</t>
  </si>
  <si>
    <t>P02A585</t>
  </si>
  <si>
    <t>P02A775</t>
  </si>
  <si>
    <t>P02A605</t>
  </si>
  <si>
    <t>P02A703</t>
  </si>
  <si>
    <t>P02A574</t>
  </si>
  <si>
    <t>P02A549</t>
  </si>
  <si>
    <t>P02A468</t>
  </si>
  <si>
    <t>P02A13</t>
  </si>
  <si>
    <t>P02A281</t>
  </si>
  <si>
    <t>P02A900</t>
  </si>
  <si>
    <t>P02A892</t>
  </si>
  <si>
    <t>P02A739</t>
  </si>
  <si>
    <t>P02A994</t>
  </si>
  <si>
    <t>P02A441</t>
  </si>
  <si>
    <t>P02A709</t>
  </si>
  <si>
    <t>P02A1</t>
  </si>
  <si>
    <t>P02A868</t>
  </si>
  <si>
    <t>P02A330</t>
  </si>
  <si>
    <t>P02A409</t>
  </si>
  <si>
    <t>P02A410</t>
  </si>
  <si>
    <t>P02A866</t>
  </si>
  <si>
    <t>P02A957</t>
  </si>
  <si>
    <t>P02A740</t>
  </si>
  <si>
    <t>P02A343</t>
  </si>
  <si>
    <t>P02A690</t>
  </si>
  <si>
    <t>P02A758</t>
  </si>
  <si>
    <t>P02A883</t>
  </si>
  <si>
    <t>P02A250</t>
  </si>
  <si>
    <t>P02A914</t>
  </si>
  <si>
    <t>P02A686</t>
  </si>
  <si>
    <t>P02A19</t>
  </si>
  <si>
    <t>P02A236</t>
  </si>
  <si>
    <t>P02A422</t>
  </si>
  <si>
    <t>P02A445</t>
  </si>
  <si>
    <t>P02A72</t>
  </si>
  <si>
    <t>P02A620</t>
  </si>
  <si>
    <t>P02A321</t>
  </si>
  <si>
    <t>P02A941</t>
  </si>
  <si>
    <t>P02A952</t>
  </si>
  <si>
    <t>P02A580</t>
  </si>
  <si>
    <t>P02A878</t>
  </si>
  <si>
    <t>P02A61</t>
  </si>
  <si>
    <t>P02A4</t>
  </si>
  <si>
    <t>P02A867</t>
  </si>
  <si>
    <t>P02A547</t>
  </si>
  <si>
    <t>P02A756</t>
  </si>
  <si>
    <t>P02A742</t>
  </si>
  <si>
    <t>P02A113</t>
  </si>
  <si>
    <t>P02A504</t>
  </si>
  <si>
    <t>P02A73</t>
  </si>
  <si>
    <t>P02A655</t>
  </si>
  <si>
    <t>P02A502</t>
  </si>
  <si>
    <t>P02A964</t>
  </si>
  <si>
    <t>P02A46</t>
  </si>
  <si>
    <t>P02A515</t>
  </si>
  <si>
    <t>P02A753</t>
  </si>
  <si>
    <t>P02A300</t>
  </si>
  <si>
    <t>P02A17</t>
  </si>
  <si>
    <t>P02A702</t>
  </si>
  <si>
    <t>P02A233</t>
  </si>
  <si>
    <t>P02A285</t>
  </si>
  <si>
    <t>P02A484</t>
  </si>
  <si>
    <t>P02A933</t>
  </si>
  <si>
    <t>P02A309</t>
  </si>
  <si>
    <t>P02A245</t>
  </si>
  <si>
    <t>P02A392</t>
  </si>
  <si>
    <t>P02A195</t>
  </si>
  <si>
    <t>P02A293</t>
  </si>
  <si>
    <t>P02A710</t>
  </si>
  <si>
    <t>P02A637</t>
  </si>
  <si>
    <t>P02A967</t>
  </si>
  <si>
    <t>P02A916</t>
  </si>
  <si>
    <t>P02A246</t>
  </si>
  <si>
    <t>P02A596</t>
  </si>
  <si>
    <t>P02A186</t>
  </si>
  <si>
    <t>P02A364</t>
  </si>
  <si>
    <t>P02A400</t>
  </si>
  <si>
    <t>P02A332</t>
  </si>
  <si>
    <t>P02A217</t>
  </si>
  <si>
    <t>P02A825</t>
  </si>
  <si>
    <t>P02A784</t>
  </si>
  <si>
    <t>P02A283</t>
  </si>
  <si>
    <t>P02A135</t>
  </si>
  <si>
    <t>P02A304</t>
  </si>
  <si>
    <t>P02A397</t>
  </si>
  <si>
    <t>P02A229</t>
  </si>
  <si>
    <t>P02A85</t>
  </si>
  <si>
    <t>P02A478</t>
  </si>
  <si>
    <t>P02A218</t>
  </si>
  <si>
    <t>P02A314</t>
  </si>
  <si>
    <t>P02A373</t>
  </si>
  <si>
    <t>P02A329</t>
  </si>
  <si>
    <t>P02A469</t>
  </si>
  <si>
    <t>P02A975</t>
  </si>
  <si>
    <t>P02A486</t>
  </si>
  <si>
    <t>P02A177</t>
  </si>
  <si>
    <t>P02A137</t>
  </si>
  <si>
    <t>P02A271</t>
  </si>
  <si>
    <t>P02A253</t>
  </si>
  <si>
    <t>P02A995</t>
  </si>
  <si>
    <t>P02A977</t>
  </si>
  <si>
    <t>P02A586</t>
  </si>
  <si>
    <t>P02A874</t>
  </si>
  <si>
    <t>P02A277</t>
  </si>
  <si>
    <t>P02A150</t>
  </si>
  <si>
    <t>P02A112</t>
  </si>
  <si>
    <t>P02A704</t>
  </si>
  <si>
    <t>P02A181</t>
  </si>
  <si>
    <t>P02A664</t>
  </si>
  <si>
    <t>P02A563</t>
  </si>
  <si>
    <t>P02A260</t>
  </si>
  <si>
    <t>P02A530</t>
  </si>
  <si>
    <t>P02A88</t>
  </si>
  <si>
    <t>P02A21</t>
  </si>
  <si>
    <t>P02A148</t>
  </si>
  <si>
    <t>P02A881</t>
  </si>
  <si>
    <t>P02A196</t>
  </si>
  <si>
    <t>P02A831</t>
  </si>
  <si>
    <t>P02A120</t>
  </si>
  <si>
    <t>P02A324</t>
  </si>
  <si>
    <t>P02A873</t>
  </si>
  <si>
    <t>P02A407</t>
  </si>
  <si>
    <t>P02A662</t>
  </si>
  <si>
    <t>P02A488</t>
  </si>
  <si>
    <t>P02A850</t>
  </si>
  <si>
    <t>P02A82</t>
  </si>
  <si>
    <t>P02A45</t>
  </si>
  <si>
    <t>P02A50</t>
  </si>
  <si>
    <t>P02A567</t>
  </si>
  <si>
    <t>P02A199</t>
  </si>
  <si>
    <t>P02A460</t>
  </si>
  <si>
    <t>P02A14</t>
  </si>
  <si>
    <t>P02A959</t>
  </si>
  <si>
    <t>P02A201</t>
  </si>
  <si>
    <t>P02A37</t>
  </si>
  <si>
    <t>P02A234</t>
  </si>
  <si>
    <t>P02A495</t>
  </si>
  <si>
    <t>P02A83</t>
  </si>
  <si>
    <t>P02A911</t>
  </si>
  <si>
    <t>P02A182</t>
  </si>
  <si>
    <t>P02A360</t>
  </si>
  <si>
    <t>P02A499</t>
  </si>
  <si>
    <t>P02A518</t>
  </si>
  <si>
    <t>P02A533</t>
  </si>
  <si>
    <t>P02A521</t>
  </si>
  <si>
    <t>P02A907</t>
  </si>
  <si>
    <t>P02A715</t>
  </si>
  <si>
    <t>P02A449</t>
  </si>
  <si>
    <t>P02A442</t>
  </si>
  <si>
    <t>P02A891</t>
  </si>
  <si>
    <t>P02A778</t>
  </si>
  <si>
    <t>P02A516</t>
  </si>
  <si>
    <t>P02A127</t>
  </si>
  <si>
    <t>P02A934</t>
  </si>
  <si>
    <t>P02A828</t>
  </si>
  <si>
    <t>P02A211</t>
  </si>
  <si>
    <t>P02A667</t>
  </si>
  <si>
    <t>P02A845</t>
  </si>
  <si>
    <t>P02A227</t>
  </si>
  <si>
    <t>P02A599</t>
  </si>
  <si>
    <t>P02A382</t>
  </si>
  <si>
    <t>P02A718</t>
  </si>
  <si>
    <t>P02A74</t>
  </si>
  <si>
    <t>P02A750</t>
  </si>
  <si>
    <t>P02A744</t>
  </si>
  <si>
    <t>P02A509</t>
  </si>
  <si>
    <t>P02A720</t>
  </si>
  <si>
    <t>P02A372</t>
  </si>
  <si>
    <t>P02A29</t>
  </si>
  <si>
    <t>P02A942</t>
  </si>
  <si>
    <t>P02A115</t>
  </si>
  <si>
    <t>P02A501</t>
  </si>
  <si>
    <t>P02A286</t>
  </si>
  <si>
    <t>P02A187</t>
  </si>
  <si>
    <t>P02A814</t>
  </si>
  <si>
    <t>P02A327</t>
  </si>
  <si>
    <t>P02A754</t>
  </si>
  <si>
    <t>P02A340</t>
  </si>
  <si>
    <t>P02A858</t>
  </si>
  <si>
    <t>P02A291</t>
  </si>
  <si>
    <t>P02A876</t>
  </si>
  <si>
    <t>P02A963</t>
  </si>
  <si>
    <t>P02A225</t>
  </si>
  <si>
    <t>P02A36</t>
  </si>
  <si>
    <t>P02A917</t>
  </si>
  <si>
    <t>P02A452</t>
  </si>
  <si>
    <t>P02A550</t>
  </si>
  <si>
    <t>P02A22</t>
  </si>
  <si>
    <t>P02A482</t>
  </si>
  <si>
    <t>P02A226</t>
  </si>
  <si>
    <t>P02A301</t>
  </si>
  <si>
    <t>P02A780</t>
  </si>
  <si>
    <t>P02A723</t>
  </si>
  <si>
    <t>P02A415</t>
  </si>
  <si>
    <t>P02A266</t>
  </si>
  <si>
    <t>P02A369</t>
  </si>
  <si>
    <t>P02A208</t>
  </si>
  <si>
    <t>P02A569</t>
  </si>
  <si>
    <t>P02A886</t>
  </si>
  <si>
    <t>P02A624</t>
  </si>
  <si>
    <t>P02A153</t>
  </si>
  <si>
    <t>P02A968</t>
  </si>
  <si>
    <t>P02A682</t>
  </si>
  <si>
    <t>P02A403</t>
  </si>
  <si>
    <t>P02A905</t>
  </si>
  <si>
    <t>P02A525</t>
  </si>
  <si>
    <t>P02A396</t>
  </si>
  <si>
    <t>P02A292</t>
  </si>
  <si>
    <t>P02A500</t>
  </si>
  <si>
    <t>P02A589</t>
  </si>
  <si>
    <t>P02A665</t>
  </si>
  <si>
    <t>P02A546</t>
  </si>
  <si>
    <t>P02A836</t>
  </si>
  <si>
    <t>P02A198</t>
  </si>
  <si>
    <t>P02A837</t>
  </si>
  <si>
    <t>P02A640</t>
  </si>
  <si>
    <t>P02A12</t>
  </si>
  <si>
    <t>P02A871</t>
  </si>
  <si>
    <t>P02A768</t>
  </si>
  <si>
    <t>P02A681</t>
  </si>
  <si>
    <t>P02A807</t>
  </si>
  <si>
    <t>P02A669</t>
  </si>
  <si>
    <t>P02A540</t>
  </si>
  <si>
    <t>P02A795</t>
  </si>
  <si>
    <t>P02A163</t>
  </si>
  <si>
    <t>P02A144</t>
  </si>
  <si>
    <t>P02A272</t>
  </si>
  <si>
    <t>P02A305</t>
  </si>
  <si>
    <t>P02A613</t>
  </si>
  <si>
    <t>P02A804</t>
  </si>
  <si>
    <t>P02A966</t>
  </si>
  <si>
    <t>P02A446</t>
  </si>
  <si>
    <t>P02A677</t>
  </si>
  <si>
    <t>P02A453</t>
  </si>
  <si>
    <t>P02A623</t>
  </si>
  <si>
    <t>P02A972</t>
  </si>
  <si>
    <t>P12B4553</t>
  </si>
  <si>
    <t>P12B6320</t>
  </si>
  <si>
    <t>P12B9492</t>
  </si>
  <si>
    <t>P12B1186</t>
  </si>
  <si>
    <t>P12B5396</t>
  </si>
  <si>
    <t>P12B8636</t>
  </si>
  <si>
    <t>P12B6174</t>
  </si>
  <si>
    <t>P12B5896</t>
  </si>
  <si>
    <t>P12B7235</t>
  </si>
  <si>
    <t>P12B1663</t>
  </si>
  <si>
    <t>P12B8115</t>
  </si>
  <si>
    <t>P12B8052</t>
  </si>
  <si>
    <t>P12B2950</t>
  </si>
  <si>
    <t>P12B3760</t>
  </si>
  <si>
    <t>P12B8337</t>
  </si>
  <si>
    <t>P12B7826</t>
  </si>
  <si>
    <t>P12B9123</t>
  </si>
  <si>
    <t>P12B7607</t>
  </si>
  <si>
    <t>P12B5445</t>
  </si>
  <si>
    <t>P12B3917</t>
  </si>
  <si>
    <t>P12B8324</t>
  </si>
  <si>
    <t>P12B1959</t>
  </si>
  <si>
    <t>P12B5562</t>
  </si>
  <si>
    <t>P12B7601</t>
  </si>
  <si>
    <t>P12B2857</t>
  </si>
  <si>
    <t>P12B6892</t>
  </si>
  <si>
    <t>P12B8455</t>
  </si>
  <si>
    <t>P12B1042</t>
  </si>
  <si>
    <t>P12B5547</t>
  </si>
  <si>
    <t>P12B6146</t>
  </si>
  <si>
    <t>P12B3507</t>
  </si>
  <si>
    <t>P12B9333</t>
  </si>
  <si>
    <t>P12B7916</t>
  </si>
  <si>
    <t>P12B2256</t>
  </si>
  <si>
    <t>P12B1660</t>
  </si>
  <si>
    <t>P12B5497</t>
  </si>
  <si>
    <t>P12B5285</t>
  </si>
  <si>
    <t>P12B2568</t>
  </si>
  <si>
    <t>P12B5012</t>
  </si>
  <si>
    <t>P12B3889</t>
  </si>
  <si>
    <t>P12B9915</t>
  </si>
  <si>
    <t>P12B5127</t>
  </si>
  <si>
    <t>P12B1346</t>
  </si>
  <si>
    <t>P12B2635</t>
  </si>
  <si>
    <t>P12B2764</t>
  </si>
  <si>
    <t>P12B6296</t>
  </si>
  <si>
    <t>P12B5319</t>
  </si>
  <si>
    <t>P12B4863</t>
  </si>
  <si>
    <t>P12B8529</t>
  </si>
  <si>
    <t>P12B6161</t>
  </si>
  <si>
    <t>P12B4458</t>
  </si>
  <si>
    <t>P12B3761</t>
  </si>
  <si>
    <t>P12B1548</t>
  </si>
  <si>
    <t>P12B9167</t>
  </si>
  <si>
    <t>P12B8756</t>
  </si>
  <si>
    <t>P12B753</t>
  </si>
  <si>
    <t>P12B5678</t>
  </si>
  <si>
    <t>P12B8852</t>
  </si>
  <si>
    <t>P12B9436</t>
  </si>
  <si>
    <t>P12B7159</t>
  </si>
  <si>
    <t>P12B2224</t>
  </si>
  <si>
    <t>P12B8745</t>
  </si>
  <si>
    <t>P12B8157</t>
  </si>
  <si>
    <t>P12B3756</t>
  </si>
  <si>
    <t>P12B2354</t>
  </si>
  <si>
    <t>P12B9900</t>
  </si>
  <si>
    <t>P12B3283</t>
  </si>
  <si>
    <t>P12B8734</t>
  </si>
  <si>
    <t>P12B7416</t>
  </si>
  <si>
    <t>P12B142</t>
  </si>
  <si>
    <t>P12B5745</t>
  </si>
  <si>
    <t>P12B7833</t>
  </si>
  <si>
    <t>P12B6026</t>
  </si>
  <si>
    <t>P12B4832</t>
  </si>
  <si>
    <t>P12B5203</t>
  </si>
  <si>
    <t>P12B603</t>
  </si>
  <si>
    <t>P12B8322</t>
  </si>
  <si>
    <t>P12B9124</t>
  </si>
  <si>
    <t>P12B2499</t>
  </si>
  <si>
    <t>P12B5785</t>
  </si>
  <si>
    <t>P12B8970</t>
  </si>
  <si>
    <t>P12B5307</t>
  </si>
  <si>
    <t>P12B8449</t>
  </si>
  <si>
    <t>P12B2244</t>
  </si>
  <si>
    <t>P12B4765</t>
  </si>
  <si>
    <t>P12B7291</t>
  </si>
  <si>
    <t>P12B2140</t>
  </si>
  <si>
    <t>P12B578</t>
  </si>
  <si>
    <t>P12B2884</t>
  </si>
  <si>
    <t>P12B4964</t>
  </si>
  <si>
    <t>P12B5594</t>
  </si>
  <si>
    <t>P12B8955</t>
  </si>
  <si>
    <t>P12B6073</t>
  </si>
  <si>
    <t>P12B118</t>
  </si>
  <si>
    <t>P12B1497</t>
  </si>
  <si>
    <t>P12B2279</t>
  </si>
  <si>
    <t>P12B1618</t>
  </si>
  <si>
    <t>P12B9950</t>
  </si>
  <si>
    <t>P12B2022</t>
  </si>
  <si>
    <t>P17C897</t>
  </si>
  <si>
    <t>AU0041-09-213</t>
  </si>
  <si>
    <t>AU0014-76-845</t>
  </si>
  <si>
    <t>Female</t>
  </si>
  <si>
    <t>Married</t>
  </si>
  <si>
    <t>Yes</t>
  </si>
  <si>
    <t>AU0040-71-935</t>
  </si>
  <si>
    <t>Single</t>
  </si>
  <si>
    <t>No</t>
  </si>
  <si>
    <t>DOB</t>
  </si>
  <si>
    <t>AU0064-73-998</t>
  </si>
  <si>
    <t>Male</t>
  </si>
  <si>
    <t>Year Licenced</t>
  </si>
  <si>
    <t>AU0090-86-084</t>
  </si>
  <si>
    <t>AU0034-17-662</t>
  </si>
  <si>
    <t>CoHabiting</t>
  </si>
  <si>
    <t>AU0076-83-088</t>
  </si>
  <si>
    <t>AU0080-27-610</t>
  </si>
  <si>
    <t>AU0018-77-519</t>
  </si>
  <si>
    <t>AU0032-30-167</t>
  </si>
  <si>
    <t>AU0013-35-482</t>
  </si>
  <si>
    <t>AU0091-02-077</t>
  </si>
  <si>
    <t>AU0069-10-404</t>
  </si>
  <si>
    <t>AU0037-70-659</t>
  </si>
  <si>
    <t>AU0017-23-924</t>
  </si>
  <si>
    <t>AU0005-72-558</t>
  </si>
  <si>
    <t>AU0073-15-081</t>
  </si>
  <si>
    <t>AU0095-71-002</t>
  </si>
  <si>
    <t>Divorced</t>
  </si>
  <si>
    <t>AU0001-41-990</t>
  </si>
  <si>
    <t>AU0064-92-818</t>
  </si>
  <si>
    <t>AU0057-69-282</t>
  </si>
  <si>
    <t>AU0024-00-416</t>
  </si>
  <si>
    <t>AU0020-63-787</t>
  </si>
  <si>
    <t>AU0059-65-649</t>
  </si>
  <si>
    <t>AU0011-15-889</t>
  </si>
  <si>
    <t>AU0060-82-164</t>
  </si>
  <si>
    <t>AU0029-58-377</t>
  </si>
  <si>
    <t>AU0018-26-738</t>
  </si>
  <si>
    <t>AU0075-29-917</t>
  </si>
  <si>
    <t>AU0037-22-480</t>
  </si>
  <si>
    <t>AU0083-70-903</t>
  </si>
  <si>
    <t>AU0016-68-246</t>
  </si>
  <si>
    <t>AU0051-84-542</t>
  </si>
  <si>
    <t>AU0096-87-145</t>
  </si>
  <si>
    <t>AU0069-20-153</t>
  </si>
  <si>
    <t>AU0072-64-745</t>
  </si>
  <si>
    <t>AU0037-74-652</t>
  </si>
  <si>
    <t>AU0061-82-909</t>
  </si>
  <si>
    <t>AU0083-26-683</t>
  </si>
  <si>
    <t>AU0033-68-718</t>
  </si>
  <si>
    <t>AU0016-35-734</t>
  </si>
  <si>
    <t>AU0058-92-904</t>
  </si>
  <si>
    <t>AU0025-16-413</t>
  </si>
  <si>
    <t>AU0060-16-426</t>
  </si>
  <si>
    <t>AU0006-75-596</t>
  </si>
  <si>
    <t>Widowed</t>
  </si>
  <si>
    <t>AU0050-06-005</t>
  </si>
  <si>
    <t>AU0065-36-603</t>
  </si>
  <si>
    <t>AU0059-82-401</t>
  </si>
  <si>
    <t>AU0014-55-128</t>
  </si>
  <si>
    <t>AU0041-88-534</t>
  </si>
  <si>
    <t>AU0001-97-983</t>
  </si>
  <si>
    <t>AU0067-54-425</t>
  </si>
  <si>
    <t>AU0066-87-689</t>
  </si>
  <si>
    <t>AU0000-69-219</t>
  </si>
  <si>
    <t>AU0077-31-559</t>
  </si>
  <si>
    <t>AU0063-76-540</t>
  </si>
  <si>
    <t>AU0019-37-895</t>
  </si>
  <si>
    <t>AU0076-98-653</t>
  </si>
  <si>
    <t>AU0072-83-998</t>
  </si>
  <si>
    <t>AU0016-24-669</t>
  </si>
  <si>
    <t>AU0041-92-305</t>
  </si>
  <si>
    <t>AU0073-25-410</t>
  </si>
  <si>
    <t>AU0059-09-340</t>
  </si>
  <si>
    <t>AU0051-52-078</t>
  </si>
  <si>
    <t>AU0072-25-666</t>
  </si>
  <si>
    <t>AU0076-17-400</t>
  </si>
  <si>
    <t>AU0085-43-483</t>
  </si>
  <si>
    <t>AU0043-92-675</t>
  </si>
  <si>
    <t>AU0030-85-865</t>
  </si>
  <si>
    <t>Separated</t>
  </si>
  <si>
    <t>AU0014-34-113</t>
  </si>
  <si>
    <t>AU0098-68-928</t>
  </si>
  <si>
    <t>AU0099-53-161</t>
  </si>
  <si>
    <t>AU0036-98-790</t>
  </si>
  <si>
    <t>AU0095-40-564</t>
  </si>
  <si>
    <t>AU0087-49-233</t>
  </si>
  <si>
    <t>AU0076-10-493</t>
  </si>
  <si>
    <t>AU0029-35-574</t>
  </si>
  <si>
    <t>AU0012-06-535</t>
  </si>
  <si>
    <t>AU0088-74-442</t>
  </si>
  <si>
    <t>AU0044-16-194</t>
  </si>
  <si>
    <t>AU0008-68-323</t>
  </si>
  <si>
    <t>AU0064-94-605</t>
  </si>
  <si>
    <t>AU0055-40-263</t>
  </si>
  <si>
    <t>AU0005-63-608</t>
  </si>
  <si>
    <t>AU0037-60-153</t>
  </si>
  <si>
    <t>AU0071-80-207</t>
  </si>
  <si>
    <t>AU0038-94-051</t>
  </si>
  <si>
    <t>AU0059-59-449</t>
  </si>
  <si>
    <t>AU0055-65-785</t>
  </si>
  <si>
    <t>AU0064-58-145</t>
  </si>
  <si>
    <t>AU0033-50-499</t>
  </si>
  <si>
    <t>AU0044-32-915</t>
  </si>
  <si>
    <t>AU0027-78-541</t>
  </si>
  <si>
    <t>AU0098-75-650</t>
  </si>
  <si>
    <t>AU0066-65-072</t>
  </si>
  <si>
    <t>AU0013-21-358</t>
  </si>
  <si>
    <t>AU0045-24-166</t>
  </si>
  <si>
    <t>AU0008-86-526</t>
  </si>
  <si>
    <t>AU0045-77-142</t>
  </si>
  <si>
    <t>AU0004-65-792</t>
  </si>
  <si>
    <t>AU0060-97-023</t>
  </si>
  <si>
    <t>AU0062-75-129</t>
  </si>
  <si>
    <t>AU0080-86-996</t>
  </si>
  <si>
    <t>AU0062-45-840</t>
  </si>
  <si>
    <t>AU0024-39-884</t>
  </si>
  <si>
    <t>AU0035-71-014</t>
  </si>
  <si>
    <t>AU0009-97-717</t>
  </si>
  <si>
    <t>AU0033-16-320</t>
  </si>
  <si>
    <t>AU0060-72-143</t>
  </si>
  <si>
    <t>AU0028-92-071</t>
  </si>
  <si>
    <t>AU0047-28-426</t>
  </si>
  <si>
    <t>AU0055-59-448</t>
  </si>
  <si>
    <t>AU0083-05-004</t>
  </si>
  <si>
    <t>AU0086-13-037</t>
  </si>
  <si>
    <t>AU0081-82-448</t>
  </si>
  <si>
    <t>AU0093-18-070</t>
  </si>
  <si>
    <t>AU0099-39-957</t>
  </si>
  <si>
    <t>AU0058-12-599</t>
  </si>
  <si>
    <t>AU0048-33-884</t>
  </si>
  <si>
    <t>AU0045-83-657</t>
  </si>
  <si>
    <t>AU0055-92-176</t>
  </si>
  <si>
    <t>AU0088-25-507</t>
  </si>
  <si>
    <t>AU0038-81-164</t>
  </si>
  <si>
    <t>AU0087-80-142</t>
  </si>
  <si>
    <t>AU0075-99-547</t>
  </si>
  <si>
    <t>AU0056-74-668</t>
  </si>
  <si>
    <t>AU0071-10-762</t>
  </si>
  <si>
    <t>AU0091-11-353</t>
  </si>
  <si>
    <t>AU0014-53-061</t>
  </si>
  <si>
    <t>AU0026-38-455</t>
  </si>
  <si>
    <t>AU0078-16-633</t>
  </si>
  <si>
    <t>AU0071-58-306</t>
  </si>
  <si>
    <t>AU0026-65-490</t>
  </si>
  <si>
    <t>AU0019-86-183</t>
  </si>
  <si>
    <t>AU0072-28-942</t>
  </si>
  <si>
    <t>AU0043-98-221</t>
  </si>
  <si>
    <t>AU0047-66-913</t>
  </si>
  <si>
    <t>AU0036-76-992</t>
  </si>
  <si>
    <t>AU0073-18-756</t>
  </si>
  <si>
    <t>AU0052-37-216</t>
  </si>
  <si>
    <t>AU0046-80-579</t>
  </si>
  <si>
    <t>AU0086-11-503</t>
  </si>
  <si>
    <t>AU0043-75-622</t>
  </si>
  <si>
    <t>AU0056-37-283</t>
  </si>
  <si>
    <t>AU0014-34-129</t>
  </si>
  <si>
    <t>AU0073-59-971</t>
  </si>
  <si>
    <t>AU0043-07-706</t>
  </si>
  <si>
    <t>AU0081-50-779</t>
  </si>
  <si>
    <t>AU0002-89-561</t>
  </si>
  <si>
    <t>AU0078-80-180</t>
  </si>
  <si>
    <t>AU0080-91-395</t>
  </si>
  <si>
    <t>AU0082-05-615</t>
  </si>
  <si>
    <t>AU0000-08-698</t>
  </si>
  <si>
    <t>AU0071-74-623</t>
  </si>
  <si>
    <t>AU0052-41-713</t>
  </si>
  <si>
    <t>AU0047-84-696</t>
  </si>
  <si>
    <t>AU0099-16-776</t>
  </si>
  <si>
    <t>AU0089-26-435</t>
  </si>
  <si>
    <t>AU0029-81-360</t>
  </si>
  <si>
    <t>AU0041-70-376</t>
  </si>
  <si>
    <t>AU0084-86-593</t>
  </si>
  <si>
    <t>AU0059-48-633</t>
  </si>
  <si>
    <t>AU0043-34-003</t>
  </si>
  <si>
    <t>AU0079-33-650</t>
  </si>
  <si>
    <t>AU0080-33-158</t>
  </si>
  <si>
    <t>AU0030-72-496</t>
  </si>
  <si>
    <t>AU0026-50-768</t>
  </si>
  <si>
    <t>AU0054-74-838</t>
  </si>
  <si>
    <t>AU0045-90-368</t>
  </si>
  <si>
    <t>AU0028-58-428</t>
  </si>
  <si>
    <t>AU0046-13-462</t>
  </si>
  <si>
    <t>AU0046-98-914</t>
  </si>
  <si>
    <t>AU0053-49-624</t>
  </si>
  <si>
    <t>AU0035-31-598</t>
  </si>
  <si>
    <t>AU0006-69-169</t>
  </si>
  <si>
    <t>AU0053-67-561</t>
  </si>
  <si>
    <t>AU0045-25-606</t>
  </si>
  <si>
    <t>AU0071-53-804</t>
  </si>
  <si>
    <t>AU0056-41-981</t>
  </si>
  <si>
    <t>AU0042-01-500</t>
  </si>
  <si>
    <t>AU0056-63-416</t>
  </si>
  <si>
    <t>AU0063-82-989</t>
  </si>
  <si>
    <t>AU0072-41-330</t>
  </si>
  <si>
    <t>AU0085-90-901</t>
  </si>
  <si>
    <t>AU0013-62-494</t>
  </si>
  <si>
    <t>AU0061-03-113</t>
  </si>
  <si>
    <t>AU0042-40-086</t>
  </si>
  <si>
    <t>AU0073-04-310</t>
  </si>
  <si>
    <t>AU0073-67-830</t>
  </si>
  <si>
    <t>AU0094-97-704</t>
  </si>
  <si>
    <t>AU0080-88-619</t>
  </si>
  <si>
    <t>AU0085-41-229</t>
  </si>
  <si>
    <t>AU0060-53-316</t>
  </si>
  <si>
    <t>AU0047-87-934</t>
  </si>
  <si>
    <t>AU0081-26-669</t>
  </si>
  <si>
    <t>AU0024-04-785</t>
  </si>
  <si>
    <t>AU0040-93-219</t>
  </si>
  <si>
    <t>AU0093-71-786</t>
  </si>
  <si>
    <t>AU0024-16-442</t>
  </si>
  <si>
    <t>AU0067-28-192</t>
  </si>
  <si>
    <t>AU0013-68-815</t>
  </si>
  <si>
    <t>AU0034-28-843</t>
  </si>
  <si>
    <t>AU0018-90-590</t>
  </si>
  <si>
    <t>AU0098-17-537</t>
  </si>
  <si>
    <t>AU0031-41-879</t>
  </si>
  <si>
    <t>AU0047-19-045</t>
  </si>
  <si>
    <t>AU0090-72-713</t>
  </si>
  <si>
    <t>AU0067-96-211</t>
  </si>
  <si>
    <t>AU0096-31-771</t>
  </si>
  <si>
    <t>AU0067-19-252</t>
  </si>
  <si>
    <t>AU0070-94-543</t>
  </si>
  <si>
    <t>AU0032-63-224</t>
  </si>
  <si>
    <t>AU0075-70-348</t>
  </si>
  <si>
    <t>AU0081-17-913</t>
  </si>
  <si>
    <t>AU0006-47-704</t>
  </si>
  <si>
    <t>AU0079-37-278</t>
  </si>
  <si>
    <t>AU0011-45-365</t>
  </si>
  <si>
    <t>AU0071-94-875</t>
  </si>
  <si>
    <t>AU0020-86-759</t>
  </si>
  <si>
    <t>AU0020-61-468</t>
  </si>
  <si>
    <t>AU0006-71-080</t>
  </si>
  <si>
    <t>AU0037-32-363</t>
  </si>
  <si>
    <t>AU0095-92-956</t>
  </si>
  <si>
    <t>AU0049-58-914</t>
  </si>
  <si>
    <t>AU0073-16-544</t>
  </si>
  <si>
    <t>AU0015-04-526</t>
  </si>
  <si>
    <t>AU0091-08-258</t>
  </si>
  <si>
    <t>AU0074-72-923</t>
  </si>
  <si>
    <t>AU0028-14-374</t>
  </si>
  <si>
    <t>AU0077-49-874</t>
  </si>
  <si>
    <t>AU0019-88-920</t>
  </si>
  <si>
    <t>AU0025-99-998</t>
  </si>
  <si>
    <t>AU0052-21-398</t>
  </si>
  <si>
    <t>AU0012-27-966</t>
  </si>
  <si>
    <t>AU0083-90-206</t>
  </si>
  <si>
    <t>AU0071-44-187</t>
  </si>
  <si>
    <t>AU0067-39-626</t>
  </si>
  <si>
    <t>AU0029-23-169</t>
  </si>
  <si>
    <t>AU0071-08-767</t>
  </si>
  <si>
    <t>AU0068-69-160</t>
  </si>
  <si>
    <t>AU0000-44-773</t>
  </si>
  <si>
    <t>AU0002-21-260</t>
  </si>
  <si>
    <t>AU0072-68-837</t>
  </si>
  <si>
    <t>AU0047-68-886</t>
  </si>
  <si>
    <t>AU0056-00-024</t>
  </si>
  <si>
    <t>AU0037-99-041</t>
  </si>
  <si>
    <t>AU0051-14-854</t>
  </si>
  <si>
    <t>AU0071-55-255</t>
  </si>
  <si>
    <t>AU0063-96-116</t>
  </si>
  <si>
    <t>AU0001-60-138</t>
  </si>
  <si>
    <t>AU0050-00-510</t>
  </si>
  <si>
    <t>AU0035-69-487</t>
  </si>
  <si>
    <t>AU0009-84-359</t>
  </si>
  <si>
    <t>AU0076-46-776</t>
  </si>
  <si>
    <t>AU0098-35-373</t>
  </si>
  <si>
    <t>AU0026-57-035</t>
  </si>
  <si>
    <t>AU0045-14-004</t>
  </si>
  <si>
    <t>AU0055-81-348</t>
  </si>
  <si>
    <t>AU0067-71-323</t>
  </si>
  <si>
    <t>AU0003-86-734</t>
  </si>
  <si>
    <t>AU0081-05-101</t>
  </si>
  <si>
    <t>AU0023-88-276</t>
  </si>
  <si>
    <t>AU0031-53-283</t>
  </si>
  <si>
    <t>AU0076-38-760</t>
  </si>
  <si>
    <t>AU0021-81-285</t>
  </si>
  <si>
    <t>AU0099-10-614</t>
  </si>
  <si>
    <t>AU0003-51-146</t>
  </si>
  <si>
    <t>AU0096-34-761</t>
  </si>
  <si>
    <t>AU0009-84-643</t>
  </si>
  <si>
    <t>AU0063-68-216</t>
  </si>
  <si>
    <t>AU0002-96-901</t>
  </si>
  <si>
    <t>AU0078-95-640</t>
  </si>
  <si>
    <t>AU0017-53-166</t>
  </si>
  <si>
    <t>AU0088-40-268</t>
  </si>
  <si>
    <t>AU0088-89-684</t>
  </si>
  <si>
    <t>AU0049-52-506</t>
  </si>
  <si>
    <t>AU0028-28-015</t>
  </si>
  <si>
    <t>AU0028-92-110</t>
  </si>
  <si>
    <t>AU0022-19-545</t>
  </si>
  <si>
    <t>AU0047-10-857</t>
  </si>
  <si>
    <t>AU0098-96-344</t>
  </si>
  <si>
    <t>AU0009-75-524</t>
  </si>
  <si>
    <t>AU0089-53-484</t>
  </si>
  <si>
    <t>AU0000-64-031</t>
  </si>
  <si>
    <t>AU0082-03-995</t>
  </si>
  <si>
    <t>AU0096-40-514</t>
  </si>
  <si>
    <t>AU0040-14-335</t>
  </si>
  <si>
    <t>AU0022-10-250</t>
  </si>
  <si>
    <t>AU0084-99-752</t>
  </si>
  <si>
    <t>AU0097-80-111</t>
  </si>
  <si>
    <t>AU0098-30-066</t>
  </si>
  <si>
    <t>AU0002-62-093</t>
  </si>
  <si>
    <t>AU0056-92-749</t>
  </si>
  <si>
    <t>AU0032-65-911</t>
  </si>
  <si>
    <t>AU0006-44-792</t>
  </si>
  <si>
    <t>AU0020-09-736</t>
  </si>
  <si>
    <t>AU0088-10-865</t>
  </si>
  <si>
    <t>AU0048-58-719</t>
  </si>
  <si>
    <t>AU0013-21-308</t>
  </si>
  <si>
    <t>AU0033-92-107</t>
  </si>
  <si>
    <t>AU0033-04-973</t>
  </si>
  <si>
    <t>AU0085-37-034</t>
  </si>
  <si>
    <t>AU0057-65-557</t>
  </si>
  <si>
    <t>AU0001-87-313</t>
  </si>
  <si>
    <t>AU0092-46-688</t>
  </si>
  <si>
    <t>AU0043-59-289</t>
  </si>
  <si>
    <t>AU0093-10-045</t>
  </si>
  <si>
    <t>AU0032-28-544</t>
  </si>
  <si>
    <t>AU0027-89-219</t>
  </si>
  <si>
    <t>AU0066-72-982</t>
  </si>
  <si>
    <t>AU0070-93-855</t>
  </si>
  <si>
    <t>AU0050-93-818</t>
  </si>
  <si>
    <t>AU0002-71-263</t>
  </si>
  <si>
    <t>AU0024-56-285</t>
  </si>
  <si>
    <t>AU0002-87-715</t>
  </si>
  <si>
    <t>AU0051-42-658</t>
  </si>
  <si>
    <t>AU0007-85-158</t>
  </si>
  <si>
    <t>AU0033-28-823</t>
  </si>
  <si>
    <t>AU0093-99-914</t>
  </si>
  <si>
    <t>AU0046-03-246</t>
  </si>
  <si>
    <t>AU0084-43-540</t>
  </si>
  <si>
    <t>AU0076-10-226</t>
  </si>
  <si>
    <t>AU0043-05-187</t>
  </si>
  <si>
    <t>AU0048-03-029</t>
  </si>
  <si>
    <t>AU0000-36-297</t>
  </si>
  <si>
    <t>AU0083-94-148</t>
  </si>
  <si>
    <t>AU0089-84-864</t>
  </si>
  <si>
    <t>AU0075-60-238</t>
  </si>
  <si>
    <t>AU0045-01-462</t>
  </si>
  <si>
    <t>AU0048-77-056</t>
  </si>
  <si>
    <t>AU0079-23-513</t>
  </si>
  <si>
    <t>AU0019-73-265</t>
  </si>
  <si>
    <t>AU0042-79-010</t>
  </si>
  <si>
    <t>AU0016-67-100</t>
  </si>
  <si>
    <t>AU0020-92-475</t>
  </si>
  <si>
    <t>AU0044-65-720</t>
  </si>
  <si>
    <t>AU0019-88-189</t>
  </si>
  <si>
    <t>AU0026-41-029</t>
  </si>
  <si>
    <t>AU0009-38-029</t>
  </si>
  <si>
    <t>AU0063-88-159</t>
  </si>
  <si>
    <t>AU0018-52-102</t>
  </si>
  <si>
    <t>AU0049-91-286</t>
  </si>
  <si>
    <t>AU0062-68-670</t>
  </si>
  <si>
    <t>AU0009-09-642</t>
  </si>
  <si>
    <t>AU0098-67-301</t>
  </si>
  <si>
    <t>AU0010-13-295</t>
  </si>
  <si>
    <t>AU0072-03-388</t>
  </si>
  <si>
    <t>AU0099-52-849</t>
  </si>
  <si>
    <t>AU0021-22-565</t>
  </si>
  <si>
    <t>AU0080-65-348</t>
  </si>
  <si>
    <t>AU0011-62-913</t>
  </si>
  <si>
    <t>AU0004-60-816</t>
  </si>
  <si>
    <t>AU0070-37-055</t>
  </si>
  <si>
    <t>AU0080-97-629</t>
  </si>
  <si>
    <t>AU0078-59-990</t>
  </si>
  <si>
    <t>AU0090-44-885</t>
  </si>
  <si>
    <t>AU0043-34-747</t>
  </si>
  <si>
    <t>AU0064-92-438</t>
  </si>
  <si>
    <t>AU0044-51-132</t>
  </si>
  <si>
    <t>AU0062-58-599</t>
  </si>
  <si>
    <t>AU0073-64-069</t>
  </si>
  <si>
    <t>AU0022-83-576</t>
  </si>
  <si>
    <t>AU0080-11-287</t>
  </si>
  <si>
    <t>AU0058-67-743</t>
  </si>
  <si>
    <t>AU0077-67-360</t>
  </si>
  <si>
    <t>AU0062-78-335</t>
  </si>
  <si>
    <t>AU0097-48-556</t>
  </si>
  <si>
    <t>AU0046-67-044</t>
  </si>
  <si>
    <t>AU0038-95-505</t>
  </si>
  <si>
    <t>AU0011-18-182</t>
  </si>
  <si>
    <t>AU0054-95-940</t>
  </si>
  <si>
    <t>AU0056-23-618</t>
  </si>
  <si>
    <t>AU0020-38-271</t>
  </si>
  <si>
    <t>AU0036-78-290</t>
  </si>
  <si>
    <t>AU0077-27-163</t>
  </si>
  <si>
    <t>AU0000-65-573</t>
  </si>
  <si>
    <t>AU0029-81-576</t>
  </si>
  <si>
    <t>AU0011-09-729</t>
  </si>
  <si>
    <t>AU0057-55-167</t>
  </si>
  <si>
    <t>AU0082-73-614</t>
  </si>
  <si>
    <t>AU0009-43-437</t>
  </si>
  <si>
    <t>AU0062-45-707</t>
  </si>
  <si>
    <t>AU0056-19-990</t>
  </si>
  <si>
    <t>AU0072-78-587</t>
  </si>
  <si>
    <t>AU0096-80-584</t>
  </si>
  <si>
    <t>AU0025-92-128</t>
  </si>
  <si>
    <t>AU0041-76-475</t>
  </si>
  <si>
    <t>AU0039-88-313</t>
  </si>
  <si>
    <t>AU0096-52-641</t>
  </si>
  <si>
    <t>AU0065-05-064</t>
  </si>
  <si>
    <t>AU0025-09-716</t>
  </si>
  <si>
    <t>AU0086-72-976</t>
  </si>
  <si>
    <t>AU0042-74-474</t>
  </si>
  <si>
    <t>AU0037-24-169</t>
  </si>
  <si>
    <t>AU0000-70-107</t>
  </si>
  <si>
    <t>AU0032-64-424</t>
  </si>
  <si>
    <t>AU0092-28-204</t>
  </si>
  <si>
    <t>AU0097-94-609</t>
  </si>
  <si>
    <t>AU0075-52-344</t>
  </si>
  <si>
    <t>AU0042-85-336</t>
  </si>
  <si>
    <t>AU0078-59-389</t>
  </si>
  <si>
    <t>AU0071-34-837</t>
  </si>
  <si>
    <t>AU0048-41-406</t>
  </si>
  <si>
    <t>AU0075-35-303</t>
  </si>
  <si>
    <t>AU0039-13-641</t>
  </si>
  <si>
    <t>AU0070-12-656</t>
  </si>
  <si>
    <t>AU0088-45-675</t>
  </si>
  <si>
    <t>AU0036-36-895</t>
  </si>
  <si>
    <t>AU0040-61-066</t>
  </si>
  <si>
    <t>AU0054-40-949</t>
  </si>
  <si>
    <t>AU0064-55-122</t>
  </si>
  <si>
    <t>AU0068-89-458</t>
  </si>
  <si>
    <t>AU0016-09-780</t>
  </si>
  <si>
    <t>AU0027-41-558</t>
  </si>
  <si>
    <t>AU0077-25-797</t>
  </si>
  <si>
    <t>AU0055-92-645</t>
  </si>
  <si>
    <t>AU0038-35-611</t>
  </si>
  <si>
    <t>AU0070-75-018</t>
  </si>
  <si>
    <t>AU0059-31-700</t>
  </si>
  <si>
    <t>AU0005-17-736</t>
  </si>
  <si>
    <t>AU0069-25-599</t>
  </si>
  <si>
    <t>AU0029-61-688</t>
  </si>
  <si>
    <t>AU0043-09-601</t>
  </si>
  <si>
    <t>AU0046-52-670</t>
  </si>
  <si>
    <t>AU0083-20-753</t>
  </si>
  <si>
    <t>AU0061-26-493</t>
  </si>
  <si>
    <t>AU0041-36-503</t>
  </si>
  <si>
    <t>AU0040-56-954</t>
  </si>
  <si>
    <t>AU0010-07-580</t>
  </si>
  <si>
    <t>AU0063-47-244</t>
  </si>
  <si>
    <t>AU0001-37-871</t>
  </si>
  <si>
    <t>AU0024-97-579</t>
  </si>
  <si>
    <t>AU0069-86-208</t>
  </si>
  <si>
    <t>AU0085-83-509</t>
  </si>
  <si>
    <t>AU0055-54-096</t>
  </si>
  <si>
    <t>AU0025-52-367</t>
  </si>
  <si>
    <t>AU0054-00-778</t>
  </si>
  <si>
    <t>AU0076-99-046</t>
  </si>
  <si>
    <t>AU0054-22-788</t>
  </si>
  <si>
    <t>AU0068-05-234</t>
  </si>
  <si>
    <t>AU0056-17-441</t>
  </si>
  <si>
    <t>AU0002-97-591</t>
  </si>
  <si>
    <t>AU0047-45-529</t>
  </si>
  <si>
    <t>AU0011-56-937</t>
  </si>
  <si>
    <t>AU0030-20-794</t>
  </si>
  <si>
    <t>AU0063-64-909</t>
  </si>
  <si>
    <t>AU0087-27-621</t>
  </si>
  <si>
    <t>AU0049-40-940</t>
  </si>
  <si>
    <t>AU0008-55-957</t>
  </si>
  <si>
    <t>AU0006-35-477</t>
  </si>
  <si>
    <t>AU0023-84-813</t>
  </si>
  <si>
    <t>AU0041-42-312</t>
  </si>
  <si>
    <t>AU0060-45-459</t>
  </si>
  <si>
    <t>AU0039-19-712</t>
  </si>
  <si>
    <t>AU0069-93-566</t>
  </si>
  <si>
    <t>AU0086-48-893</t>
  </si>
  <si>
    <t>AU0007-09-463</t>
  </si>
  <si>
    <t>AU0074-13-101</t>
  </si>
  <si>
    <t>AU0045-38-767</t>
  </si>
  <si>
    <t>AU0070-45-116</t>
  </si>
  <si>
    <t>AU0051-67-533</t>
  </si>
  <si>
    <t>AU0082-39-728</t>
  </si>
  <si>
    <t>AU0017-35-434</t>
  </si>
  <si>
    <t>AU0075-42-460</t>
  </si>
  <si>
    <t>AU0087-12-582</t>
  </si>
  <si>
    <t>AU0065-35-479</t>
  </si>
  <si>
    <t>AU0091-60-107</t>
  </si>
  <si>
    <t>AU0045-02-274</t>
  </si>
  <si>
    <t>AU0009-28-231</t>
  </si>
  <si>
    <t>AU0062-37-170</t>
  </si>
  <si>
    <t>AU0017-29-379</t>
  </si>
  <si>
    <t>AU0019-01-445</t>
  </si>
  <si>
    <t>AU0016-04-405</t>
  </si>
  <si>
    <t>AU0073-44-892</t>
  </si>
  <si>
    <t>AU0019-03-797</t>
  </si>
  <si>
    <t>AU0083-54-670</t>
  </si>
  <si>
    <t>AU0099-89-290</t>
  </si>
  <si>
    <t>AU0088-93-235</t>
  </si>
  <si>
    <t>AU0028-41-188</t>
  </si>
  <si>
    <t>AU0006-95-972</t>
  </si>
  <si>
    <t>AU0014-89-195</t>
  </si>
  <si>
    <t>AU0025-87-519</t>
  </si>
  <si>
    <t>AU0065-19-458</t>
  </si>
  <si>
    <t>AU0068-88-656</t>
  </si>
  <si>
    <t>AU0088-59-112</t>
  </si>
  <si>
    <t>AU0055-30-693</t>
  </si>
  <si>
    <t>AU0089-92-084</t>
  </si>
  <si>
    <t>AU0046-68-991</t>
  </si>
  <si>
    <t>AU0049-91-401</t>
  </si>
  <si>
    <t>AU0021-63-251</t>
  </si>
  <si>
    <t>AU0017-55-000</t>
  </si>
  <si>
    <t>AU0065-79-265</t>
  </si>
  <si>
    <t>AU0049-89-738</t>
  </si>
  <si>
    <t>AU0007-91-015</t>
  </si>
  <si>
    <t>AU0025-63-206</t>
  </si>
  <si>
    <t>AU0002-06-150</t>
  </si>
  <si>
    <t>AU0070-71-847</t>
  </si>
  <si>
    <t>AU0035-47-490</t>
  </si>
  <si>
    <t>AU0095-43-684</t>
  </si>
  <si>
    <t>V0641594609344</t>
  </si>
  <si>
    <t>V0908500462562</t>
  </si>
  <si>
    <t>HYUN07DQ</t>
  </si>
  <si>
    <t>NSW2000Dawes Point</t>
  </si>
  <si>
    <t>Garaged</t>
  </si>
  <si>
    <t>PrivateNoCommuting</t>
  </si>
  <si>
    <t>AlarmImmobiliser</t>
  </si>
  <si>
    <t>Real</t>
  </si>
  <si>
    <t>V0082161349972</t>
  </si>
  <si>
    <t>HOLD02CU</t>
  </si>
  <si>
    <t>NSW2430TAREE</t>
  </si>
  <si>
    <t>Carpark</t>
  </si>
  <si>
    <t>NSW2430RAINBOW FLAT</t>
  </si>
  <si>
    <t>PrivateCommuting</t>
  </si>
  <si>
    <t>Metallic</t>
  </si>
  <si>
    <t>Immobiliser</t>
  </si>
  <si>
    <t>Hire</t>
  </si>
  <si>
    <t xml:space="preserve">  </t>
  </si>
  <si>
    <t>V0012258337626</t>
  </si>
  <si>
    <t>BMW 05CK</t>
  </si>
  <si>
    <t>QLD4566Noosaville</t>
  </si>
  <si>
    <t>V0166024461183</t>
  </si>
  <si>
    <t>BMW 06PV</t>
  </si>
  <si>
    <t>V0229805826221</t>
  </si>
  <si>
    <t>TOYO03FD</t>
  </si>
  <si>
    <t>NSW2023BELLEVUE HILL</t>
  </si>
  <si>
    <t>MITS00EK</t>
  </si>
  <si>
    <t>NSW2150Parramatta</t>
  </si>
  <si>
    <t>Carport</t>
  </si>
  <si>
    <t>V0526249085383</t>
  </si>
  <si>
    <t>NISS96AC</t>
  </si>
  <si>
    <t>NSW2153Baulkham Hills</t>
  </si>
  <si>
    <t>LockedCompound</t>
  </si>
  <si>
    <t>NSW2768Glenwood</t>
  </si>
  <si>
    <t>V0131067247526</t>
  </si>
  <si>
    <t>CITR07AM</t>
  </si>
  <si>
    <t>NSW2009Pyrmont</t>
  </si>
  <si>
    <t>NSW2011Potts Point</t>
  </si>
  <si>
    <t>V0052456517593</t>
  </si>
  <si>
    <t>FORD03BN</t>
  </si>
  <si>
    <t>VIC3442Hesket</t>
  </si>
  <si>
    <t>V0843992493105</t>
  </si>
  <si>
    <t>MITS03GV</t>
  </si>
  <si>
    <t>NSW2518Tarrawanna</t>
  </si>
  <si>
    <t>V0240487404467</t>
  </si>
  <si>
    <t>HOND02CG</t>
  </si>
  <si>
    <t>NSW2155Rouse Hill</t>
  </si>
  <si>
    <t>NSW2155Beaumont Hills</t>
  </si>
  <si>
    <t>V0449651536981</t>
  </si>
  <si>
    <t>MAZD03BG</t>
  </si>
  <si>
    <t>NSW2768Parklea</t>
  </si>
  <si>
    <t>PrivateAndBusiness</t>
  </si>
  <si>
    <t>V0437925819217</t>
  </si>
  <si>
    <t>TOYO97DS</t>
  </si>
  <si>
    <t>V0001841589799</t>
  </si>
  <si>
    <t>HOLD05FD</t>
  </si>
  <si>
    <t>VIC3101Kew</t>
  </si>
  <si>
    <t>VIC3073RESERVOIR</t>
  </si>
  <si>
    <t>V0449452567396</t>
  </si>
  <si>
    <t>TOYO07FI</t>
  </si>
  <si>
    <t>NSW2007Ultimo</t>
  </si>
  <si>
    <t>NSW2033Kensington</t>
  </si>
  <si>
    <t>Street</t>
  </si>
  <si>
    <t>V0668046582644</t>
  </si>
  <si>
    <t>HOLD97GE</t>
  </si>
  <si>
    <t>NSW2173Wattle Grove</t>
  </si>
  <si>
    <t>NSW2170Lurnea</t>
  </si>
  <si>
    <t>V0091600047373</t>
  </si>
  <si>
    <t>NISS97FG</t>
  </si>
  <si>
    <t>NSW2173Holsworthy</t>
  </si>
  <si>
    <t>NSW2170Hammondville</t>
  </si>
  <si>
    <t>Driveway</t>
  </si>
  <si>
    <t>NoneOfTheAbove</t>
  </si>
  <si>
    <t>V0969581287555</t>
  </si>
  <si>
    <t>MERC90AX</t>
  </si>
  <si>
    <t>VIC3072Preston</t>
  </si>
  <si>
    <t>White</t>
  </si>
  <si>
    <t>V0556927082685</t>
  </si>
  <si>
    <t>MITS01AS</t>
  </si>
  <si>
    <t>NSW2066LANE COVE</t>
  </si>
  <si>
    <t>NSW2115ERMINGTON</t>
  </si>
  <si>
    <t>V0857732443663</t>
  </si>
  <si>
    <t>MAZD06AX</t>
  </si>
  <si>
    <t>VIC3082MILL PARK</t>
  </si>
  <si>
    <t>V0387894152869</t>
  </si>
  <si>
    <t>FORD00FB</t>
  </si>
  <si>
    <t>VIC3032Ascot Vale</t>
  </si>
  <si>
    <t>VIC3047Jacana</t>
  </si>
  <si>
    <t>V0604791123472</t>
  </si>
  <si>
    <t>TOYO93FQ</t>
  </si>
  <si>
    <t>NSW2196ROSELANDS</t>
  </si>
  <si>
    <t>SteeringLock</t>
  </si>
  <si>
    <t>V0318270395624</t>
  </si>
  <si>
    <t>DAEW99AW</t>
  </si>
  <si>
    <t>NSW2118Carlingford</t>
  </si>
  <si>
    <t>V0308977008021</t>
  </si>
  <si>
    <t>MINI02AA</t>
  </si>
  <si>
    <t>NSW2042NEWTOWN</t>
  </si>
  <si>
    <t>V0085538400085</t>
  </si>
  <si>
    <t>MITS97DJ</t>
  </si>
  <si>
    <t>NSW2011ELIZABETH BAY</t>
  </si>
  <si>
    <t>V0934556209188</t>
  </si>
  <si>
    <t>DAIH03AH</t>
  </si>
  <si>
    <t>NSW2560ST HELENS PARK</t>
  </si>
  <si>
    <t>V0613562813408</t>
  </si>
  <si>
    <t>NISS98BK</t>
  </si>
  <si>
    <t>NSW2011Woolloomooloo</t>
  </si>
  <si>
    <t>NSW2035MAROUBRA</t>
  </si>
  <si>
    <t>V0198387713101</t>
  </si>
  <si>
    <t>AUDI99AG</t>
  </si>
  <si>
    <t>NSW2026NORTH BONDI</t>
  </si>
  <si>
    <t>V0913753312091</t>
  </si>
  <si>
    <t>FORD02CU</t>
  </si>
  <si>
    <t>NSW2095MANLY</t>
  </si>
  <si>
    <t>V0868645657521</t>
  </si>
  <si>
    <t>HOLD00GE</t>
  </si>
  <si>
    <t>NSW2067Chatswood</t>
  </si>
  <si>
    <t>V0603488484636</t>
  </si>
  <si>
    <t>FORD05DZ</t>
  </si>
  <si>
    <t>VIC3124CAMBERWELL</t>
  </si>
  <si>
    <t>V0245542249213</t>
  </si>
  <si>
    <t>SUZU07FE</t>
  </si>
  <si>
    <t>NSW2206EARLWOOD</t>
  </si>
  <si>
    <t>V0628256039725</t>
  </si>
  <si>
    <t>HYUN95AJ</t>
  </si>
  <si>
    <t>NSW2150PARRAMATTA</t>
  </si>
  <si>
    <t>V0366632946368</t>
  </si>
  <si>
    <t>HOLD92GT</t>
  </si>
  <si>
    <t>VIC3046GLENROY</t>
  </si>
  <si>
    <t>V0426863967307</t>
  </si>
  <si>
    <t>MAZD06AK</t>
  </si>
  <si>
    <t>NSW2015Alexandria</t>
  </si>
  <si>
    <t>V0350986405526</t>
  </si>
  <si>
    <t>MITS06BM</t>
  </si>
  <si>
    <t>NSW2020Mascot</t>
  </si>
  <si>
    <t>NSW2137NORTH STRATHFIELD</t>
  </si>
  <si>
    <t>V0150584067342</t>
  </si>
  <si>
    <t>MITS01BD</t>
  </si>
  <si>
    <t>NSW2515Thirroul</t>
  </si>
  <si>
    <t>ParkingLot</t>
  </si>
  <si>
    <t>NSW2519Fairy Meadow</t>
  </si>
  <si>
    <t>V0231627625969</t>
  </si>
  <si>
    <t>FORD04NF</t>
  </si>
  <si>
    <t>NSW2327Kurri Kurri</t>
  </si>
  <si>
    <t>V0022057089819</t>
  </si>
  <si>
    <t>SAAB97BK</t>
  </si>
  <si>
    <t>NSW2138Rhodes</t>
  </si>
  <si>
    <t>NSW2112PUTNEY</t>
  </si>
  <si>
    <t>V0469916190286</t>
  </si>
  <si>
    <t>HYUN99AS</t>
  </si>
  <si>
    <t>NSW2170Moorebank</t>
  </si>
  <si>
    <t>OnPrivateProperty</t>
  </si>
  <si>
    <t>V0133881577941</t>
  </si>
  <si>
    <t>HSV 96AF</t>
  </si>
  <si>
    <t>NSW2326Neath</t>
  </si>
  <si>
    <t>TrackingDevice</t>
  </si>
  <si>
    <t>V0456308073774</t>
  </si>
  <si>
    <t>HOLD98AL</t>
  </si>
  <si>
    <t>NSW2113MACQUARIE PARK</t>
  </si>
  <si>
    <t>NSW2068NORTH WILLOUGHBY</t>
  </si>
  <si>
    <t>V0487705160313</t>
  </si>
  <si>
    <t>HOLD92CE</t>
  </si>
  <si>
    <t>NSW2111Tennyson Point</t>
  </si>
  <si>
    <t>V0460232320493</t>
  </si>
  <si>
    <t>DAIH99BM</t>
  </si>
  <si>
    <t>VIC3084Heidelberg</t>
  </si>
  <si>
    <t>VIC3085Macleod</t>
  </si>
  <si>
    <t>V0559381672067</t>
  </si>
  <si>
    <t>FORD02CZ</t>
  </si>
  <si>
    <t>VIC3136Croydon</t>
  </si>
  <si>
    <t>V0832235783815</t>
  </si>
  <si>
    <t>HOND85AV</t>
  </si>
  <si>
    <t>NSW2206Earlwood</t>
  </si>
  <si>
    <t>V0155854330444</t>
  </si>
  <si>
    <t>TOYO98BU</t>
  </si>
  <si>
    <t>NSW2216Rockdale</t>
  </si>
  <si>
    <t>V0294407844317</t>
  </si>
  <si>
    <t>HOLD99EI</t>
  </si>
  <si>
    <t>NSW2540Meroo Meadow</t>
  </si>
  <si>
    <t>V0636318409644</t>
  </si>
  <si>
    <t>SUBA08BQ</t>
  </si>
  <si>
    <t>NSW2140Homebush West</t>
  </si>
  <si>
    <t>MicroDots</t>
  </si>
  <si>
    <t>V0493779576733</t>
  </si>
  <si>
    <t>MITS00EL</t>
  </si>
  <si>
    <t>VIC3020Sunshine</t>
  </si>
  <si>
    <t>VIC3023Caroline Springs</t>
  </si>
  <si>
    <t>V0562848450945</t>
  </si>
  <si>
    <t>HOND97AU</t>
  </si>
  <si>
    <t>NSW2130Summer Hill</t>
  </si>
  <si>
    <t>V0039656765159</t>
  </si>
  <si>
    <t>VOLK07NH</t>
  </si>
  <si>
    <t>NSW2205Wolli Creek</t>
  </si>
  <si>
    <t>V0044400489311</t>
  </si>
  <si>
    <t>NISS98CI</t>
  </si>
  <si>
    <t>VIC3805Narre Warren South</t>
  </si>
  <si>
    <t>V0704524497215</t>
  </si>
  <si>
    <t>MITS99GD</t>
  </si>
  <si>
    <t>V0811577292090</t>
  </si>
  <si>
    <t>TOYO05AV</t>
  </si>
  <si>
    <t>ACT2617Bruce</t>
  </si>
  <si>
    <t>V0173480383612</t>
  </si>
  <si>
    <t>NISS05BV</t>
  </si>
  <si>
    <t>VIC3109Doncaster East</t>
  </si>
  <si>
    <t>V0878857476316</t>
  </si>
  <si>
    <t>PEUG03AO</t>
  </si>
  <si>
    <t>V0517392734709</t>
  </si>
  <si>
    <t>JEEP00AA</t>
  </si>
  <si>
    <t>NSW2034Coogee</t>
  </si>
  <si>
    <t>V0057925796294</t>
  </si>
  <si>
    <t>HYUN00AI</t>
  </si>
  <si>
    <t>VIC3173Keysborough</t>
  </si>
  <si>
    <t>V0121707057882</t>
  </si>
  <si>
    <t>NISS05BP</t>
  </si>
  <si>
    <t>NSW2464Yamba</t>
  </si>
  <si>
    <t>V0323020072743</t>
  </si>
  <si>
    <t>AUDI02AQ</t>
  </si>
  <si>
    <t>NSW2065St Leonards</t>
  </si>
  <si>
    <t>NSW2090Cremorne</t>
  </si>
  <si>
    <t>Lease</t>
  </si>
  <si>
    <t>V0804537981137</t>
  </si>
  <si>
    <t>MAZD07AN</t>
  </si>
  <si>
    <t>NSW2205Arncliffe</t>
  </si>
  <si>
    <t>V0412288948035</t>
  </si>
  <si>
    <t>MITS00EH</t>
  </si>
  <si>
    <t>NSW2529Oak Flats</t>
  </si>
  <si>
    <t>V0562228843369</t>
  </si>
  <si>
    <t>HYUN06BF</t>
  </si>
  <si>
    <t>QLD4740Rural View</t>
  </si>
  <si>
    <t>V0971529772110</t>
  </si>
  <si>
    <t>HYUN04AH</t>
  </si>
  <si>
    <t>V0395337605097</t>
  </si>
  <si>
    <t>HOND98AH</t>
  </si>
  <si>
    <t>NSW2018Rosebery</t>
  </si>
  <si>
    <t>NSW2224Sylvania Waters</t>
  </si>
  <si>
    <t>V0657799781029</t>
  </si>
  <si>
    <t>TOYO02JN</t>
  </si>
  <si>
    <t>V0791777538554</t>
  </si>
  <si>
    <t>FORD05MM</t>
  </si>
  <si>
    <t>NSW2428Tuncurry</t>
  </si>
  <si>
    <t>V0101069715492</t>
  </si>
  <si>
    <t>MAZD08EB</t>
  </si>
  <si>
    <t>NSW2114Meadowbank</t>
  </si>
  <si>
    <t>V0403121712755</t>
  </si>
  <si>
    <t>MAZD05ES</t>
  </si>
  <si>
    <t>NSW2229Caringbah</t>
  </si>
  <si>
    <t>NSW2221Blakehurst</t>
  </si>
  <si>
    <t>V0627872595895</t>
  </si>
  <si>
    <t>MERC04UZ</t>
  </si>
  <si>
    <t>QLD4558Maroochydore</t>
  </si>
  <si>
    <t>V0067816828870</t>
  </si>
  <si>
    <t>FORD02DG</t>
  </si>
  <si>
    <t>NSW2113North Ryde</t>
  </si>
  <si>
    <t>NSW2143Regents Park</t>
  </si>
  <si>
    <t>V0447457449387</t>
  </si>
  <si>
    <t>KIA 04AR</t>
  </si>
  <si>
    <t>NSW2230Woolooware</t>
  </si>
  <si>
    <t>V0155799761560</t>
  </si>
  <si>
    <t>TOYO97IQ</t>
  </si>
  <si>
    <t>NSW2170Prestons</t>
  </si>
  <si>
    <t>NSW2170Casula</t>
  </si>
  <si>
    <t>V0286667029819</t>
  </si>
  <si>
    <t>ALFA04BF</t>
  </si>
  <si>
    <t>NSW2000Sydney</t>
  </si>
  <si>
    <t>NSW2115Ermington</t>
  </si>
  <si>
    <t>V0263822782702</t>
  </si>
  <si>
    <t>ALFA01AE</t>
  </si>
  <si>
    <t>NSW2041Balmain East</t>
  </si>
  <si>
    <t>V0136575659800</t>
  </si>
  <si>
    <t>HOLD95FH</t>
  </si>
  <si>
    <t>NSW2462Ulmarra</t>
  </si>
  <si>
    <t>V0209839119466</t>
  </si>
  <si>
    <t>MITS06AN</t>
  </si>
  <si>
    <t>NSW2315Corlette</t>
  </si>
  <si>
    <t>V0574441543229</t>
  </si>
  <si>
    <t>TOYO97HR</t>
  </si>
  <si>
    <t>QLD4655Eli Waters</t>
  </si>
  <si>
    <t>V0212324486536</t>
  </si>
  <si>
    <t>SUBA05CF</t>
  </si>
  <si>
    <t>VIC3146Glen Iris</t>
  </si>
  <si>
    <t>V0294387399146</t>
  </si>
  <si>
    <t>KIA 05AK</t>
  </si>
  <si>
    <t>WA6169Waikiki</t>
  </si>
  <si>
    <t>V0033922363410</t>
  </si>
  <si>
    <t>MITS04EM</t>
  </si>
  <si>
    <t>NSW2540Worrigee</t>
  </si>
  <si>
    <t>V0317954402658</t>
  </si>
  <si>
    <t>VOLK97AU</t>
  </si>
  <si>
    <t>VIC3037Sydenham</t>
  </si>
  <si>
    <t>VIC3038Taylors Lakes</t>
  </si>
  <si>
    <t>V0817080437756</t>
  </si>
  <si>
    <t>MITS07AU</t>
  </si>
  <si>
    <t>NSW2325Cessnock</t>
  </si>
  <si>
    <t>V0337172984282</t>
  </si>
  <si>
    <t>SUZU98BE</t>
  </si>
  <si>
    <t>NSW2207Bexley North</t>
  </si>
  <si>
    <t>NSW2207Bexley</t>
  </si>
  <si>
    <t>V0402174056750</t>
  </si>
  <si>
    <t>FORD99DH</t>
  </si>
  <si>
    <t>NSW2747Kingswood</t>
  </si>
  <si>
    <t>V0265400964798</t>
  </si>
  <si>
    <t>HOLD05DO</t>
  </si>
  <si>
    <t>NSW2085Belrose</t>
  </si>
  <si>
    <t>V0280171473619</t>
  </si>
  <si>
    <t>TOYO93HA</t>
  </si>
  <si>
    <t>NSW2455Urunga</t>
  </si>
  <si>
    <t>V0234834460644</t>
  </si>
  <si>
    <t>KIA 02AN</t>
  </si>
  <si>
    <t>ACT2904Monash</t>
  </si>
  <si>
    <t>V0518673515408</t>
  </si>
  <si>
    <t>SUBA06BN</t>
  </si>
  <si>
    <t>NSW2191Belfield</t>
  </si>
  <si>
    <t>V0607978953178</t>
  </si>
  <si>
    <t>NISS93EA</t>
  </si>
  <si>
    <t>NSW2119Beecroft</t>
  </si>
  <si>
    <t>V0601927125878</t>
  </si>
  <si>
    <t>FORD92CL</t>
  </si>
  <si>
    <t>Alarm</t>
  </si>
  <si>
    <t>V0499943404388</t>
  </si>
  <si>
    <t>HYUN06BO</t>
  </si>
  <si>
    <t>ACT2913Ngunnawal</t>
  </si>
  <si>
    <t>V0007240075169</t>
  </si>
  <si>
    <t>TOYO98HU</t>
  </si>
  <si>
    <t>QLD4226Clear Island Waters</t>
  </si>
  <si>
    <t>V0323691093699</t>
  </si>
  <si>
    <t>TOYO02FO</t>
  </si>
  <si>
    <t>V0922838056947</t>
  </si>
  <si>
    <t>TOYO90GG</t>
  </si>
  <si>
    <t>NSW2217KOGARAH</t>
  </si>
  <si>
    <t>PrivateAndOccasionalBusiness</t>
  </si>
  <si>
    <t>V0693538663171</t>
  </si>
  <si>
    <t>TOYO08EO</t>
  </si>
  <si>
    <t>NSW2564Macquarie Fields</t>
  </si>
  <si>
    <t>V0724605602654</t>
  </si>
  <si>
    <t>TOYO98CI</t>
  </si>
  <si>
    <t>NSW2213East Hills</t>
  </si>
  <si>
    <t>V0899765366220</t>
  </si>
  <si>
    <t>SUZU92BZ</t>
  </si>
  <si>
    <t>NSW2009PYRMONT</t>
  </si>
  <si>
    <t>V0280167597126</t>
  </si>
  <si>
    <t>HOLD92AD</t>
  </si>
  <si>
    <t>NSW2154Castle Hill</t>
  </si>
  <si>
    <t>V0966974091098</t>
  </si>
  <si>
    <t>HOLD06IM</t>
  </si>
  <si>
    <t>NSW2762Schofields</t>
  </si>
  <si>
    <t>V0962638708745</t>
  </si>
  <si>
    <t>HOND03ET</t>
  </si>
  <si>
    <t>NSW2069Roseville Chase</t>
  </si>
  <si>
    <t>V0968886290569</t>
  </si>
  <si>
    <t>TOYO95BJ</t>
  </si>
  <si>
    <t>TAS7306Sheffield</t>
  </si>
  <si>
    <t>V0588908287310</t>
  </si>
  <si>
    <t>TOYO95BZ</t>
  </si>
  <si>
    <t>VIC3130Blackburn North</t>
  </si>
  <si>
    <t>V0325129832839</t>
  </si>
  <si>
    <t>HOLD95AQ</t>
  </si>
  <si>
    <t>NSW2209Narwee</t>
  </si>
  <si>
    <t>V0313945302987</t>
  </si>
  <si>
    <t>SSAN06AZ</t>
  </si>
  <si>
    <t>NSW2540Culburra Beach</t>
  </si>
  <si>
    <t>V0224213757410</t>
  </si>
  <si>
    <t>MERC98BP</t>
  </si>
  <si>
    <t>V0032138914964</t>
  </si>
  <si>
    <t>FORD95FA</t>
  </si>
  <si>
    <t>NSW2444Port Macquarie</t>
  </si>
  <si>
    <t>V0281389006184</t>
  </si>
  <si>
    <t>FORD95BZ</t>
  </si>
  <si>
    <t>NSW2500Mount Keira</t>
  </si>
  <si>
    <t>V0911561315083</t>
  </si>
  <si>
    <t>KIA 03AR</t>
  </si>
  <si>
    <t>NSW2541North Nowra</t>
  </si>
  <si>
    <t>V0402137764030</t>
  </si>
  <si>
    <t>HYUN98AZ</t>
  </si>
  <si>
    <t>NSW2168Heckenberg</t>
  </si>
  <si>
    <t>V0749676050806</t>
  </si>
  <si>
    <t>NISS07BA</t>
  </si>
  <si>
    <t>NSW2582Murrumbateman</t>
  </si>
  <si>
    <t>V0689738692606</t>
  </si>
  <si>
    <t>TOYO02CA</t>
  </si>
  <si>
    <t>QLD4670Innes Park</t>
  </si>
  <si>
    <t>V0625016580473</t>
  </si>
  <si>
    <t>TOYO90CX</t>
  </si>
  <si>
    <t>NSW2079Mount Colah</t>
  </si>
  <si>
    <t>V0180133498565</t>
  </si>
  <si>
    <t>SUBA05AR</t>
  </si>
  <si>
    <t>NSW2211Padstow</t>
  </si>
  <si>
    <t>V0804439259126</t>
  </si>
  <si>
    <t>TOYO08DP</t>
  </si>
  <si>
    <t>NSW2768GLENWOOD</t>
  </si>
  <si>
    <t>V0017864461491</t>
  </si>
  <si>
    <t>HYUN02CO</t>
  </si>
  <si>
    <t>V0990775048860</t>
  </si>
  <si>
    <t>TOYO04ET</t>
  </si>
  <si>
    <t>V0471323006530</t>
  </si>
  <si>
    <t>MITS96DT</t>
  </si>
  <si>
    <t>SA5108PARALOWIE</t>
  </si>
  <si>
    <t>V0505693822904</t>
  </si>
  <si>
    <t>HOND07BN</t>
  </si>
  <si>
    <t>NSW2207Bardwell Park</t>
  </si>
  <si>
    <t>V0548588366009</t>
  </si>
  <si>
    <t>TOYO00HE</t>
  </si>
  <si>
    <t>NSW2163Villawood</t>
  </si>
  <si>
    <t>V0260417007352</t>
  </si>
  <si>
    <t>MERC93AW</t>
  </si>
  <si>
    <t>V0076382556895</t>
  </si>
  <si>
    <t>NISS02CP</t>
  </si>
  <si>
    <t>NSW2749CRANEBROOK</t>
  </si>
  <si>
    <t>V0711912825020</t>
  </si>
  <si>
    <t>HOND01RI</t>
  </si>
  <si>
    <t>NSW2140Homebush</t>
  </si>
  <si>
    <t>V0536599246881</t>
  </si>
  <si>
    <t>HOLD03IK</t>
  </si>
  <si>
    <t>NSW2171CECIL HILLS</t>
  </si>
  <si>
    <t>V0129180300130</t>
  </si>
  <si>
    <t>HYUN92AQ</t>
  </si>
  <si>
    <t>NSW2350Armidale</t>
  </si>
  <si>
    <t>V0515745204666</t>
  </si>
  <si>
    <t>MAZD07EB</t>
  </si>
  <si>
    <t>V0740066975850</t>
  </si>
  <si>
    <t>MITS95AO</t>
  </si>
  <si>
    <t>NSW2176WAKELEY</t>
  </si>
  <si>
    <t>V0764125301142</t>
  </si>
  <si>
    <t>HOND02CA</t>
  </si>
  <si>
    <t>NSW2142Granville</t>
  </si>
  <si>
    <t>V0241411233933</t>
  </si>
  <si>
    <t>TOYO04CM</t>
  </si>
  <si>
    <t>WA6162South Fremantle</t>
  </si>
  <si>
    <t>V0331372793392</t>
  </si>
  <si>
    <t>TOYO03BZ</t>
  </si>
  <si>
    <t>QLD4109SUNNYBANK HILLS</t>
  </si>
  <si>
    <t>V0300621552737</t>
  </si>
  <si>
    <t>HOND01SN</t>
  </si>
  <si>
    <t>NSW2228MIRANDA</t>
  </si>
  <si>
    <t>V0994396721916</t>
  </si>
  <si>
    <t>AUDI06MX</t>
  </si>
  <si>
    <t>VIC3000MELBOURNE</t>
  </si>
  <si>
    <t>VIC3037TAYLORS HILL</t>
  </si>
  <si>
    <t>V0816022323100</t>
  </si>
  <si>
    <t>MITS02AX</t>
  </si>
  <si>
    <t>WA6014Wembley</t>
  </si>
  <si>
    <t>V0657661045441</t>
  </si>
  <si>
    <t>HOLD97DB</t>
  </si>
  <si>
    <t>VIC3184ELWOOD</t>
  </si>
  <si>
    <t>V0581581618608</t>
  </si>
  <si>
    <t>SUBA06DL</t>
  </si>
  <si>
    <t>VIC3018SEAHOLME</t>
  </si>
  <si>
    <t>V0553632363400</t>
  </si>
  <si>
    <t>VOLK01CT</t>
  </si>
  <si>
    <t>QLD4035ALBANY CREEK</t>
  </si>
  <si>
    <t>QLD4034ASPLEY</t>
  </si>
  <si>
    <t>V0443150753837</t>
  </si>
  <si>
    <t>NISS02AH</t>
  </si>
  <si>
    <t>NSW2134BURWOOD</t>
  </si>
  <si>
    <t>V0001203068819</t>
  </si>
  <si>
    <t>MITS02AY</t>
  </si>
  <si>
    <t>QLD4127Springwood</t>
  </si>
  <si>
    <t>V0149466374999</t>
  </si>
  <si>
    <t>NISS98BB</t>
  </si>
  <si>
    <t>NSW2196Roselands</t>
  </si>
  <si>
    <t>V0351576560219</t>
  </si>
  <si>
    <t>VOLV84AC</t>
  </si>
  <si>
    <t>NSW2040LEICHHARDT</t>
  </si>
  <si>
    <t>V0792630417515</t>
  </si>
  <si>
    <t>NISS03BD</t>
  </si>
  <si>
    <t>NSW2196PUNCHBOWL</t>
  </si>
  <si>
    <t>V0791972586649</t>
  </si>
  <si>
    <t>HOLD05HK</t>
  </si>
  <si>
    <t>VIC3043TULLAMARINE</t>
  </si>
  <si>
    <t>VIC3049WESTMEADOWS</t>
  </si>
  <si>
    <t>V0256209227384</t>
  </si>
  <si>
    <t>HOLD05FY</t>
  </si>
  <si>
    <t>NSW2198Georges Hall</t>
  </si>
  <si>
    <t>V0149733573134</t>
  </si>
  <si>
    <t>BMW 02AP</t>
  </si>
  <si>
    <t>QLD4215Labrador</t>
  </si>
  <si>
    <t>V0231219564073</t>
  </si>
  <si>
    <t>V0720997006974</t>
  </si>
  <si>
    <t>TOYO04DQ</t>
  </si>
  <si>
    <t>NSW2171Hoxton Park</t>
  </si>
  <si>
    <t>V0411136871860</t>
  </si>
  <si>
    <t>SUBA03CO</t>
  </si>
  <si>
    <t>NSW2227Gymea Bay</t>
  </si>
  <si>
    <t>V0885957627030</t>
  </si>
  <si>
    <t>SUBA02AY</t>
  </si>
  <si>
    <t>NSW2210Lugarno</t>
  </si>
  <si>
    <t>V0411859790587</t>
  </si>
  <si>
    <t>DAEW00AQ</t>
  </si>
  <si>
    <t>NSW2766Rooty Hill</t>
  </si>
  <si>
    <t>V0980336334043</t>
  </si>
  <si>
    <t>FORD96AK</t>
  </si>
  <si>
    <t>NSW2213Panania</t>
  </si>
  <si>
    <t>V0466849559035</t>
  </si>
  <si>
    <t>TOYO06AD</t>
  </si>
  <si>
    <t>NSW2620Karabar</t>
  </si>
  <si>
    <t>V0223896532050</t>
  </si>
  <si>
    <t>TOYO05AT</t>
  </si>
  <si>
    <t>NSW2830DUBBO</t>
  </si>
  <si>
    <t>V0671219079142</t>
  </si>
  <si>
    <t>TOYO95GA</t>
  </si>
  <si>
    <t>V0032003517628</t>
  </si>
  <si>
    <t>HOND05EE</t>
  </si>
  <si>
    <t>NSW2168Ashcroft</t>
  </si>
  <si>
    <t>V0379339197959</t>
  </si>
  <si>
    <t>HOND06BM</t>
  </si>
  <si>
    <t>V0983471963318</t>
  </si>
  <si>
    <t>MAZD08EA</t>
  </si>
  <si>
    <t>NSW2074Warrawee</t>
  </si>
  <si>
    <t>V0703204604978</t>
  </si>
  <si>
    <t>NSW2140HOMEBUSH WEST</t>
  </si>
  <si>
    <t>V0985003632231</t>
  </si>
  <si>
    <t>SUBA01DJ</t>
  </si>
  <si>
    <t>NSW2478Ballina</t>
  </si>
  <si>
    <t>V0534773764626</t>
  </si>
  <si>
    <t>BMW 96AP</t>
  </si>
  <si>
    <t>NSW2100BEACON HILL</t>
  </si>
  <si>
    <t>V0474947092316</t>
  </si>
  <si>
    <t>CHRY98AD</t>
  </si>
  <si>
    <t>VIC3147Ashwood</t>
  </si>
  <si>
    <t>V0448762387587</t>
  </si>
  <si>
    <t>PEUG05AP</t>
  </si>
  <si>
    <t>NSW2000SYDNEY</t>
  </si>
  <si>
    <t>V0624403841763</t>
  </si>
  <si>
    <t>HOLD03CS</t>
  </si>
  <si>
    <t>NSW2500Wollongong</t>
  </si>
  <si>
    <t>V0914528735049</t>
  </si>
  <si>
    <t>HOND02CH</t>
  </si>
  <si>
    <t>NSW2226Bonnet Bay</t>
  </si>
  <si>
    <t>V0441998668289</t>
  </si>
  <si>
    <t>TOYO00BN</t>
  </si>
  <si>
    <t>NSW2145WENTWORTHVILLE</t>
  </si>
  <si>
    <t>NSW2153WINSTON HILLS</t>
  </si>
  <si>
    <t>V0553277064550</t>
  </si>
  <si>
    <t>HOND98AB</t>
  </si>
  <si>
    <t>NSW2019Botany</t>
  </si>
  <si>
    <t>V0155364957698</t>
  </si>
  <si>
    <t>KIA 06AH</t>
  </si>
  <si>
    <t>QLD4486Dirranbandi</t>
  </si>
  <si>
    <t>V0030467992368</t>
  </si>
  <si>
    <t>HOLD87BK</t>
  </si>
  <si>
    <t>ACT2905Richardson</t>
  </si>
  <si>
    <t>V0942238404714</t>
  </si>
  <si>
    <t>TOYO99BI</t>
  </si>
  <si>
    <t>QLD4305Ipswich</t>
  </si>
  <si>
    <t>V0186829400736</t>
  </si>
  <si>
    <t>TOYO06AN</t>
  </si>
  <si>
    <t>ACT2614Aranda</t>
  </si>
  <si>
    <t>V0048372758556</t>
  </si>
  <si>
    <t>HYUN07BA</t>
  </si>
  <si>
    <t>QLD4128Tanah Merah</t>
  </si>
  <si>
    <t>V0763986947206</t>
  </si>
  <si>
    <t>MAZD07AD</t>
  </si>
  <si>
    <t>NSW2010Surry Hills</t>
  </si>
  <si>
    <t>V0283498470388</t>
  </si>
  <si>
    <t>SUBA02AA</t>
  </si>
  <si>
    <t>QLD4005NEW FARM</t>
  </si>
  <si>
    <t>V0129076862413</t>
  </si>
  <si>
    <t>TOYO03BU</t>
  </si>
  <si>
    <t>QLD4007HAMILTON</t>
  </si>
  <si>
    <t>V0205289764945</t>
  </si>
  <si>
    <t>MITS01HO</t>
  </si>
  <si>
    <t>VIC3032Maribyrnong</t>
  </si>
  <si>
    <t>V0227432474730</t>
  </si>
  <si>
    <t>HYUN04AA</t>
  </si>
  <si>
    <t>QLD4212Helensvale</t>
  </si>
  <si>
    <t>V0117533103989</t>
  </si>
  <si>
    <t>HOLD05IF</t>
  </si>
  <si>
    <t>SA5159Aberfoyle Park</t>
  </si>
  <si>
    <t>V0776837040002</t>
  </si>
  <si>
    <t>HYUN00BN</t>
  </si>
  <si>
    <t>NSW2763Quakers Hill</t>
  </si>
  <si>
    <t>V0705087232954</t>
  </si>
  <si>
    <t>NISS93BA</t>
  </si>
  <si>
    <t>ACT2612Braddon</t>
  </si>
  <si>
    <t>V0775330659845</t>
  </si>
  <si>
    <t>KIA 07BR</t>
  </si>
  <si>
    <t>V0374387010196</t>
  </si>
  <si>
    <t>SUZU04BU</t>
  </si>
  <si>
    <t>NSW2830Dubbo</t>
  </si>
  <si>
    <t>V0890625403802</t>
  </si>
  <si>
    <t>TOYO91BT</t>
  </si>
  <si>
    <t>NSW2871Forbes</t>
  </si>
  <si>
    <t>V0756255181164</t>
  </si>
  <si>
    <t>HOND95BK</t>
  </si>
  <si>
    <t>V0976448798705</t>
  </si>
  <si>
    <t>MAZD96AE</t>
  </si>
  <si>
    <t>V0262580693983</t>
  </si>
  <si>
    <t>HOND99RO</t>
  </si>
  <si>
    <t>NSW2032KINGSFORD</t>
  </si>
  <si>
    <t>V0713631599333</t>
  </si>
  <si>
    <t>SEAT98AD</t>
  </si>
  <si>
    <t>NSW2048Stanmore</t>
  </si>
  <si>
    <t>V0911125170957</t>
  </si>
  <si>
    <t>HOLD08BD</t>
  </si>
  <si>
    <t>VIC3194MENTONE</t>
  </si>
  <si>
    <t>V0928250545042</t>
  </si>
  <si>
    <t>HOLD96AB</t>
  </si>
  <si>
    <t>NSW2074WARRAWEE</t>
  </si>
  <si>
    <t>V0846856008253</t>
  </si>
  <si>
    <t>MITS05AL</t>
  </si>
  <si>
    <t>NSW2136Strathfield South</t>
  </si>
  <si>
    <t>V0138488274429</t>
  </si>
  <si>
    <t>RENA05BS</t>
  </si>
  <si>
    <t>NSW2079MOUNT COLAH</t>
  </si>
  <si>
    <t>V0549347663223</t>
  </si>
  <si>
    <t>BMW 08OD</t>
  </si>
  <si>
    <t>V0666514161038</t>
  </si>
  <si>
    <t>NISS96AE</t>
  </si>
  <si>
    <t>V0393428825138</t>
  </si>
  <si>
    <t>FORD94CC</t>
  </si>
  <si>
    <t>QLD4306Pine Mountain</t>
  </si>
  <si>
    <t>V0695168000208</t>
  </si>
  <si>
    <t>HOND97BA</t>
  </si>
  <si>
    <t>NSW2170Chipping Norton</t>
  </si>
  <si>
    <t>V0961834373120</t>
  </si>
  <si>
    <t>PROT00AH</t>
  </si>
  <si>
    <t>V0434765061375</t>
  </si>
  <si>
    <t>MITS07HC</t>
  </si>
  <si>
    <t>NSW2506Berkeley</t>
  </si>
  <si>
    <t>V0781800302904</t>
  </si>
  <si>
    <t>HOLD95AT</t>
  </si>
  <si>
    <t>ACT2914Amaroo</t>
  </si>
  <si>
    <t>V0716188994694</t>
  </si>
  <si>
    <t>HOLD98AR</t>
  </si>
  <si>
    <t>NSW2148KINGS PARK</t>
  </si>
  <si>
    <t>NSW2148BLACKTOWN</t>
  </si>
  <si>
    <t>V0843117488010</t>
  </si>
  <si>
    <t>DAIH97DP</t>
  </si>
  <si>
    <t>NSW2060Mcmahons Point</t>
  </si>
  <si>
    <t>V0001941531715</t>
  </si>
  <si>
    <t>FORD94AD</t>
  </si>
  <si>
    <t>V0746741137544</t>
  </si>
  <si>
    <t>V0316450432364</t>
  </si>
  <si>
    <t>QLD4226Robina</t>
  </si>
  <si>
    <t>V0209495619067</t>
  </si>
  <si>
    <t>DAIH01AJ</t>
  </si>
  <si>
    <t>NSW2760ST MARYS</t>
  </si>
  <si>
    <t>V0185964907946</t>
  </si>
  <si>
    <t>HOND00SU</t>
  </si>
  <si>
    <t>QLD4104Yeronga</t>
  </si>
  <si>
    <t>V0654505806568</t>
  </si>
  <si>
    <t>TOYO01CA</t>
  </si>
  <si>
    <t>V0666516500986</t>
  </si>
  <si>
    <t>FORD88AR</t>
  </si>
  <si>
    <t>WA6124Jarrahdale</t>
  </si>
  <si>
    <t>V0711146419964</t>
  </si>
  <si>
    <t>MITS08KM</t>
  </si>
  <si>
    <t>NSW2259Mannering Park</t>
  </si>
  <si>
    <t>V0196556316912</t>
  </si>
  <si>
    <t>MERC97BD</t>
  </si>
  <si>
    <t>WA6008SUBIACO</t>
  </si>
  <si>
    <t>WA6100BURSWOOD</t>
  </si>
  <si>
    <t>V0927834672996</t>
  </si>
  <si>
    <t>PEUG04BJ</t>
  </si>
  <si>
    <t>QLD4877Port Douglas</t>
  </si>
  <si>
    <t>V0718395588688</t>
  </si>
  <si>
    <t>TOYO99HR</t>
  </si>
  <si>
    <t>QLD4557Mooloolaba</t>
  </si>
  <si>
    <t>V0288941034892</t>
  </si>
  <si>
    <t>ALFA98AB</t>
  </si>
  <si>
    <t>NSW2097Collaroy Plateau West</t>
  </si>
  <si>
    <t>V0727795001684</t>
  </si>
  <si>
    <t>TOYO04FN</t>
  </si>
  <si>
    <t>NSW2130SUMMER HILL</t>
  </si>
  <si>
    <t>V0363060022699</t>
  </si>
  <si>
    <t>HOLD99FL</t>
  </si>
  <si>
    <t>NSW2530Dapto</t>
  </si>
  <si>
    <t>V0757920050626</t>
  </si>
  <si>
    <t>MAZD07AZ</t>
  </si>
  <si>
    <t>VIC3171SPRINGVALE</t>
  </si>
  <si>
    <t>V0007218700501</t>
  </si>
  <si>
    <t>MITS01CQ</t>
  </si>
  <si>
    <t>NSW2087FORESTVILLE</t>
  </si>
  <si>
    <t>V0475296037487</t>
  </si>
  <si>
    <t>HYUN01BE</t>
  </si>
  <si>
    <t>NSW2250Somersby</t>
  </si>
  <si>
    <t>V0680328178382</t>
  </si>
  <si>
    <t>MINI06AZ</t>
  </si>
  <si>
    <t>NSW2156GLENHAVEN</t>
  </si>
  <si>
    <t>V0481231414556</t>
  </si>
  <si>
    <t>FORD04DD</t>
  </si>
  <si>
    <t>NSW2519BALGOWNIE</t>
  </si>
  <si>
    <t>V0630429756045</t>
  </si>
  <si>
    <t>MAZD07BO</t>
  </si>
  <si>
    <t>NSW2120PENNANT HILLS</t>
  </si>
  <si>
    <t>V0208832877091</t>
  </si>
  <si>
    <t>HOLD02FL</t>
  </si>
  <si>
    <t>NSW2283Bolton Point</t>
  </si>
  <si>
    <t>V0322304517224</t>
  </si>
  <si>
    <t>TOYO07CR</t>
  </si>
  <si>
    <t>V0305420397389</t>
  </si>
  <si>
    <t>VOLV01CN</t>
  </si>
  <si>
    <t>VIC3169Clarinda</t>
  </si>
  <si>
    <t>V0482518349925</t>
  </si>
  <si>
    <t>MAZD04BC</t>
  </si>
  <si>
    <t>NSW2256BLACKWALL</t>
  </si>
  <si>
    <t>V0703057145612</t>
  </si>
  <si>
    <t>BMW 97BJ</t>
  </si>
  <si>
    <t>V0530065175295</t>
  </si>
  <si>
    <t>HOND07AO</t>
  </si>
  <si>
    <t>V0732412805816</t>
  </si>
  <si>
    <t>MITS98BQ</t>
  </si>
  <si>
    <t>NSW2209BEVERLY HILLS</t>
  </si>
  <si>
    <t>V0045178419860</t>
  </si>
  <si>
    <t>FORD96CD</t>
  </si>
  <si>
    <t>VIC3040Essendon</t>
  </si>
  <si>
    <t>V0323351098092</t>
  </si>
  <si>
    <t>HOLD03AH</t>
  </si>
  <si>
    <t>SA5012Mansfield Park</t>
  </si>
  <si>
    <t>V0142804526140</t>
  </si>
  <si>
    <t>TOYO91GQ</t>
  </si>
  <si>
    <t>NSW2550BEMBOKA</t>
  </si>
  <si>
    <t>V0649602665548</t>
  </si>
  <si>
    <t>TOYO97HO</t>
  </si>
  <si>
    <t>V0837905401583</t>
  </si>
  <si>
    <t>TOYO07IS</t>
  </si>
  <si>
    <t>NSW2767Woodcroft</t>
  </si>
  <si>
    <t>V0419847225526</t>
  </si>
  <si>
    <t>VOLK08LW</t>
  </si>
  <si>
    <t>NSW2114MEADOWBANK</t>
  </si>
  <si>
    <t>NSW2114WEST RYDE</t>
  </si>
  <si>
    <t>V0767543859832</t>
  </si>
  <si>
    <t>HOND06FC</t>
  </si>
  <si>
    <t>NSW2166CABRAMATTA</t>
  </si>
  <si>
    <t>NSW2168GREEN VALLEY</t>
  </si>
  <si>
    <t>V0529333522682</t>
  </si>
  <si>
    <t>MITS01AU</t>
  </si>
  <si>
    <t>ACT2611Rivett</t>
  </si>
  <si>
    <t>V0376647872301</t>
  </si>
  <si>
    <t>FORD03BC</t>
  </si>
  <si>
    <t>NSW2750South Penrith</t>
  </si>
  <si>
    <t>V0779253655901</t>
  </si>
  <si>
    <t>TOYO02EZ</t>
  </si>
  <si>
    <t>VIC3305PORTLAND</t>
  </si>
  <si>
    <t>V0122849654577</t>
  </si>
  <si>
    <t>FORD01CC</t>
  </si>
  <si>
    <t>V0127753804393</t>
  </si>
  <si>
    <t>VOLK01AV</t>
  </si>
  <si>
    <t>VIC3162Caulfield South</t>
  </si>
  <si>
    <t>V0399386769685</t>
  </si>
  <si>
    <t>TOYO96EV</t>
  </si>
  <si>
    <t>VIC3060Fawkner</t>
  </si>
  <si>
    <t>V0305858770852</t>
  </si>
  <si>
    <t>TOYO91AT</t>
  </si>
  <si>
    <t>WA6163BIBRA LAKE</t>
  </si>
  <si>
    <t>V0887142011737</t>
  </si>
  <si>
    <t>MAZD94AL</t>
  </si>
  <si>
    <t>NSW2097COLLAROY</t>
  </si>
  <si>
    <t>V0832474791706</t>
  </si>
  <si>
    <t>AUDI00BN</t>
  </si>
  <si>
    <t>QLD4212HELENSVALE</t>
  </si>
  <si>
    <t>V0889238951729</t>
  </si>
  <si>
    <t>NISS04CG</t>
  </si>
  <si>
    <t>QLD4214PARKWOOD</t>
  </si>
  <si>
    <t>V0030237455795</t>
  </si>
  <si>
    <t>MAZD06AU</t>
  </si>
  <si>
    <t>NSW2290CHARLESTOWN</t>
  </si>
  <si>
    <t>NSW2289ADAMSTOWN</t>
  </si>
  <si>
    <t>V0893476237787</t>
  </si>
  <si>
    <t>HOLD03BV</t>
  </si>
  <si>
    <t>V0048260430620</t>
  </si>
  <si>
    <t>HYUN98AN</t>
  </si>
  <si>
    <t>QLD4350HARRISTOWN</t>
  </si>
  <si>
    <t>QLD4350RANGEVILLE</t>
  </si>
  <si>
    <t>V0419620560458</t>
  </si>
  <si>
    <t>TOYO04HI</t>
  </si>
  <si>
    <t>VIC3031KENSINGTON</t>
  </si>
  <si>
    <t>V0054775992052</t>
  </si>
  <si>
    <t>MERC88AN</t>
  </si>
  <si>
    <t>NSW2478LENNOX HEAD</t>
  </si>
  <si>
    <t>V0148175319666</t>
  </si>
  <si>
    <t>NSW2010DARLINGHURST</t>
  </si>
  <si>
    <t>V0028161588531</t>
  </si>
  <si>
    <t>MITS02BO</t>
  </si>
  <si>
    <t>ACT2607ISAACS</t>
  </si>
  <si>
    <t>V0089553292840</t>
  </si>
  <si>
    <t>FORD06UO</t>
  </si>
  <si>
    <t>NSW2768Stanhope Gardens</t>
  </si>
  <si>
    <t>V0620799035885</t>
  </si>
  <si>
    <t>VOLV98DB</t>
  </si>
  <si>
    <t>NSW2011POTTS POINT</t>
  </si>
  <si>
    <t>V0191369878559</t>
  </si>
  <si>
    <t>NSW2145Pendle Hill</t>
  </si>
  <si>
    <t>V0794857145923</t>
  </si>
  <si>
    <t>SUBA06FZ</t>
  </si>
  <si>
    <t>VIC3206Albert Park</t>
  </si>
  <si>
    <t>V0955334638080</t>
  </si>
  <si>
    <t>QLD4300SPRINGFIELD</t>
  </si>
  <si>
    <t>V0796216898767</t>
  </si>
  <si>
    <t>HYUN05CC</t>
  </si>
  <si>
    <t>V0416078908669</t>
  </si>
  <si>
    <t>PEUG02AQ</t>
  </si>
  <si>
    <t>NSW2137Concord</t>
  </si>
  <si>
    <t>V0409834114131</t>
  </si>
  <si>
    <t>BMW 00UK</t>
  </si>
  <si>
    <t>QLD4217Benowa</t>
  </si>
  <si>
    <t>V0805892564409</t>
  </si>
  <si>
    <t>MAZD03AX</t>
  </si>
  <si>
    <t>QLD4818DEERAGUN</t>
  </si>
  <si>
    <t>V0579242901191</t>
  </si>
  <si>
    <t>QLD4503Murrumba Downs</t>
  </si>
  <si>
    <t>V0007122262289</t>
  </si>
  <si>
    <t>TOYO07HN</t>
  </si>
  <si>
    <t>NSW2076Wahroonga</t>
  </si>
  <si>
    <t>V0314351955944</t>
  </si>
  <si>
    <t>FORD97GQ</t>
  </si>
  <si>
    <t>VIC3934Mount Martha</t>
  </si>
  <si>
    <t>V0522361216759</t>
  </si>
  <si>
    <t>FORD06KV</t>
  </si>
  <si>
    <t>NSW2170Warwick Farm</t>
  </si>
  <si>
    <t>V0430246453085</t>
  </si>
  <si>
    <t>V0242205972819</t>
  </si>
  <si>
    <t>TOYO05EE</t>
  </si>
  <si>
    <t>VIC3128BOX HILL</t>
  </si>
  <si>
    <t>V0052951450403</t>
  </si>
  <si>
    <t>MERC02BP</t>
  </si>
  <si>
    <t>NSW2224Kangaroo Point</t>
  </si>
  <si>
    <t>V0376695162716</t>
  </si>
  <si>
    <t>MITS95BN</t>
  </si>
  <si>
    <t>VIC3163Murrumbeena</t>
  </si>
  <si>
    <t>V0737497313859</t>
  </si>
  <si>
    <t>HOND00UY</t>
  </si>
  <si>
    <t>NSW2063Northbridge</t>
  </si>
  <si>
    <t>V0366959582003</t>
  </si>
  <si>
    <t>NISS05BN</t>
  </si>
  <si>
    <t>V0392014297398</t>
  </si>
  <si>
    <t>VOLK05CI</t>
  </si>
  <si>
    <t>VIC3204BENTLEIGH</t>
  </si>
  <si>
    <t>V0243839739405</t>
  </si>
  <si>
    <t>HSV 92BT</t>
  </si>
  <si>
    <t>NSW2486TWEED HEADS SOUTH</t>
  </si>
  <si>
    <t>V0534991805369</t>
  </si>
  <si>
    <t>HOND95BM</t>
  </si>
  <si>
    <t>QLD4350Toowoomba</t>
  </si>
  <si>
    <t>V0506465346399</t>
  </si>
  <si>
    <t>CHRY04AJ</t>
  </si>
  <si>
    <t>NSW2217Kogarah Bay</t>
  </si>
  <si>
    <t>V0620588929863</t>
  </si>
  <si>
    <t>TOYO07IG</t>
  </si>
  <si>
    <t>V0666488690887</t>
  </si>
  <si>
    <t>NISS95AO</t>
  </si>
  <si>
    <t>VIC3037Taylors Hill</t>
  </si>
  <si>
    <t>V0616970619191</t>
  </si>
  <si>
    <t>SUZU02BR</t>
  </si>
  <si>
    <t>QLD4032Chermside</t>
  </si>
  <si>
    <t>V0889872475783</t>
  </si>
  <si>
    <t>TOYO94HX</t>
  </si>
  <si>
    <t>V0003363896287</t>
  </si>
  <si>
    <t>NISS90DV</t>
  </si>
  <si>
    <t>QLD4551Little Mountain</t>
  </si>
  <si>
    <t>V0554539881571</t>
  </si>
  <si>
    <t>KIA 01AG</t>
  </si>
  <si>
    <t>QLD4860Innisfail</t>
  </si>
  <si>
    <t>V0091204804613</t>
  </si>
  <si>
    <t>TOYO07FJ</t>
  </si>
  <si>
    <t>V0481135222313</t>
  </si>
  <si>
    <t>HOLD05IB</t>
  </si>
  <si>
    <t>WA6031CARRAMAR</t>
  </si>
  <si>
    <t>V0027839798620</t>
  </si>
  <si>
    <t>NISS03DB</t>
  </si>
  <si>
    <t>V0595406099787</t>
  </si>
  <si>
    <t>TOYO02GB</t>
  </si>
  <si>
    <t>QLD4073SEVENTEEN MILE ROCKS</t>
  </si>
  <si>
    <t>V0670854430940</t>
  </si>
  <si>
    <t>CHRY02AJ</t>
  </si>
  <si>
    <t>WA6024Greenwood</t>
  </si>
  <si>
    <t>V0349525512415</t>
  </si>
  <si>
    <t>TOYO99AZ</t>
  </si>
  <si>
    <t>NSW2260Terrigal</t>
  </si>
  <si>
    <t>V0345212807687</t>
  </si>
  <si>
    <t>MAZD06AV</t>
  </si>
  <si>
    <t>QLD4101HIGHGATE HILL</t>
  </si>
  <si>
    <t>V0340764166692</t>
  </si>
  <si>
    <t>MAZD06AE</t>
  </si>
  <si>
    <t>QLD4069Kenmore</t>
  </si>
  <si>
    <t>V0547314258132</t>
  </si>
  <si>
    <t>MAZD93BG</t>
  </si>
  <si>
    <t>SA5048HOVE</t>
  </si>
  <si>
    <t>V0724434873044</t>
  </si>
  <si>
    <t>FORD08LN</t>
  </si>
  <si>
    <t>VIC3076Epping</t>
  </si>
  <si>
    <t>V0450020386400</t>
  </si>
  <si>
    <t>HOND02CV</t>
  </si>
  <si>
    <t>NSW2761Oakhurst</t>
  </si>
  <si>
    <t>V0202447774581</t>
  </si>
  <si>
    <t>RENA02AU</t>
  </si>
  <si>
    <t>VIC3054Carlton North</t>
  </si>
  <si>
    <t>V0091848690271</t>
  </si>
  <si>
    <t>MITS00IH</t>
  </si>
  <si>
    <t>NSW2176Greenfield Park</t>
  </si>
  <si>
    <t>V0291352118077</t>
  </si>
  <si>
    <t>HOLD05FP</t>
  </si>
  <si>
    <t>V0164117399838</t>
  </si>
  <si>
    <t>NISS05CJ</t>
  </si>
  <si>
    <t>NSW2565Ingleburn</t>
  </si>
  <si>
    <t>V0632411651961</t>
  </si>
  <si>
    <t>BMW 86AB</t>
  </si>
  <si>
    <t>V0505517847330</t>
  </si>
  <si>
    <t>FORD07MS</t>
  </si>
  <si>
    <t>VIC3188Hampton East</t>
  </si>
  <si>
    <t>V0712312269021</t>
  </si>
  <si>
    <t>TOYO05FW</t>
  </si>
  <si>
    <t>QLD4064Paddington</t>
  </si>
  <si>
    <t>V0119849247434</t>
  </si>
  <si>
    <t>SUBA00BN</t>
  </si>
  <si>
    <t>QLD4670Bundaberg</t>
  </si>
  <si>
    <t>V0222052483828</t>
  </si>
  <si>
    <t>DAEW02AF</t>
  </si>
  <si>
    <t>VIC3201CARRUM DOWNS</t>
  </si>
  <si>
    <t>V0459052651100</t>
  </si>
  <si>
    <t>NISS99AX</t>
  </si>
  <si>
    <t>SA5085Northfield</t>
  </si>
  <si>
    <t>V0195704704669</t>
  </si>
  <si>
    <t>HOLD01AN</t>
  </si>
  <si>
    <t>NSW2225Oyster Bay</t>
  </si>
  <si>
    <t>V0215441258436</t>
  </si>
  <si>
    <t>MITS91AR</t>
  </si>
  <si>
    <t>QLD4152Carina</t>
  </si>
  <si>
    <t>V0956612205324</t>
  </si>
  <si>
    <t>NISS97FF</t>
  </si>
  <si>
    <t>VIC3070Northcote</t>
  </si>
  <si>
    <t>V0471323503288</t>
  </si>
  <si>
    <t>CHRY00AE</t>
  </si>
  <si>
    <t>QLD4030Windsor</t>
  </si>
  <si>
    <t>V0933592715238</t>
  </si>
  <si>
    <t>MAZD07AG</t>
  </si>
  <si>
    <t>V0987466257326</t>
  </si>
  <si>
    <t>HOLD05BQ</t>
  </si>
  <si>
    <t>WA6030Clarkson</t>
  </si>
  <si>
    <t>V0919856202154</t>
  </si>
  <si>
    <t>HOND99RM</t>
  </si>
  <si>
    <t>QLD4115Parkinson</t>
  </si>
  <si>
    <t>V0074884381410</t>
  </si>
  <si>
    <t>HOND00RM</t>
  </si>
  <si>
    <t>QLD4211Pacific Pines</t>
  </si>
  <si>
    <t>V0160377651777</t>
  </si>
  <si>
    <t>VOLK99AJ</t>
  </si>
  <si>
    <t>NSW2011Rushcutters Bay</t>
  </si>
  <si>
    <t>V0583362886164</t>
  </si>
  <si>
    <t>JEEP06BB</t>
  </si>
  <si>
    <t>NSW2107Bilgola</t>
  </si>
  <si>
    <t>V0284279995873</t>
  </si>
  <si>
    <t>NSW2218Carlton</t>
  </si>
  <si>
    <t>V0554898529464</t>
  </si>
  <si>
    <t>MERC99AV</t>
  </si>
  <si>
    <t>NSW2047DRUMMOYNE</t>
  </si>
  <si>
    <t>V0616120533432</t>
  </si>
  <si>
    <t>MAZD05BF</t>
  </si>
  <si>
    <t>NSW2045HABERFIELD</t>
  </si>
  <si>
    <t>V0002469168427</t>
  </si>
  <si>
    <t>TOYO02EP</t>
  </si>
  <si>
    <t>V0519431920034</t>
  </si>
  <si>
    <t>MITS97GF</t>
  </si>
  <si>
    <t>QLD4506Morayfield</t>
  </si>
  <si>
    <t>V0223980656840</t>
  </si>
  <si>
    <t>FORD07DR</t>
  </si>
  <si>
    <t>NSW2298Waratah West</t>
  </si>
  <si>
    <t>V0982563107543</t>
  </si>
  <si>
    <t>PEUG02AA</t>
  </si>
  <si>
    <t>NSW2068WILLOUGHBY EAST</t>
  </si>
  <si>
    <t>V0594415291979</t>
  </si>
  <si>
    <t>AUDI97AF</t>
  </si>
  <si>
    <t>V0673692539095</t>
  </si>
  <si>
    <t>MAZD03BU</t>
  </si>
  <si>
    <t>QLD4868Bayview Heights</t>
  </si>
  <si>
    <t>V0665294431633</t>
  </si>
  <si>
    <t>TOYO90AJ</t>
  </si>
  <si>
    <t>ACT2611Chapman</t>
  </si>
  <si>
    <t>V0732452234208</t>
  </si>
  <si>
    <t>HYUN98BR</t>
  </si>
  <si>
    <t>NSW2340Dungowan</t>
  </si>
  <si>
    <t>V0253369757130</t>
  </si>
  <si>
    <t>MAZD04BB</t>
  </si>
  <si>
    <t>V0542839834454</t>
  </si>
  <si>
    <t>TOYO06IJ</t>
  </si>
  <si>
    <t>NSW2560Woodbine</t>
  </si>
  <si>
    <t>V0532030351391</t>
  </si>
  <si>
    <t>MITS99FT</t>
  </si>
  <si>
    <t>QLD4077Durack</t>
  </si>
  <si>
    <t>V0334209296919</t>
  </si>
  <si>
    <t>NSW2444Lighthouse Beach</t>
  </si>
  <si>
    <t>V0470392132849</t>
  </si>
  <si>
    <t>BMW 93AZ</t>
  </si>
  <si>
    <t>NSW2484Murwillumbah</t>
  </si>
  <si>
    <t>V0311098116311</t>
  </si>
  <si>
    <t>MAZD03BI</t>
  </si>
  <si>
    <t>V0822569518287</t>
  </si>
  <si>
    <t>HOLD03HB</t>
  </si>
  <si>
    <t>QLD4215Southport</t>
  </si>
  <si>
    <t>V0637685609333</t>
  </si>
  <si>
    <t>TOYO05KF</t>
  </si>
  <si>
    <t>NSW2194CAMPSIE</t>
  </si>
  <si>
    <t>V0933473280367</t>
  </si>
  <si>
    <t>HYUN99BA</t>
  </si>
  <si>
    <t>NSW2251Green Point</t>
  </si>
  <si>
    <t>V0339511465651</t>
  </si>
  <si>
    <t>HOLD02IH</t>
  </si>
  <si>
    <t>V0031897254354</t>
  </si>
  <si>
    <t>FORD04EF</t>
  </si>
  <si>
    <t>V0435165096207</t>
  </si>
  <si>
    <t>FIAT08BR</t>
  </si>
  <si>
    <t>NSW2122Marsfield</t>
  </si>
  <si>
    <t>V0463725657356</t>
  </si>
  <si>
    <t>TOYO07CP</t>
  </si>
  <si>
    <t>NSW2257UMINA BEACH</t>
  </si>
  <si>
    <t>V0608029273150</t>
  </si>
  <si>
    <t>SUBA98CT</t>
  </si>
  <si>
    <t>WA6057High Wycombe</t>
  </si>
  <si>
    <t>V0976341000197</t>
  </si>
  <si>
    <t>HYUN03BX</t>
  </si>
  <si>
    <t>NSW2159Galston</t>
  </si>
  <si>
    <t>V0625454411784</t>
  </si>
  <si>
    <t>HOND99RY</t>
  </si>
  <si>
    <t>WA6023Duncraig</t>
  </si>
  <si>
    <t>V0010196495014</t>
  </si>
  <si>
    <t>TOYO06CD</t>
  </si>
  <si>
    <t>NSW2232Kirrawee</t>
  </si>
  <si>
    <t>V0210287526819</t>
  </si>
  <si>
    <t>FORD03BY</t>
  </si>
  <si>
    <t>NSW2234MENAI</t>
  </si>
  <si>
    <t>V0336810781980</t>
  </si>
  <si>
    <t>PEUG00BE</t>
  </si>
  <si>
    <t>NSW2155KELLYVILLE RIDGE</t>
  </si>
  <si>
    <t>V0310379130284</t>
  </si>
  <si>
    <t>VIC3355WENDOUREE</t>
  </si>
  <si>
    <t>V0771953824811</t>
  </si>
  <si>
    <t>TOYO03DY</t>
  </si>
  <si>
    <t>NT0870BRAITLING</t>
  </si>
  <si>
    <t>V0462953168309</t>
  </si>
  <si>
    <t>HOLD06AK</t>
  </si>
  <si>
    <t>NSW2209NARWEE</t>
  </si>
  <si>
    <t>V0522894089758</t>
  </si>
  <si>
    <t>FORD02MQ</t>
  </si>
  <si>
    <t>NSW2621BUNGENDORE</t>
  </si>
  <si>
    <t>V0352064384761</t>
  </si>
  <si>
    <t>KIA 04AG</t>
  </si>
  <si>
    <t>NSW2770Blackett</t>
  </si>
  <si>
    <t>V0754654238525</t>
  </si>
  <si>
    <t>MITS03DN</t>
  </si>
  <si>
    <t>NSW2220HURSTVILLE</t>
  </si>
  <si>
    <t>V0909190811024</t>
  </si>
  <si>
    <t>VOLV00DH</t>
  </si>
  <si>
    <t>SA5082PROSPECT</t>
  </si>
  <si>
    <t>V0567992098711</t>
  </si>
  <si>
    <t>NISS99BP</t>
  </si>
  <si>
    <t>VIC3810PAKENHAM</t>
  </si>
  <si>
    <t>V0576829984697</t>
  </si>
  <si>
    <t>DAIH96DG</t>
  </si>
  <si>
    <t>QLD4660Woodgate</t>
  </si>
  <si>
    <t>V0815155360197</t>
  </si>
  <si>
    <t>MITS07CV</t>
  </si>
  <si>
    <t>V0141059455412</t>
  </si>
  <si>
    <t>NSW2195Lakemba</t>
  </si>
  <si>
    <t>V0396953163550</t>
  </si>
  <si>
    <t>DAEW98BC</t>
  </si>
  <si>
    <t>NSW2190Greenacre</t>
  </si>
  <si>
    <t>V0004328533944</t>
  </si>
  <si>
    <t>LEXU00AH</t>
  </si>
  <si>
    <t>NSW2250NARARA</t>
  </si>
  <si>
    <t>V0117847587431</t>
  </si>
  <si>
    <t>NSW2233Heathcote</t>
  </si>
  <si>
    <t>V0337568741830</t>
  </si>
  <si>
    <t>HOLD94DM</t>
  </si>
  <si>
    <t>NSW2148Marayong</t>
  </si>
  <si>
    <t>V0204359280006</t>
  </si>
  <si>
    <t>DAIH90BY</t>
  </si>
  <si>
    <t>NSW2074North Turramurra</t>
  </si>
  <si>
    <t>V0923705257947</t>
  </si>
  <si>
    <t>MERC99CU</t>
  </si>
  <si>
    <t>NSW2760St Marys</t>
  </si>
  <si>
    <t>V0735938804666</t>
  </si>
  <si>
    <t>MAZD97CN</t>
  </si>
  <si>
    <t>WA6280Busselton</t>
  </si>
  <si>
    <t>V0714704131930</t>
  </si>
  <si>
    <t>TOYO92HW</t>
  </si>
  <si>
    <t>V0601856626384</t>
  </si>
  <si>
    <t>SUBA91AN</t>
  </si>
  <si>
    <t>QLD4128SHAILER PARK</t>
  </si>
  <si>
    <t>V0761444069437</t>
  </si>
  <si>
    <t>HOND02EM</t>
  </si>
  <si>
    <t>V0359987731390</t>
  </si>
  <si>
    <t>TOYO06HV</t>
  </si>
  <si>
    <t>QLD4132Crestmead</t>
  </si>
  <si>
    <t>V0932185055669</t>
  </si>
  <si>
    <t>NISS02BM</t>
  </si>
  <si>
    <t>V0285607748406</t>
  </si>
  <si>
    <t>JEEP06CD</t>
  </si>
  <si>
    <t>QLD4818Bushland Beach</t>
  </si>
  <si>
    <t>V0520668580630</t>
  </si>
  <si>
    <t>NISS00BT</t>
  </si>
  <si>
    <t>NSW2795Bathurst</t>
  </si>
  <si>
    <t>V0250007152807</t>
  </si>
  <si>
    <t>HOND08IO</t>
  </si>
  <si>
    <t>QLD4556Buderim</t>
  </si>
  <si>
    <t>V0854047192292</t>
  </si>
  <si>
    <t>FORD95BP</t>
  </si>
  <si>
    <t>NSW2170Liverpool</t>
  </si>
  <si>
    <t>V0839405948186</t>
  </si>
  <si>
    <t>NISS97CB</t>
  </si>
  <si>
    <t>QLD4401Oakey</t>
  </si>
  <si>
    <t>V0966597855330</t>
  </si>
  <si>
    <t>HOND03AU</t>
  </si>
  <si>
    <t>VIC3976Hampton Park</t>
  </si>
  <si>
    <t>V0155620660210</t>
  </si>
  <si>
    <t>BMW 06CB</t>
  </si>
  <si>
    <t>NSW2025Woollahra</t>
  </si>
  <si>
    <t>V0708564526104</t>
  </si>
  <si>
    <t>MITS92BG</t>
  </si>
  <si>
    <t>QLD4883Atherton</t>
  </si>
  <si>
    <t>V0656527674162</t>
  </si>
  <si>
    <t>SUBA01BD</t>
  </si>
  <si>
    <t>NSW2062CAMMERAY</t>
  </si>
  <si>
    <t>V0446408073920</t>
  </si>
  <si>
    <t>HOLD95HM</t>
  </si>
  <si>
    <t>VIC3172Dingley Village</t>
  </si>
  <si>
    <t>V0107428496991</t>
  </si>
  <si>
    <t>V0142867669082</t>
  </si>
  <si>
    <t>NISS93EQ</t>
  </si>
  <si>
    <t>VIC3190HIGHETT</t>
  </si>
  <si>
    <t>V0757542392614</t>
  </si>
  <si>
    <t>HOND08JC</t>
  </si>
  <si>
    <t>NSW2486Banora Point</t>
  </si>
  <si>
    <t>V0875350117507</t>
  </si>
  <si>
    <t>MAZD04BF</t>
  </si>
  <si>
    <t>NSW2228Miranda</t>
  </si>
  <si>
    <t>V0890047495211</t>
  </si>
  <si>
    <t>TOYO06DD</t>
  </si>
  <si>
    <t>V0326575107026</t>
  </si>
  <si>
    <t>HOLD98BP</t>
  </si>
  <si>
    <t>NSW2256Woy Woy</t>
  </si>
  <si>
    <t>V0425043994701</t>
  </si>
  <si>
    <t>TOYO98AM</t>
  </si>
  <si>
    <t>QLD4165VICTORIA POINT</t>
  </si>
  <si>
    <t>V0537319042202</t>
  </si>
  <si>
    <t>HOND00SC</t>
  </si>
  <si>
    <t>NSW2133Croydon Park</t>
  </si>
  <si>
    <t>V0882020679824</t>
  </si>
  <si>
    <t>TOYO05EK</t>
  </si>
  <si>
    <t>NSW2179Leppington</t>
  </si>
  <si>
    <t>V0338917755422</t>
  </si>
  <si>
    <t>TOYO07DY</t>
  </si>
  <si>
    <t>QLD4218Mermaid Waters</t>
  </si>
  <si>
    <t>V0539883684423</t>
  </si>
  <si>
    <t>FORD05MN</t>
  </si>
  <si>
    <t>QLD4670Moore Park Beach</t>
  </si>
  <si>
    <t>V0653312010762</t>
  </si>
  <si>
    <t>FORD06NZ</t>
  </si>
  <si>
    <t>V0974461716161</t>
  </si>
  <si>
    <t>HOLD99BE</t>
  </si>
  <si>
    <t>V0106774411677</t>
  </si>
  <si>
    <t>MITS02BY</t>
  </si>
  <si>
    <t>QLD4560Bli Bli</t>
  </si>
  <si>
    <t>V0918498894091</t>
  </si>
  <si>
    <t>TOYO05DG</t>
  </si>
  <si>
    <t>V0584593397742</t>
  </si>
  <si>
    <t>NISS06BK</t>
  </si>
  <si>
    <t>QLD4740Mackay West</t>
  </si>
  <si>
    <t>V0132028462612</t>
  </si>
  <si>
    <t>MITS91CZ</t>
  </si>
  <si>
    <t>V0713899228434</t>
  </si>
  <si>
    <t>VOLK02BH</t>
  </si>
  <si>
    <t>V0429477987296</t>
  </si>
  <si>
    <t>DAEW99AP</t>
  </si>
  <si>
    <t>VIC3029Tarneit</t>
  </si>
  <si>
    <t>V0474394793313</t>
  </si>
  <si>
    <t>TOYO05IW</t>
  </si>
  <si>
    <t>V0995847719264</t>
  </si>
  <si>
    <t>SUZU00RF</t>
  </si>
  <si>
    <t>VIC3747Beechworth</t>
  </si>
  <si>
    <t>V0125319283226</t>
  </si>
  <si>
    <t>DAEW99AH</t>
  </si>
  <si>
    <t>NSW2480East Lismore</t>
  </si>
  <si>
    <t>V0572123078969</t>
  </si>
  <si>
    <t>HYUN08BJ</t>
  </si>
  <si>
    <t>V0261308260494</t>
  </si>
  <si>
    <t>TOYO05KD</t>
  </si>
  <si>
    <t>NSW2122MARSFIELD</t>
  </si>
  <si>
    <t>V0676548238919</t>
  </si>
  <si>
    <t>CHRY03AL</t>
  </si>
  <si>
    <t>VIC3199Frankston</t>
  </si>
  <si>
    <t>V0735294885209</t>
  </si>
  <si>
    <t>VIC3030Point Cook</t>
  </si>
  <si>
    <t>V0619247347105</t>
  </si>
  <si>
    <t>SUZU02CJ</t>
  </si>
  <si>
    <t>V0179663435851</t>
  </si>
  <si>
    <t>HOLD03CP</t>
  </si>
  <si>
    <t>NSW2340Tamworth</t>
  </si>
  <si>
    <t>V0119803659182</t>
  </si>
  <si>
    <t>FORD96AC</t>
  </si>
  <si>
    <t>WA6163Hamilton Hill</t>
  </si>
  <si>
    <t>V0672953378160</t>
  </si>
  <si>
    <t>TOYO05IZ</t>
  </si>
  <si>
    <t>NSW2064ARTARMON</t>
  </si>
  <si>
    <t>V0519463131857</t>
  </si>
  <si>
    <t>HOND05DF</t>
  </si>
  <si>
    <t>VIC3070NORTHCOTE</t>
  </si>
  <si>
    <t>V0598182678358</t>
  </si>
  <si>
    <t>HOLD05DM</t>
  </si>
  <si>
    <t>SA5000ADELAIDE</t>
  </si>
  <si>
    <t>SA5085ENFIELD</t>
  </si>
  <si>
    <t>V0991810111686</t>
  </si>
  <si>
    <t>HOLD99CO</t>
  </si>
  <si>
    <t>NSW2203DULWICH HILL</t>
  </si>
  <si>
    <t>V0652982110600</t>
  </si>
  <si>
    <t>NISS04AJ</t>
  </si>
  <si>
    <t>VIC3161CAULFIELD NORTH</t>
  </si>
  <si>
    <t>V0116047202938</t>
  </si>
  <si>
    <t>TOYO98AZ</t>
  </si>
  <si>
    <t>V0713701268331</t>
  </si>
  <si>
    <t>MAZD06EX</t>
  </si>
  <si>
    <t>NSW2145WESTMEAD</t>
  </si>
  <si>
    <t>V0265710948181</t>
  </si>
  <si>
    <t>HOLD00CU</t>
  </si>
  <si>
    <t>V0094882865121</t>
  </si>
  <si>
    <t>FORD96CN</t>
  </si>
  <si>
    <t>NSW2060MCMAHONS POINT</t>
  </si>
  <si>
    <t>V0089744617066</t>
  </si>
  <si>
    <t>VIC3192Cheltenham</t>
  </si>
  <si>
    <t>V0000182664964</t>
  </si>
  <si>
    <t>TOYO03BK</t>
  </si>
  <si>
    <t>NSW2220Hurstville</t>
  </si>
  <si>
    <t>V0922785158585</t>
  </si>
  <si>
    <t>NSW2380Gunnedah</t>
  </si>
  <si>
    <t>V0063290870082</t>
  </si>
  <si>
    <t>TOYO00IW</t>
  </si>
  <si>
    <t>NSW2782Wentworth Falls</t>
  </si>
  <si>
    <t>V0997523071787</t>
  </si>
  <si>
    <t>SUZU00UG</t>
  </si>
  <si>
    <t>NSW2753Grose Wold</t>
  </si>
  <si>
    <t>V0669282481906</t>
  </si>
  <si>
    <t>FORD90EM</t>
  </si>
  <si>
    <t>NSW2260TERRIGAL</t>
  </si>
  <si>
    <t>V0036904583938</t>
  </si>
  <si>
    <t>HOND96AW</t>
  </si>
  <si>
    <t>NSW2232Sutherland</t>
  </si>
  <si>
    <t>V0484728440486</t>
  </si>
  <si>
    <t>HOLD99GD</t>
  </si>
  <si>
    <t>NSW2567CURRANS HILL</t>
  </si>
  <si>
    <t>V0381496407417</t>
  </si>
  <si>
    <t>NISS97BR</t>
  </si>
  <si>
    <t>WA6239Donnybrook</t>
  </si>
  <si>
    <t>V0851165250628</t>
  </si>
  <si>
    <t>TOYO01GH</t>
  </si>
  <si>
    <t>NSW2147Kings Langley</t>
  </si>
  <si>
    <t>V0982450133665</t>
  </si>
  <si>
    <t>FORD03CM</t>
  </si>
  <si>
    <t>V0279590349205</t>
  </si>
  <si>
    <t>HOLD93BD</t>
  </si>
  <si>
    <t>QLD4702THE CAVES</t>
  </si>
  <si>
    <t>V0576625317882</t>
  </si>
  <si>
    <t>NISS05CE</t>
  </si>
  <si>
    <t>QLD4214Molendinar</t>
  </si>
  <si>
    <t>V0246176341669</t>
  </si>
  <si>
    <t>MITS04HM</t>
  </si>
  <si>
    <t>QLD4870Whitfield</t>
  </si>
  <si>
    <t>V0242379993934</t>
  </si>
  <si>
    <t>LEXU00AL</t>
  </si>
  <si>
    <t>NSW2291Merewether</t>
  </si>
  <si>
    <t>V0968693367354</t>
  </si>
  <si>
    <t>FORD00GW</t>
  </si>
  <si>
    <t>VIC3058Coburg</t>
  </si>
  <si>
    <t>V0780568787951</t>
  </si>
  <si>
    <t>JAGU95AR</t>
  </si>
  <si>
    <t>VIC3054PRINCES HILL</t>
  </si>
  <si>
    <t>V0838090839564</t>
  </si>
  <si>
    <t>HYUN05CH</t>
  </si>
  <si>
    <t>V0855367200408</t>
  </si>
  <si>
    <t>HYUN99BK</t>
  </si>
  <si>
    <t>VIC3037SYDENHAM</t>
  </si>
  <si>
    <t>V0338434563565</t>
  </si>
  <si>
    <t>HOND05EJ</t>
  </si>
  <si>
    <t>V0031778965620</t>
  </si>
  <si>
    <t>TOYO07FT</t>
  </si>
  <si>
    <t>NSW2093Balgowlah</t>
  </si>
  <si>
    <t>V0307617291136</t>
  </si>
  <si>
    <t>LAND98HA</t>
  </si>
  <si>
    <t>VIC3444KYNETON</t>
  </si>
  <si>
    <t>V0078588541168</t>
  </si>
  <si>
    <t>HOLD91EZ</t>
  </si>
  <si>
    <t>V0498595430122</t>
  </si>
  <si>
    <t>NISS89EI</t>
  </si>
  <si>
    <t>V0811766164477</t>
  </si>
  <si>
    <t>TOYO92DD</t>
  </si>
  <si>
    <t>NSW2502Lake Heights</t>
  </si>
  <si>
    <t>V0218609557276</t>
  </si>
  <si>
    <t>MITS02CA</t>
  </si>
  <si>
    <t>NSW2620Queanbeyan</t>
  </si>
  <si>
    <t>V0152078142848</t>
  </si>
  <si>
    <t>MERC07GS</t>
  </si>
  <si>
    <t>NSW2122Eastwood</t>
  </si>
  <si>
    <t>V0289442876366</t>
  </si>
  <si>
    <t>DAEW01AE</t>
  </si>
  <si>
    <t>QLD4012Nundah</t>
  </si>
  <si>
    <t>V0941649532239</t>
  </si>
  <si>
    <t>ACT2906Conder</t>
  </si>
  <si>
    <t>V0589510873449</t>
  </si>
  <si>
    <t>FORD04CY</t>
  </si>
  <si>
    <t>NSW2287Wallsend</t>
  </si>
  <si>
    <t>V0081951962636</t>
  </si>
  <si>
    <t>MITS05CC</t>
  </si>
  <si>
    <t>WA6019SCARBOROUGH</t>
  </si>
  <si>
    <t>V0187367945496</t>
  </si>
  <si>
    <t>HYUN98AS</t>
  </si>
  <si>
    <t>VIC3976HAMPTON PARK</t>
  </si>
  <si>
    <t>V0906883906324</t>
  </si>
  <si>
    <t>V0602278277089</t>
  </si>
  <si>
    <t>MINI05BA</t>
  </si>
  <si>
    <t>V0416624596976</t>
  </si>
  <si>
    <t>HYUN00AQ</t>
  </si>
  <si>
    <t>NT0851Katherine</t>
  </si>
  <si>
    <t>V0716291792650</t>
  </si>
  <si>
    <t>HOLD95HQ</t>
  </si>
  <si>
    <t>NSW2066Lane Cove</t>
  </si>
  <si>
    <t>V0900455528544</t>
  </si>
  <si>
    <t>MAZD00BQ</t>
  </si>
  <si>
    <t>NSW2305New Lambton</t>
  </si>
  <si>
    <t>V0199066352171</t>
  </si>
  <si>
    <t>HYUN05CQ</t>
  </si>
  <si>
    <t>V0422065648249</t>
  </si>
  <si>
    <t>V0308309455818</t>
  </si>
  <si>
    <t>MITS93BX</t>
  </si>
  <si>
    <t>VIC3021Kealba</t>
  </si>
  <si>
    <t>V0884489653833</t>
  </si>
  <si>
    <t>FORD93DG</t>
  </si>
  <si>
    <t>SA5073HECTORVILLE</t>
  </si>
  <si>
    <t>V0696344689136</t>
  </si>
  <si>
    <t>NISS89FP</t>
  </si>
  <si>
    <t>NSW2176Edensor Park</t>
  </si>
  <si>
    <t>V0015043925338</t>
  </si>
  <si>
    <t>HOLD02BH</t>
  </si>
  <si>
    <t>NSW2221SOUTH HURSTVILLE</t>
  </si>
  <si>
    <t>V0047193981538</t>
  </si>
  <si>
    <t>LAND01AZ</t>
  </si>
  <si>
    <t>QLD4017Deagon</t>
  </si>
  <si>
    <t>V0563052046287</t>
  </si>
  <si>
    <t>TOYO03AP</t>
  </si>
  <si>
    <t>QLD4116Calamvale</t>
  </si>
  <si>
    <t>V0483761695459</t>
  </si>
  <si>
    <t>LAND97AF</t>
  </si>
  <si>
    <t>V0487601821118</t>
  </si>
  <si>
    <t>HOLD01CH</t>
  </si>
  <si>
    <t>VIC3064CRAIGIEBURN</t>
  </si>
  <si>
    <t>V0769669552163</t>
  </si>
  <si>
    <t>HOND04CY</t>
  </si>
  <si>
    <t>V0095733139400</t>
  </si>
  <si>
    <t>TOYO98KD</t>
  </si>
  <si>
    <t>NSW2428Forster</t>
  </si>
  <si>
    <t>V0174644209445</t>
  </si>
  <si>
    <t>HOND92CB</t>
  </si>
  <si>
    <t>VIC3690West Wodonga</t>
  </si>
  <si>
    <t>V0027667255998</t>
  </si>
  <si>
    <t>HYUN03AT</t>
  </si>
  <si>
    <t>NSW2285Glendale</t>
  </si>
  <si>
    <t>V0895689535415</t>
  </si>
  <si>
    <t>NISS04CR</t>
  </si>
  <si>
    <t>V0269992762205</t>
  </si>
  <si>
    <t>TOYO06BP</t>
  </si>
  <si>
    <t>NSW2171Cecil Hills</t>
  </si>
  <si>
    <t>V0948615544343</t>
  </si>
  <si>
    <t>SUZU01UD</t>
  </si>
  <si>
    <t>NSW2767Doonside</t>
  </si>
  <si>
    <t>V0807128842340</t>
  </si>
  <si>
    <t>HOLD94CS</t>
  </si>
  <si>
    <t>V0314776399928</t>
  </si>
  <si>
    <t>WA6019Scarborough</t>
  </si>
  <si>
    <t>V0229655880490</t>
  </si>
  <si>
    <t>MAZD06BT</t>
  </si>
  <si>
    <t>V0421964634315</t>
  </si>
  <si>
    <t>NSW2155KELLYVILLE</t>
  </si>
  <si>
    <t>V0138882163453</t>
  </si>
  <si>
    <t>TOYO05AO</t>
  </si>
  <si>
    <t>VIC3630Shepparton</t>
  </si>
  <si>
    <t>V0945727761342</t>
  </si>
  <si>
    <t>TOYO98AI</t>
  </si>
  <si>
    <t>V0271383018418</t>
  </si>
  <si>
    <t>HYUN00AZ</t>
  </si>
  <si>
    <t>NSW2037Glebe</t>
  </si>
  <si>
    <t>V0053872728085</t>
  </si>
  <si>
    <t>HOND05DL</t>
  </si>
  <si>
    <t>V0457575083751</t>
  </si>
  <si>
    <t>FORD97IM</t>
  </si>
  <si>
    <t>V0369845856318</t>
  </si>
  <si>
    <t>TOYO98IR</t>
  </si>
  <si>
    <t>WA6230Dalyellup</t>
  </si>
  <si>
    <t>V0354460163574</t>
  </si>
  <si>
    <t>DAEW01AD</t>
  </si>
  <si>
    <t>V0215382303493</t>
  </si>
  <si>
    <t>HYUN05AU</t>
  </si>
  <si>
    <t>NSW2430Taree</t>
  </si>
  <si>
    <t>V0948389276157</t>
  </si>
  <si>
    <t>HOLD03NH</t>
  </si>
  <si>
    <t>QLD4214ARUNDEL</t>
  </si>
  <si>
    <t>V0989398857152</t>
  </si>
  <si>
    <t>MAZD07AV</t>
  </si>
  <si>
    <t>V0702343191404</t>
  </si>
  <si>
    <t>MINI07BW</t>
  </si>
  <si>
    <t>QLD4122MANSFIELD</t>
  </si>
  <si>
    <t>V0366724295371</t>
  </si>
  <si>
    <t>FORD94FI</t>
  </si>
  <si>
    <t>VIC3032MARIBYRNONG</t>
  </si>
  <si>
    <t>V0392992299336</t>
  </si>
  <si>
    <t>HOND05DO</t>
  </si>
  <si>
    <t>NSW2024WAVERLEY</t>
  </si>
  <si>
    <t>V0475739371117</t>
  </si>
  <si>
    <t>MAZD03BP</t>
  </si>
  <si>
    <t>V0917649565699</t>
  </si>
  <si>
    <t>FORD04EG</t>
  </si>
  <si>
    <t>QLD4103ANNERLEY</t>
  </si>
  <si>
    <t>V0143116303907</t>
  </si>
  <si>
    <t>HOND95CO</t>
  </si>
  <si>
    <t>NSW2536Long Beach</t>
  </si>
  <si>
    <t>V0750294394129</t>
  </si>
  <si>
    <t>TOYO98FF</t>
  </si>
  <si>
    <t>NSW2790Lithgow</t>
  </si>
  <si>
    <t>V0777366985147</t>
  </si>
  <si>
    <t>HOLD89BT</t>
  </si>
  <si>
    <t>SA5012Athol Park</t>
  </si>
  <si>
    <t>V0867986041024</t>
  </si>
  <si>
    <t>JEEP08CU</t>
  </si>
  <si>
    <t>NSW2176Abbotsbury</t>
  </si>
  <si>
    <t>V0645299124847</t>
  </si>
  <si>
    <t>HYUN95AR</t>
  </si>
  <si>
    <t>QLD4159Birkdale</t>
  </si>
  <si>
    <t>V0478298305937</t>
  </si>
  <si>
    <t>NISS01AI</t>
  </si>
  <si>
    <t>SA5086Hillcrest</t>
  </si>
  <si>
    <t>V0787903161568</t>
  </si>
  <si>
    <t>LEXU02AJ</t>
  </si>
  <si>
    <t>TAS7310Devonport</t>
  </si>
  <si>
    <t>V0763649869250</t>
  </si>
  <si>
    <t>SUBA06CP</t>
  </si>
  <si>
    <t>VIC3075Lalor</t>
  </si>
  <si>
    <t>V0123474753338</t>
  </si>
  <si>
    <t>KIA 04AI</t>
  </si>
  <si>
    <t>V0445028270002</t>
  </si>
  <si>
    <t>SUBA04BO</t>
  </si>
  <si>
    <t>NT0812LEANYER</t>
  </si>
  <si>
    <t>V0114368794414</t>
  </si>
  <si>
    <t>TOYO00LC</t>
  </si>
  <si>
    <t>ACT2903Wanniassa</t>
  </si>
  <si>
    <t>V0977700215738</t>
  </si>
  <si>
    <t>HOND08GR</t>
  </si>
  <si>
    <t>NSW2250Wyoming</t>
  </si>
  <si>
    <t>W01</t>
  </si>
  <si>
    <t>TOYO07EW</t>
  </si>
  <si>
    <t>QLD4128Shailer Park</t>
  </si>
  <si>
    <t>W02</t>
  </si>
  <si>
    <t>MITS94FR</t>
  </si>
  <si>
    <t>VIC3555Golden Square</t>
  </si>
  <si>
    <t>W03</t>
  </si>
  <si>
    <t>HYUN08CD</t>
  </si>
  <si>
    <t>WA6014WEMBLEY</t>
  </si>
  <si>
    <t>Expected Mileage by Various Categories</t>
  </si>
  <si>
    <t>Ratio</t>
  </si>
  <si>
    <t>Test</t>
  </si>
  <si>
    <t>NONE</t>
  </si>
  <si>
    <t>Base %: Split between Base and Travel component</t>
  </si>
  <si>
    <t>Split_Acc</t>
  </si>
  <si>
    <t>Split_Th</t>
  </si>
  <si>
    <t>Split_Hail</t>
  </si>
  <si>
    <t>Split_WS</t>
  </si>
  <si>
    <t>Split_3rd</t>
  </si>
  <si>
    <t>Split_Fire</t>
  </si>
  <si>
    <t>Split_Liab</t>
  </si>
  <si>
    <t>Split_Cost</t>
  </si>
  <si>
    <t>Age_Loading</t>
  </si>
  <si>
    <t xml:space="preserve">Parameters for mileage $ loading </t>
  </si>
  <si>
    <t>test:</t>
  </si>
  <si>
    <t>Travel Rates</t>
  </si>
  <si>
    <t>bAcc_Hire</t>
  </si>
  <si>
    <t>bMin_KM_Prem</t>
  </si>
  <si>
    <t>Young Female</t>
  </si>
  <si>
    <t>Accident</t>
  </si>
  <si>
    <t>Age and Gender Table for Accident and Theft Frequency. Page 1.</t>
  </si>
  <si>
    <t>Theft</t>
  </si>
  <si>
    <t>Age and Gender Table for Accident and Theft Frequency. Page 2.</t>
  </si>
  <si>
    <t>Young Male</t>
  </si>
  <si>
    <t>Vehicle Extras fitted after market</t>
  </si>
  <si>
    <t>ExtraTypeDesc</t>
  </si>
  <si>
    <t>ExtraTypeCategory</t>
  </si>
  <si>
    <t>No Extras</t>
  </si>
  <si>
    <t>Air Conditioner</t>
  </si>
  <si>
    <t>Airbag(S)</t>
  </si>
  <si>
    <t>Alloy Standard Size</t>
  </si>
  <si>
    <t>AMG Kit / Conversion</t>
  </si>
  <si>
    <t>Amplifier</t>
  </si>
  <si>
    <t>BODY KIT</t>
  </si>
  <si>
    <t>Body Kit Complete</t>
  </si>
  <si>
    <t>BONNET SCOOPS</t>
  </si>
  <si>
    <t>Boot Speakers</t>
  </si>
  <si>
    <t>Brakes Anti Lock</t>
  </si>
  <si>
    <t>Bull Bar</t>
  </si>
  <si>
    <t>CAM SHAFT ALTERATIONS</t>
  </si>
  <si>
    <t>Camper Added</t>
  </si>
  <si>
    <t>Canopy</t>
  </si>
  <si>
    <t>CARBURETTOR ALTERATIONS</t>
  </si>
  <si>
    <t>Cargo Barrier</t>
  </si>
  <si>
    <t>Cb Radio</t>
  </si>
  <si>
    <t>Cd Player/Stacker</t>
  </si>
  <si>
    <t>Central Locking</t>
  </si>
  <si>
    <t>Child Seats</t>
  </si>
  <si>
    <t>COMPUTER CHIP</t>
  </si>
  <si>
    <t>Cruise Control</t>
  </si>
  <si>
    <t>CYLINDER/ENGINE HEAD ALTERATIONS</t>
  </si>
  <si>
    <t>Dicky Seats (Wagon)</t>
  </si>
  <si>
    <t>Dual Fuel Tanks (No Lpg)</t>
  </si>
  <si>
    <t>Duel Fuel/Lpg Conversion</t>
  </si>
  <si>
    <t>DVD Player</t>
  </si>
  <si>
    <t>EXHAUST MODIFICATIONS</t>
  </si>
  <si>
    <t>EXTRACTORS</t>
  </si>
  <si>
    <t>Fabric Protection</t>
  </si>
  <si>
    <t>Fog/Driving Lights</t>
  </si>
  <si>
    <t>Free Wheel Hubs</t>
  </si>
  <si>
    <t>Front Spoiler / Dam</t>
  </si>
  <si>
    <t>GPS / Satelite Navigation</t>
  </si>
  <si>
    <t>Graphic Equaliser</t>
  </si>
  <si>
    <t>HEADERS</t>
  </si>
  <si>
    <t>Leather Interior</t>
  </si>
  <si>
    <t>Locking Nuts</t>
  </si>
  <si>
    <t>Long Range Tank</t>
  </si>
  <si>
    <t>LOWERED</t>
  </si>
  <si>
    <t>MAG WHEELS</t>
  </si>
  <si>
    <t>Non Standard Alloy Wheels</t>
  </si>
  <si>
    <t>NON STANDARD TURBO</t>
  </si>
  <si>
    <t>Nudge Bar</t>
  </si>
  <si>
    <t>Nudge Bar Rear</t>
  </si>
  <si>
    <t>OTHER</t>
  </si>
  <si>
    <t>Paint Protection</t>
  </si>
  <si>
    <t>Paint Signwriting</t>
  </si>
  <si>
    <t>Plastic Covers</t>
  </si>
  <si>
    <t>Plastic Shield(S)</t>
  </si>
  <si>
    <t>Power Windows</t>
  </si>
  <si>
    <t>Radio Cassette</t>
  </si>
  <si>
    <t>RAISED SUSPENSION</t>
  </si>
  <si>
    <t>Rear Lamp</t>
  </si>
  <si>
    <t>Rear Spoiler or Aerofoil</t>
  </si>
  <si>
    <t>Rear Valance Kit</t>
  </si>
  <si>
    <t>Rebirthed Vehicle</t>
  </si>
  <si>
    <t>Reversing Sensors</t>
  </si>
  <si>
    <t>Roll Bar (Utility)</t>
  </si>
  <si>
    <t>Roof Rack</t>
  </si>
  <si>
    <t>Rust Protection</t>
  </si>
  <si>
    <t>Seat Covers</t>
  </si>
  <si>
    <t>Side Skirts</t>
  </si>
  <si>
    <t>Snorkel</t>
  </si>
  <si>
    <t>SPOILER</t>
  </si>
  <si>
    <t>SPORTS STEERING WHEEL</t>
  </si>
  <si>
    <t>Sports Steering Wheel</t>
  </si>
  <si>
    <t>Step Up</t>
  </si>
  <si>
    <t>Sunroof</t>
  </si>
  <si>
    <t>Telephone (Fixed Only)</t>
  </si>
  <si>
    <t>Television</t>
  </si>
  <si>
    <t>Tonneau Cover</t>
  </si>
  <si>
    <t>Tow Bar</t>
  </si>
  <si>
    <t>Tray Top</t>
  </si>
  <si>
    <t>Ute Liner</t>
  </si>
  <si>
    <t>WIDE WHEELS/RIMS</t>
  </si>
  <si>
    <t>Winch</t>
  </si>
  <si>
    <t>Window Louvre/Shade</t>
  </si>
  <si>
    <t>Windows Tinted</t>
  </si>
  <si>
    <t>Bonnet Protector</t>
  </si>
  <si>
    <t>Car Bra</t>
  </si>
  <si>
    <t>Headlight Protector</t>
  </si>
  <si>
    <t>Side Steps/Running Boards</t>
  </si>
  <si>
    <t>Sub Woofer</t>
  </si>
  <si>
    <t>Weather Shield</t>
  </si>
  <si>
    <t>Airbrushed</t>
  </si>
  <si>
    <t xml:space="preserve">Blow Off Valve </t>
  </si>
  <si>
    <t>Cold Air Intake</t>
  </si>
  <si>
    <t xml:space="preserve">Non Standard Boost Controller </t>
  </si>
  <si>
    <t>Non Standard Intercooler</t>
  </si>
  <si>
    <t>Paint Work</t>
  </si>
  <si>
    <t xml:space="preserve">Turbo Timer </t>
  </si>
  <si>
    <t>Super Charger</t>
  </si>
  <si>
    <t>Nitrogen Oxide</t>
  </si>
  <si>
    <t>Tachometer</t>
  </si>
  <si>
    <t>Non Standard Turbo</t>
  </si>
  <si>
    <t>Cylinder / Engine Head Alterations</t>
  </si>
  <si>
    <t>Carburettor Alterations</t>
  </si>
  <si>
    <t>Non Standard Boost Controller</t>
  </si>
  <si>
    <t>Performance Catalytic Converter</t>
  </si>
  <si>
    <t>Blow Off Valve</t>
  </si>
  <si>
    <t>Racing Harness</t>
  </si>
  <si>
    <t>Lowered Suspension</t>
  </si>
  <si>
    <t>Sports Steering</t>
  </si>
  <si>
    <t>Racing / Alloy Pedals</t>
  </si>
  <si>
    <t>Boost Gauge</t>
  </si>
  <si>
    <t>Sports Gear Shift</t>
  </si>
  <si>
    <t>Turbo Timer</t>
  </si>
  <si>
    <t>Roll Bar</t>
  </si>
  <si>
    <t>Sports Air Filter</t>
  </si>
  <si>
    <t>Sports Suspension</t>
  </si>
  <si>
    <t>Performance / Sports Exhaust</t>
  </si>
  <si>
    <t>Full Body Kit</t>
  </si>
  <si>
    <t>Supercharger</t>
  </si>
  <si>
    <t>Additional Seats (Max 2)</t>
  </si>
  <si>
    <t>Air Compressor</t>
  </si>
  <si>
    <t>Brakes Anti Skid or Lock (ABS)</t>
  </si>
  <si>
    <t>CB/UHF Radio</t>
  </si>
  <si>
    <t>CD/MP3 Player/Stacker</t>
  </si>
  <si>
    <t>Central/Remote Locking</t>
  </si>
  <si>
    <t>Duel Batteries</t>
  </si>
  <si>
    <t>Electric Brakes / Trailer Controls</t>
  </si>
  <si>
    <t>GPS / Satellite Navigation</t>
  </si>
  <si>
    <t>Ladder Racks</t>
  </si>
  <si>
    <t>Mobile Phone Kit (Fixed/Hardwired)</t>
  </si>
  <si>
    <t>Reversing Sensors / Camera</t>
  </si>
  <si>
    <t>Shelving/Storage</t>
  </si>
  <si>
    <t>Spare Wheel Cover</t>
  </si>
  <si>
    <t>Stereo/Entertainment System</t>
  </si>
  <si>
    <t>Tonneau Cover (Soft or Hard)</t>
  </si>
  <si>
    <t>Tow Bar / Tow Pack</t>
  </si>
  <si>
    <t>Marital Table for Accident and Theft Frequency</t>
  </si>
  <si>
    <t>Co-habiting</t>
  </si>
  <si>
    <t>Old Claims Table for Accident and Theft Frequency</t>
  </si>
  <si>
    <t>Old Claims</t>
  </si>
  <si>
    <t>Licence Period</t>
  </si>
  <si>
    <t>Parameter Question</t>
  </si>
  <si>
    <t>Vehicle for 4x4 use</t>
  </si>
  <si>
    <t>Other Vehicle</t>
  </si>
  <si>
    <t>tOthVeh_Acc_Freq</t>
  </si>
  <si>
    <t>tOthVeh_Th_Freq</t>
  </si>
  <si>
    <t>tVeh_4x4_Acc_Freq</t>
  </si>
  <si>
    <t>Mobile phone kit fitted</t>
  </si>
  <si>
    <t>tVeh_Mobkit_Acc_Freq</t>
  </si>
  <si>
    <t>Currently Insured?</t>
  </si>
  <si>
    <t>tVeh_Cur_Ins_Acc_Freq</t>
  </si>
  <si>
    <t>tVeh_Cur_Ins_Th_Freq</t>
  </si>
  <si>
    <t>Suspensions etc (last 5 years) for Accident Frequency</t>
  </si>
  <si>
    <t>Vehicle Use Statistics</t>
  </si>
  <si>
    <t>Accident Frequency</t>
  </si>
  <si>
    <t>Business - Carrying Goods for Reward</t>
  </si>
  <si>
    <t>Business - Driving instruction</t>
  </si>
  <si>
    <t>Business - Hiring out the vehicle</t>
  </si>
  <si>
    <t>Business - Taxi</t>
  </si>
  <si>
    <t>Commercial (Modified For)</t>
  </si>
  <si>
    <t>Motor Racing / Rallies</t>
  </si>
  <si>
    <t>Private (commuting)</t>
  </si>
  <si>
    <t>Private (no commuting)</t>
  </si>
  <si>
    <t>Private and Business</t>
  </si>
  <si>
    <t>Private and Occasional Business</t>
  </si>
  <si>
    <t>Speed / other contests</t>
  </si>
  <si>
    <t>Accident Severity</t>
  </si>
  <si>
    <t>Theft Frequency</t>
  </si>
  <si>
    <t>Hail Frequency</t>
  </si>
  <si>
    <t>Vehicle Color Severity for Accident and Hail</t>
  </si>
  <si>
    <t>Hail Severity</t>
  </si>
  <si>
    <t>Km travelled per annum for Vehicle Accident Frequency, Theft frequency, and Hail Frequency</t>
  </si>
  <si>
    <t>Something</t>
  </si>
  <si>
    <t>to</t>
  </si>
  <si>
    <t>Vehice Park for Theft Frequency</t>
  </si>
  <si>
    <t>tPark_Th_Freq</t>
  </si>
  <si>
    <t>Locked Compound</t>
  </si>
  <si>
    <t>On Private Property</t>
  </si>
  <si>
    <t>Parking Lot</t>
  </si>
  <si>
    <t>Anti Theft</t>
  </si>
  <si>
    <t>MicroDot</t>
  </si>
  <si>
    <t>Steering Lock</t>
  </si>
  <si>
    <t>Tracking Device</t>
  </si>
  <si>
    <t>Cost per claim per Hire Car Option</t>
  </si>
  <si>
    <t>Ongoing Commission by Referral Source</t>
  </si>
  <si>
    <t>Commission</t>
  </si>
  <si>
    <t>AIMS</t>
  </si>
  <si>
    <t>Amway</t>
  </si>
  <si>
    <t>ASIA</t>
  </si>
  <si>
    <t>Hotline</t>
  </si>
  <si>
    <t>Resi</t>
  </si>
  <si>
    <t>Virgin</t>
  </si>
  <si>
    <t>Acquisition Fees</t>
  </si>
  <si>
    <t>Acquisition Cost</t>
  </si>
  <si>
    <t xml:space="preserve">Vehicle Age Accident rates </t>
  </si>
  <si>
    <t>tMV_VehicleYear</t>
  </si>
  <si>
    <t>Drive age restriction</t>
  </si>
  <si>
    <t>Taxes</t>
  </si>
  <si>
    <t>FSL</t>
  </si>
  <si>
    <t>Stamp Duty</t>
  </si>
  <si>
    <t>GST</t>
  </si>
  <si>
    <t>Total</t>
  </si>
  <si>
    <t>ACT</t>
  </si>
  <si>
    <t>NSW</t>
  </si>
  <si>
    <t>NT</t>
  </si>
  <si>
    <t>QLD</t>
  </si>
  <si>
    <t>SA</t>
  </si>
  <si>
    <t>TAS</t>
  </si>
  <si>
    <t>VIC</t>
  </si>
  <si>
    <t>WA</t>
  </si>
  <si>
    <t>Rate Date</t>
  </si>
  <si>
    <t>AU0020-86-759 (219)</t>
  </si>
  <si>
    <t>Table Dictionary has not been set for the workbook: PAYD Rater GJD.xlsm</t>
  </si>
  <si>
    <r>
      <t xml:space="preserve">PAYD Rater GJD Large </t>
    </r>
    <r>
      <rPr>
        <b/>
        <sz val="11"/>
        <rFont val="Arial"/>
        <family val="2"/>
      </rPr>
      <t>Vehicle</t>
    </r>
    <r>
      <rPr>
        <sz val="11"/>
        <color theme="1"/>
        <rFont val="Calibri"/>
        <family val="2"/>
        <scheme val="minor"/>
      </rPr>
      <t xml:space="preserve"> Multiple Tables.xlsm</t>
    </r>
  </si>
  <si>
    <r>
      <t xml:space="preserve">PAYD Rater GJD Large </t>
    </r>
    <r>
      <rPr>
        <b/>
        <sz val="11"/>
        <rFont val="Arial"/>
        <family val="2"/>
      </rPr>
      <t xml:space="preserve">Vehicle Detail </t>
    </r>
    <r>
      <rPr>
        <sz val="11"/>
        <color theme="1"/>
        <rFont val="Calibri"/>
        <family val="2"/>
        <scheme val="minor"/>
      </rPr>
      <t>Tables.xlsm</t>
    </r>
  </si>
  <si>
    <r>
      <t xml:space="preserve">PAYD Rater GJD Large </t>
    </r>
    <r>
      <rPr>
        <b/>
        <sz val="11"/>
        <rFont val="Arial"/>
        <family val="2"/>
      </rPr>
      <t>Suburb</t>
    </r>
    <r>
      <rPr>
        <sz val="11"/>
        <color theme="1"/>
        <rFont val="Calibri"/>
        <family val="2"/>
        <scheme val="minor"/>
      </rPr>
      <t xml:space="preserve"> Tables.xlsm</t>
    </r>
  </si>
  <si>
    <t>AU0014-76-845 (1)</t>
  </si>
  <si>
    <t>License_Number</t>
  </si>
  <si>
    <t>Pyear_Licence_obtained</t>
  </si>
  <si>
    <t>Claim_5yr</t>
  </si>
  <si>
    <t>Own_Other_Vehicle</t>
  </si>
  <si>
    <t>License_Suspension</t>
  </si>
  <si>
    <t>Ymarital_Status</t>
  </si>
  <si>
    <t>Day_Time_Suburb</t>
  </si>
  <si>
    <t>Day_Time_Parking</t>
  </si>
  <si>
    <t>Night_Suburb</t>
  </si>
  <si>
    <t>Type_of_Use</t>
  </si>
  <si>
    <t>Annual_km</t>
  </si>
  <si>
    <t>Currently_Insured</t>
  </si>
  <si>
    <t>Windscreen_Option</t>
  </si>
  <si>
    <t>Vehicle_Year</t>
  </si>
  <si>
    <t>Vehicle_Details</t>
  </si>
  <si>
    <t>Day_Postcode</t>
  </si>
  <si>
    <t>Night_Postcode</t>
  </si>
  <si>
    <t>Mod_Value</t>
  </si>
  <si>
    <t>Extra_ID</t>
  </si>
  <si>
    <t>Policy_Number</t>
  </si>
  <si>
    <t>Pmarital_Status</t>
  </si>
  <si>
    <t>KM_Purchased</t>
  </si>
  <si>
    <t>=LE_DECLARE_TYPE("BaseModel";B10:D62)</t>
  </si>
  <si>
    <t>Extras.Extra_ID</t>
  </si>
  <si>
    <t>Premium Requested</t>
  </si>
  <si>
    <t>4</t>
  </si>
</sst>
</file>

<file path=xl/styles.xml><?xml version="1.0" encoding="utf-8"?>
<styleSheet xmlns="http://schemas.openxmlformats.org/spreadsheetml/2006/main">
  <numFmts count="21">
    <numFmt numFmtId="43" formatCode="_(* #,##0.00_);_(* \(#,##0.00\);_(* &quot;-&quot;??_);_(@_)"/>
    <numFmt numFmtId="164" formatCode="0.000"/>
    <numFmt numFmtId="165" formatCode="0.0000%"/>
    <numFmt numFmtId="166" formatCode="0.000000"/>
    <numFmt numFmtId="167" formatCode="0.0%"/>
    <numFmt numFmtId="168" formatCode="#,##0.0"/>
    <numFmt numFmtId="169" formatCode="_-* #,##0_-;\-* #,##0_-;_-* &quot;-&quot;??_-;_-@_-"/>
    <numFmt numFmtId="170" formatCode="0.00000"/>
    <numFmt numFmtId="171" formatCode="0.0000"/>
    <numFmt numFmtId="172" formatCode="0.000000000"/>
    <numFmt numFmtId="173" formatCode="0.0000000000"/>
    <numFmt numFmtId="174" formatCode="_-* #,##0.0000_-;\-* #,##0.0000_-;_-* &quot;-&quot;??_-;_-@_-"/>
    <numFmt numFmtId="175" formatCode="_-* #,##0.00000_-;\-* #,##0.00000_-;_-* &quot;-&quot;??_-;_-@_-"/>
    <numFmt numFmtId="176" formatCode="&quot;Version&quot;\ 0"/>
    <numFmt numFmtId="177" formatCode="&quot;$&quot;#,##0.00"/>
    <numFmt numFmtId="178" formatCode="_-* #,##0.0_-;\-* #,##0.0_-;_-* &quot;-&quot;??_-;_-@_-"/>
    <numFmt numFmtId="179" formatCode="0\ &quot;Years Old&quot;"/>
    <numFmt numFmtId="180" formatCode="0_ ;[Red]\-0\ "/>
    <numFmt numFmtId="181" formatCode="0.0"/>
    <numFmt numFmtId="182" formatCode="0\ &quot;Years&quot;"/>
    <numFmt numFmtId="183" formatCode="&quot;$&quot;#,##0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i/>
      <sz val="8"/>
      <color theme="0" tint="-0.14999847407452621"/>
      <name val="Arial"/>
      <family val="2"/>
    </font>
    <font>
      <sz val="11"/>
      <color theme="1"/>
      <name val="Courier New"/>
      <family val="3"/>
    </font>
    <font>
      <sz val="20"/>
      <color theme="4"/>
      <name val="Calibri"/>
      <family val="2"/>
      <scheme val="minor"/>
    </font>
    <font>
      <sz val="10"/>
      <color theme="3" tint="0.39997558519241921"/>
      <name val="Arial"/>
      <family val="2"/>
    </font>
    <font>
      <sz val="14"/>
      <name val="Arial"/>
      <family val="2"/>
    </font>
    <font>
      <sz val="12"/>
      <name val="Cambria"/>
      <family val="1"/>
      <scheme val="major"/>
    </font>
    <font>
      <b/>
      <sz val="14"/>
      <color rgb="FFFF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ourier New"/>
      <family val="3"/>
    </font>
    <font>
      <b/>
      <sz val="12"/>
      <name val="Arial"/>
      <family val="2"/>
    </font>
    <font>
      <sz val="10"/>
      <name val="Courier New"/>
      <family val="3"/>
    </font>
    <font>
      <b/>
      <sz val="9"/>
      <name val="Arial"/>
      <family val="2"/>
    </font>
    <font>
      <i/>
      <sz val="9"/>
      <name val="Arial"/>
      <family val="2"/>
    </font>
    <font>
      <sz val="10"/>
      <color indexed="12"/>
      <name val="Calibri"/>
      <family val="2"/>
      <scheme val="minor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rgb="FFC00000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EE000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0"/>
      <color rgb="FFEE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9"/>
      <name val="Helvetica"/>
      <family val="2"/>
    </font>
    <font>
      <b/>
      <sz val="10"/>
      <color indexed="9"/>
      <name val="Arial"/>
      <family val="2"/>
    </font>
    <font>
      <b/>
      <sz val="18"/>
      <name val="Helvetica"/>
      <family val="2"/>
    </font>
    <font>
      <b/>
      <sz val="14"/>
      <name val="Helvetica"/>
      <family val="2"/>
    </font>
    <font>
      <b/>
      <sz val="18"/>
      <color rgb="FFC00000"/>
      <name val="Arial"/>
      <family val="2"/>
    </font>
    <font>
      <sz val="10"/>
      <name val="Helvetica"/>
      <family val="2"/>
    </font>
    <font>
      <b/>
      <sz val="12"/>
      <color theme="0" tint="-0.249977111117893"/>
      <name val="Calibri"/>
      <family val="2"/>
      <scheme val="minor"/>
    </font>
    <font>
      <sz val="12"/>
      <name val="Arial"/>
      <family val="2"/>
    </font>
    <font>
      <i/>
      <sz val="10"/>
      <name val="Arial"/>
      <family val="2"/>
    </font>
    <font>
      <u/>
      <sz val="12"/>
      <name val="Arial"/>
      <family val="2"/>
    </font>
    <font>
      <b/>
      <sz val="8"/>
      <name val="Arial"/>
      <family val="2"/>
    </font>
    <font>
      <b/>
      <sz val="8"/>
      <color rgb="FFC00000"/>
      <name val="Arial"/>
      <family val="2"/>
    </font>
    <font>
      <sz val="8"/>
      <color theme="0" tint="-4.9989318521683403E-2"/>
      <name val="Arial"/>
      <family val="2"/>
    </font>
    <font>
      <sz val="6"/>
      <name val="Arial"/>
      <family val="2"/>
    </font>
    <font>
      <b/>
      <i/>
      <sz val="8"/>
      <name val="Arial"/>
      <family val="2"/>
    </font>
    <font>
      <sz val="8"/>
      <color rgb="FFC00000"/>
      <name val="Arial"/>
      <family val="2"/>
    </font>
    <font>
      <sz val="8"/>
      <color rgb="FFFF0000"/>
      <name val="Arial"/>
      <family val="2"/>
    </font>
    <font>
      <sz val="12"/>
      <color theme="1"/>
      <name val="Cambria"/>
      <family val="1"/>
      <scheme val="major"/>
    </font>
    <font>
      <sz val="10"/>
      <color theme="4" tint="-0.249977111117893"/>
      <name val="Arial"/>
      <family val="2"/>
    </font>
    <font>
      <b/>
      <sz val="10"/>
      <color indexed="62"/>
      <name val="Arial"/>
      <family val="2"/>
    </font>
    <font>
      <sz val="12"/>
      <color theme="0" tint="-0.249977111117893"/>
      <name val="Cambria"/>
      <family val="1"/>
      <scheme val="major"/>
    </font>
    <font>
      <sz val="16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2"/>
      <name val="Helvetica"/>
      <family val="2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theme="0" tint="-0.249977111117893"/>
      <name val="Calibri"/>
      <family val="2"/>
      <scheme val="minor"/>
    </font>
    <font>
      <sz val="11"/>
      <color indexed="8"/>
      <name val="Calibri"/>
      <family val="2"/>
    </font>
    <font>
      <sz val="9"/>
      <color theme="0" tint="-0.249977111117893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sz val="10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Vertical">
        <fgColor theme="1" tint="0.24994659260841701"/>
        <bgColor theme="0"/>
      </patternFill>
    </fill>
    <fill>
      <patternFill patternType="gray0625">
        <fgColor auto="1"/>
        <bgColor theme="0"/>
      </patternFill>
    </fill>
    <fill>
      <patternFill patternType="darkTrellis">
        <fgColor rgb="FFFF0000"/>
        <bgColor theme="0"/>
      </patternFill>
    </fill>
    <fill>
      <patternFill patternType="solid">
        <fgColor theme="3" tint="0.79998168889431442"/>
        <bgColor auto="1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</cellStyleXfs>
  <cellXfs count="956">
    <xf numFmtId="0" fontId="0" fillId="0" borderId="0" xfId="0"/>
    <xf numFmtId="0" fontId="0" fillId="0" borderId="0" xfId="0" applyFill="1"/>
    <xf numFmtId="0" fontId="0" fillId="0" borderId="0" xfId="0" applyAlignment="1"/>
    <xf numFmtId="4" fontId="0" fillId="0" borderId="0" xfId="0" applyNumberFormat="1"/>
    <xf numFmtId="3" fontId="0" fillId="0" borderId="0" xfId="0" applyNumberFormat="1"/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2" fontId="5" fillId="0" borderId="0" xfId="0" applyNumberFormat="1" applyFont="1" applyBorder="1" applyAlignment="1">
      <alignment horizontal="center" vertical="center"/>
    </xf>
    <xf numFmtId="2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/>
    </xf>
    <xf numFmtId="0" fontId="5" fillId="0" borderId="1" xfId="0" applyFont="1" applyBorder="1" applyAlignment="1">
      <alignment horizontal="center"/>
    </xf>
    <xf numFmtId="0" fontId="0" fillId="2" borderId="2" xfId="0" applyFill="1" applyBorder="1"/>
    <xf numFmtId="0" fontId="5" fillId="0" borderId="4" xfId="0" applyFont="1" applyBorder="1" applyAlignment="1">
      <alignment horizontal="center"/>
    </xf>
    <xf numFmtId="0" fontId="0" fillId="2" borderId="0" xfId="0" applyFill="1" applyBorder="1"/>
    <xf numFmtId="0" fontId="5" fillId="0" borderId="6" xfId="0" applyFont="1" applyBorder="1" applyAlignment="1">
      <alignment horizontal="center"/>
    </xf>
    <xf numFmtId="0" fontId="0" fillId="2" borderId="7" xfId="0" applyFill="1" applyBorder="1"/>
    <xf numFmtId="2" fontId="0" fillId="0" borderId="4" xfId="0" applyNumberFormat="1" applyBorder="1" applyAlignment="1">
      <alignment vertical="center"/>
    </xf>
    <xf numFmtId="2" fontId="6" fillId="0" borderId="0" xfId="0" applyNumberFormat="1" applyFont="1" applyAlignment="1">
      <alignment vertical="center"/>
    </xf>
    <xf numFmtId="2" fontId="0" fillId="0" borderId="0" xfId="0" applyNumberFormat="1" applyFill="1" applyAlignment="1">
      <alignment horizontal="center" vertical="center"/>
    </xf>
    <xf numFmtId="0" fontId="6" fillId="2" borderId="9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6" fillId="2" borderId="10" xfId="0" applyFont="1" applyFill="1" applyBorder="1"/>
    <xf numFmtId="0" fontId="0" fillId="0" borderId="4" xfId="0" applyBorder="1" applyAlignment="1">
      <alignment textRotation="180"/>
    </xf>
    <xf numFmtId="0" fontId="0" fillId="0" borderId="0" xfId="0" applyBorder="1" applyAlignment="1">
      <alignment textRotation="180"/>
    </xf>
    <xf numFmtId="0" fontId="5" fillId="2" borderId="0" xfId="0" applyFont="1" applyFill="1" applyBorder="1" applyAlignment="1">
      <alignment horizontal="center" textRotation="180"/>
    </xf>
    <xf numFmtId="0" fontId="5" fillId="2" borderId="5" xfId="0" applyFont="1" applyFill="1" applyBorder="1" applyAlignment="1">
      <alignment horizontal="center" textRotation="180"/>
    </xf>
    <xf numFmtId="0" fontId="5" fillId="0" borderId="0" xfId="0" applyFont="1" applyFill="1" applyBorder="1" applyAlignment="1">
      <alignment horizontal="center" textRotation="180"/>
    </xf>
    <xf numFmtId="0" fontId="0" fillId="0" borderId="0" xfId="0" applyAlignment="1">
      <alignment textRotation="180"/>
    </xf>
    <xf numFmtId="2" fontId="0" fillId="0" borderId="0" xfId="0" applyNumberFormat="1" applyAlignment="1">
      <alignment horizontal="center" vertical="center" textRotation="180"/>
    </xf>
    <xf numFmtId="2" fontId="5" fillId="0" borderId="0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9" fillId="0" borderId="0" xfId="0" applyFont="1"/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2" fillId="0" borderId="0" xfId="0" applyFont="1" applyBorder="1" applyAlignment="1">
      <alignment horizontal="center" vertical="center"/>
    </xf>
    <xf numFmtId="0" fontId="0" fillId="4" borderId="15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6" fillId="0" borderId="17" xfId="0" applyFont="1" applyBorder="1" applyAlignment="1">
      <alignment horizontal="left" vertical="top" wrapText="1" indent="1"/>
    </xf>
    <xf numFmtId="0" fontId="0" fillId="0" borderId="18" xfId="0" applyBorder="1" applyAlignment="1">
      <alignment vertical="top" wrapText="1"/>
    </xf>
    <xf numFmtId="4" fontId="0" fillId="0" borderId="4" xfId="0" applyNumberFormat="1" applyBorder="1" applyAlignment="1">
      <alignment horizontal="left" vertical="top" wrapText="1" indent="1"/>
    </xf>
    <xf numFmtId="4" fontId="0" fillId="0" borderId="5" xfId="0" applyNumberFormat="1" applyBorder="1" applyAlignment="1">
      <alignment vertical="top" wrapText="1"/>
    </xf>
    <xf numFmtId="0" fontId="6" fillId="0" borderId="19" xfId="0" applyFont="1" applyBorder="1" applyAlignment="1">
      <alignment horizontal="left" vertical="top" wrapText="1" indent="1"/>
    </xf>
    <xf numFmtId="0" fontId="0" fillId="0" borderId="20" xfId="0" applyBorder="1" applyAlignment="1">
      <alignment vertical="top" wrapText="1"/>
    </xf>
    <xf numFmtId="4" fontId="14" fillId="0" borderId="20" xfId="0" applyNumberFormat="1" applyFont="1" applyBorder="1" applyAlignment="1">
      <alignment horizontal="center" vertical="top" wrapText="1"/>
    </xf>
    <xf numFmtId="4" fontId="0" fillId="0" borderId="6" xfId="0" applyNumberFormat="1" applyBorder="1" applyAlignment="1">
      <alignment horizontal="left" vertical="top" wrapText="1" indent="1"/>
    </xf>
    <xf numFmtId="4" fontId="0" fillId="0" borderId="8" xfId="0" applyNumberFormat="1" applyBorder="1" applyAlignment="1">
      <alignment vertical="top" wrapText="1"/>
    </xf>
    <xf numFmtId="0" fontId="0" fillId="0" borderId="0" xfId="0" applyFont="1" applyFill="1" applyBorder="1"/>
    <xf numFmtId="0" fontId="6" fillId="6" borderId="15" xfId="0" applyFont="1" applyFill="1" applyBorder="1" applyAlignment="1">
      <alignment horizontal="center" vertical="top" wrapText="1"/>
    </xf>
    <xf numFmtId="0" fontId="6" fillId="6" borderId="21" xfId="0" applyFont="1" applyFill="1" applyBorder="1" applyAlignment="1">
      <alignment vertical="top" wrapText="1"/>
    </xf>
    <xf numFmtId="0" fontId="6" fillId="6" borderId="16" xfId="0" applyFont="1" applyFill="1" applyBorder="1" applyAlignment="1">
      <alignment vertical="top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right"/>
    </xf>
    <xf numFmtId="165" fontId="15" fillId="0" borderId="0" xfId="2" applyNumberFormat="1" applyFont="1" applyFill="1" applyBorder="1" applyAlignment="1">
      <alignment horizontal="right"/>
    </xf>
    <xf numFmtId="10" fontId="16" fillId="0" borderId="0" xfId="2" applyNumberFormat="1" applyFont="1" applyFill="1" applyBorder="1" applyAlignment="1">
      <alignment horizontal="right"/>
    </xf>
    <xf numFmtId="3" fontId="15" fillId="0" borderId="0" xfId="0" applyNumberFormat="1" applyFont="1" applyFill="1" applyBorder="1" applyAlignment="1">
      <alignment horizontal="right"/>
    </xf>
    <xf numFmtId="4" fontId="15" fillId="0" borderId="0" xfId="0" applyNumberFormat="1" applyFont="1" applyFill="1" applyBorder="1" applyAlignment="1">
      <alignment horizontal="right"/>
    </xf>
    <xf numFmtId="1" fontId="15" fillId="0" borderId="0" xfId="0" applyNumberFormat="1" applyFont="1" applyFill="1" applyBorder="1" applyAlignment="1">
      <alignment horizontal="right"/>
    </xf>
    <xf numFmtId="10" fontId="15" fillId="0" borderId="0" xfId="2" applyNumberFormat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center"/>
    </xf>
    <xf numFmtId="0" fontId="6" fillId="6" borderId="17" xfId="0" applyFont="1" applyFill="1" applyBorder="1"/>
    <xf numFmtId="0" fontId="6" fillId="6" borderId="0" xfId="0" applyFont="1" applyFill="1" applyBorder="1"/>
    <xf numFmtId="0" fontId="6" fillId="6" borderId="18" xfId="0" applyFont="1" applyFill="1" applyBorder="1"/>
    <xf numFmtId="10" fontId="0" fillId="0" borderId="0" xfId="0" applyNumberFormat="1" applyFont="1" applyFill="1" applyBorder="1"/>
    <xf numFmtId="2" fontId="16" fillId="0" borderId="0" xfId="0" applyNumberFormat="1" applyFont="1" applyFill="1" applyBorder="1" applyAlignment="1">
      <alignment horizontal="right"/>
    </xf>
    <xf numFmtId="166" fontId="16" fillId="0" borderId="0" xfId="0" applyNumberFormat="1" applyFont="1" applyFill="1" applyBorder="1" applyAlignment="1">
      <alignment horizontal="right"/>
    </xf>
    <xf numFmtId="3" fontId="16" fillId="0" borderId="0" xfId="2" applyNumberFormat="1" applyFont="1" applyFill="1" applyBorder="1" applyAlignment="1">
      <alignment horizontal="right"/>
    </xf>
    <xf numFmtId="4" fontId="16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167" fontId="16" fillId="0" borderId="0" xfId="2" applyNumberFormat="1" applyFont="1" applyFill="1" applyBorder="1" applyAlignment="1">
      <alignment horizontal="right"/>
    </xf>
    <xf numFmtId="168" fontId="16" fillId="0" borderId="0" xfId="0" applyNumberFormat="1" applyFont="1" applyFill="1" applyBorder="1" applyAlignment="1">
      <alignment horizontal="right"/>
    </xf>
    <xf numFmtId="4" fontId="17" fillId="0" borderId="0" xfId="0" applyNumberFormat="1" applyFont="1" applyFill="1" applyBorder="1" applyAlignment="1">
      <alignment horizontal="right"/>
    </xf>
    <xf numFmtId="9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169" fontId="0" fillId="0" borderId="0" xfId="1" applyNumberFormat="1" applyFont="1" applyFill="1" applyBorder="1" applyAlignment="1"/>
    <xf numFmtId="170" fontId="0" fillId="0" borderId="0" xfId="1" applyNumberFormat="1" applyFont="1" applyFill="1" applyBorder="1" applyAlignment="1"/>
    <xf numFmtId="10" fontId="0" fillId="0" borderId="0" xfId="0" applyNumberFormat="1" applyFont="1" applyFill="1" applyBorder="1" applyAlignment="1"/>
    <xf numFmtId="170" fontId="0" fillId="0" borderId="0" xfId="0" applyNumberFormat="1" applyFont="1" applyFill="1" applyBorder="1" applyAlignment="1"/>
    <xf numFmtId="168" fontId="18" fillId="0" borderId="0" xfId="0" applyNumberFormat="1" applyFont="1" applyFill="1" applyBorder="1" applyAlignment="1">
      <alignment horizontal="right" wrapText="1"/>
    </xf>
    <xf numFmtId="167" fontId="6" fillId="0" borderId="0" xfId="2" applyNumberFormat="1" applyFont="1" applyFill="1" applyBorder="1" applyAlignment="1">
      <alignment horizontal="left"/>
    </xf>
    <xf numFmtId="0" fontId="0" fillId="6" borderId="17" xfId="0" applyFont="1" applyFill="1" applyBorder="1"/>
    <xf numFmtId="0" fontId="0" fillId="6" borderId="0" xfId="0" applyFont="1" applyFill="1" applyBorder="1"/>
    <xf numFmtId="10" fontId="0" fillId="6" borderId="0" xfId="0" applyNumberFormat="1" applyFont="1" applyFill="1" applyBorder="1"/>
    <xf numFmtId="4" fontId="0" fillId="6" borderId="0" xfId="0" applyNumberFormat="1" applyFont="1" applyFill="1" applyBorder="1" applyAlignment="1">
      <alignment horizontal="center"/>
    </xf>
    <xf numFmtId="3" fontId="15" fillId="6" borderId="0" xfId="0" applyNumberFormat="1" applyFont="1" applyFill="1" applyBorder="1" applyAlignment="1">
      <alignment horizontal="right"/>
    </xf>
    <xf numFmtId="4" fontId="15" fillId="6" borderId="0" xfId="0" applyNumberFormat="1" applyFont="1" applyFill="1" applyBorder="1" applyAlignment="1">
      <alignment horizontal="right"/>
    </xf>
    <xf numFmtId="10" fontId="0" fillId="6" borderId="18" xfId="0" applyNumberFormat="1" applyFont="1" applyFill="1" applyBorder="1"/>
    <xf numFmtId="0" fontId="20" fillId="0" borderId="0" xfId="0" applyFont="1" applyFill="1" applyBorder="1"/>
    <xf numFmtId="10" fontId="0" fillId="0" borderId="0" xfId="0" applyNumberFormat="1" applyFill="1" applyBorder="1"/>
    <xf numFmtId="2" fontId="0" fillId="0" borderId="0" xfId="0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0" fontId="16" fillId="6" borderId="0" xfId="0" applyFont="1" applyFill="1" applyBorder="1" applyAlignment="1">
      <alignment horizontal="right"/>
    </xf>
    <xf numFmtId="10" fontId="16" fillId="0" borderId="0" xfId="2" applyNumberFormat="1" applyFont="1" applyFill="1" applyBorder="1" applyAlignment="1">
      <alignment vertical="center" textRotation="90"/>
    </xf>
    <xf numFmtId="2" fontId="0" fillId="0" borderId="5" xfId="0" applyNumberFormat="1" applyFont="1" applyFill="1" applyBorder="1"/>
    <xf numFmtId="164" fontId="0" fillId="0" borderId="0" xfId="0" applyNumberFormat="1" applyFont="1" applyFill="1" applyBorder="1" applyAlignment="1">
      <alignment horizontal="right"/>
    </xf>
    <xf numFmtId="10" fontId="16" fillId="0" borderId="5" xfId="2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4" fontId="16" fillId="0" borderId="5" xfId="0" applyNumberFormat="1" applyFont="1" applyFill="1" applyBorder="1" applyAlignment="1">
      <alignment horizontal="right"/>
    </xf>
    <xf numFmtId="2" fontId="16" fillId="0" borderId="0" xfId="2" applyNumberFormat="1" applyFont="1" applyFill="1" applyBorder="1" applyAlignment="1">
      <alignment horizontal="right"/>
    </xf>
    <xf numFmtId="167" fontId="16" fillId="0" borderId="5" xfId="2" applyNumberFormat="1" applyFont="1" applyFill="1" applyBorder="1" applyAlignment="1">
      <alignment horizontal="right"/>
    </xf>
    <xf numFmtId="168" fontId="16" fillId="0" borderId="5" xfId="0" applyNumberFormat="1" applyFont="1" applyFill="1" applyBorder="1" applyAlignment="1">
      <alignment horizontal="right"/>
    </xf>
    <xf numFmtId="0" fontId="0" fillId="0" borderId="5" xfId="0" applyFont="1" applyFill="1" applyBorder="1"/>
    <xf numFmtId="0" fontId="0" fillId="0" borderId="0" xfId="0" applyNumberFormat="1" applyFont="1" applyFill="1" applyBorder="1"/>
    <xf numFmtId="0" fontId="0" fillId="0" borderId="4" xfId="0" applyFont="1" applyFill="1" applyBorder="1"/>
    <xf numFmtId="0" fontId="0" fillId="0" borderId="0" xfId="0" applyBorder="1" applyAlignment="1">
      <alignment vertical="top" wrapText="1"/>
    </xf>
    <xf numFmtId="0" fontId="0" fillId="0" borderId="6" xfId="0" applyFont="1" applyFill="1" applyBorder="1"/>
    <xf numFmtId="0" fontId="0" fillId="0" borderId="7" xfId="0" applyFont="1" applyFill="1" applyBorder="1"/>
    <xf numFmtId="2" fontId="0" fillId="0" borderId="7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/>
    <xf numFmtId="166" fontId="15" fillId="0" borderId="0" xfId="0" applyNumberFormat="1" applyFont="1" applyFill="1" applyBorder="1" applyAlignment="1">
      <alignment horizontal="right"/>
    </xf>
    <xf numFmtId="166" fontId="15" fillId="0" borderId="0" xfId="2" applyNumberFormat="1" applyFont="1" applyFill="1" applyBorder="1" applyAlignment="1">
      <alignment horizontal="right"/>
    </xf>
    <xf numFmtId="166" fontId="16" fillId="0" borderId="0" xfId="2" applyNumberFormat="1" applyFont="1" applyFill="1" applyBorder="1" applyAlignment="1">
      <alignment horizontal="right"/>
    </xf>
    <xf numFmtId="0" fontId="19" fillId="0" borderId="0" xfId="0" applyFont="1" applyFill="1" applyBorder="1" applyAlignment="1"/>
    <xf numFmtId="0" fontId="0" fillId="0" borderId="0" xfId="0" applyBorder="1" applyAlignment="1">
      <alignment horizontal="center"/>
    </xf>
    <xf numFmtId="0" fontId="0" fillId="6" borderId="0" xfId="0" applyFill="1" applyBorder="1"/>
    <xf numFmtId="0" fontId="19" fillId="7" borderId="25" xfId="0" applyFont="1" applyFill="1" applyBorder="1"/>
    <xf numFmtId="0" fontId="0" fillId="7" borderId="26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2" fontId="23" fillId="0" borderId="0" xfId="2" applyNumberFormat="1" applyFont="1" applyFill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2" fillId="0" borderId="0" xfId="0" applyFont="1" applyFill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right"/>
    </xf>
    <xf numFmtId="0" fontId="0" fillId="0" borderId="4" xfId="0" applyBorder="1" applyAlignment="1">
      <alignment horizontal="left"/>
    </xf>
    <xf numFmtId="1" fontId="0" fillId="0" borderId="5" xfId="0" applyNumberFormat="1" applyFont="1" applyBorder="1" applyAlignment="1">
      <alignment horizontal="center"/>
    </xf>
    <xf numFmtId="0" fontId="0" fillId="0" borderId="29" xfId="0" applyBorder="1"/>
    <xf numFmtId="0" fontId="0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 indent="2"/>
    </xf>
    <xf numFmtId="0" fontId="24" fillId="0" borderId="5" xfId="0" applyFont="1" applyBorder="1"/>
    <xf numFmtId="0" fontId="25" fillId="0" borderId="0" xfId="0" applyFont="1" applyAlignment="1">
      <alignment horizontal="center" vertical="center"/>
    </xf>
    <xf numFmtId="0" fontId="0" fillId="0" borderId="4" xfId="0" applyFont="1" applyBorder="1"/>
    <xf numFmtId="0" fontId="25" fillId="0" borderId="0" xfId="0" applyFont="1" applyBorder="1" applyAlignment="1">
      <alignment horizontal="left" indent="1"/>
    </xf>
    <xf numFmtId="0" fontId="25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5" fillId="0" borderId="4" xfId="0" applyFont="1" applyBorder="1" applyAlignment="1">
      <alignment horizontal="left" indent="1"/>
    </xf>
    <xf numFmtId="2" fontId="25" fillId="0" borderId="5" xfId="0" applyNumberFormat="1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25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 indent="1"/>
    </xf>
    <xf numFmtId="0" fontId="3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6" xfId="0" applyFill="1" applyBorder="1"/>
    <xf numFmtId="0" fontId="0" fillId="0" borderId="8" xfId="0" applyFill="1" applyBorder="1"/>
    <xf numFmtId="0" fontId="0" fillId="0" borderId="0" xfId="0" applyFont="1" applyAlignment="1">
      <alignment horizontal="left" indent="1"/>
    </xf>
    <xf numFmtId="0" fontId="19" fillId="0" borderId="0" xfId="0" applyFont="1" applyBorder="1" applyAlignment="1">
      <alignment vertical="top" wrapText="1"/>
    </xf>
    <xf numFmtId="0" fontId="15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center"/>
    </xf>
    <xf numFmtId="171" fontId="15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5" xfId="0" applyFont="1" applyFill="1" applyBorder="1" applyAlignment="1">
      <alignment horizontal="right"/>
    </xf>
    <xf numFmtId="164" fontId="0" fillId="0" borderId="5" xfId="0" applyNumberFormat="1" applyFont="1" applyFill="1" applyBorder="1" applyAlignment="1">
      <alignment horizontal="right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textRotation="90"/>
    </xf>
    <xf numFmtId="0" fontId="19" fillId="0" borderId="4" xfId="0" applyFont="1" applyFill="1" applyBorder="1" applyAlignment="1">
      <alignment horizontal="left"/>
    </xf>
    <xf numFmtId="0" fontId="19" fillId="0" borderId="5" xfId="0" applyFont="1" applyFill="1" applyBorder="1" applyAlignment="1">
      <alignment horizontal="left"/>
    </xf>
    <xf numFmtId="0" fontId="26" fillId="0" borderId="4" xfId="0" applyFont="1" applyBorder="1" applyAlignment="1">
      <alignment vertical="top" wrapText="1"/>
    </xf>
    <xf numFmtId="10" fontId="27" fillId="0" borderId="5" xfId="2" applyNumberFormat="1" applyFont="1" applyFill="1" applyBorder="1" applyAlignment="1">
      <alignment horizontal="right"/>
    </xf>
    <xf numFmtId="43" fontId="15" fillId="0" borderId="5" xfId="1" applyNumberFormat="1" applyFont="1" applyFill="1" applyBorder="1" applyAlignment="1">
      <alignment horizontal="right"/>
    </xf>
    <xf numFmtId="165" fontId="15" fillId="0" borderId="5" xfId="2" applyNumberFormat="1" applyFont="1" applyFill="1" applyBorder="1" applyAlignment="1">
      <alignment horizontal="right"/>
    </xf>
    <xf numFmtId="170" fontId="0" fillId="0" borderId="5" xfId="0" applyNumberFormat="1" applyFont="1" applyFill="1" applyBorder="1" applyAlignment="1">
      <alignment horizontal="right"/>
    </xf>
    <xf numFmtId="4" fontId="28" fillId="0" borderId="5" xfId="0" applyNumberFormat="1" applyFont="1" applyFill="1" applyBorder="1" applyAlignment="1">
      <alignment horizontal="right"/>
    </xf>
    <xf numFmtId="10" fontId="0" fillId="0" borderId="5" xfId="0" applyNumberFormat="1" applyFont="1" applyFill="1" applyBorder="1" applyAlignment="1">
      <alignment horizontal="right"/>
    </xf>
    <xf numFmtId="3" fontId="15" fillId="0" borderId="5" xfId="0" quotePrefix="1" applyNumberFormat="1" applyFont="1" applyFill="1" applyBorder="1" applyAlignment="1">
      <alignment horizontal="right"/>
    </xf>
    <xf numFmtId="1" fontId="16" fillId="0" borderId="5" xfId="0" applyNumberFormat="1" applyFont="1" applyFill="1" applyBorder="1" applyAlignment="1">
      <alignment horizontal="right"/>
    </xf>
    <xf numFmtId="172" fontId="23" fillId="0" borderId="0" xfId="0" applyNumberFormat="1" applyFont="1" applyFill="1" applyBorder="1" applyAlignment="1">
      <alignment horizontal="right"/>
    </xf>
    <xf numFmtId="1" fontId="15" fillId="0" borderId="5" xfId="0" applyNumberFormat="1" applyFont="1" applyFill="1" applyBorder="1" applyAlignment="1">
      <alignment horizontal="right"/>
    </xf>
    <xf numFmtId="4" fontId="15" fillId="0" borderId="5" xfId="0" applyNumberFormat="1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19" fillId="0" borderId="0" xfId="0" applyFont="1" applyBorder="1"/>
    <xf numFmtId="2" fontId="19" fillId="0" borderId="0" xfId="0" applyNumberFormat="1" applyFont="1" applyFill="1" applyBorder="1" applyAlignment="1">
      <alignment horizontal="right"/>
    </xf>
    <xf numFmtId="0" fontId="0" fillId="0" borderId="6" xfId="0" applyFont="1" applyBorder="1"/>
    <xf numFmtId="0" fontId="0" fillId="0" borderId="8" xfId="0" applyFont="1" applyFill="1" applyBorder="1" applyAlignment="1">
      <alignment horizontal="right"/>
    </xf>
    <xf numFmtId="0" fontId="19" fillId="0" borderId="0" xfId="0" applyFont="1" applyAlignment="1">
      <alignment vertical="top" wrapText="1"/>
    </xf>
    <xf numFmtId="164" fontId="0" fillId="0" borderId="8" xfId="0" applyNumberFormat="1" applyFont="1" applyFill="1" applyBorder="1" applyAlignment="1">
      <alignment horizontal="right"/>
    </xf>
    <xf numFmtId="3" fontId="0" fillId="0" borderId="8" xfId="0" applyNumberFormat="1" applyFont="1" applyFill="1" applyBorder="1" applyAlignment="1">
      <alignment horizontal="right"/>
    </xf>
    <xf numFmtId="0" fontId="6" fillId="0" borderId="0" xfId="0" applyFont="1" applyAlignment="1">
      <alignment vertical="top" wrapText="1"/>
    </xf>
    <xf numFmtId="2" fontId="6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vertical="top"/>
    </xf>
    <xf numFmtId="0" fontId="0" fillId="0" borderId="2" xfId="0" applyBorder="1" applyAlignment="1">
      <alignment horizontal="center"/>
    </xf>
    <xf numFmtId="166" fontId="16" fillId="0" borderId="5" xfId="0" applyNumberFormat="1" applyFont="1" applyFill="1" applyBorder="1" applyAlignment="1">
      <alignment horizontal="right"/>
    </xf>
    <xf numFmtId="10" fontId="15" fillId="0" borderId="5" xfId="2" applyNumberFormat="1" applyFont="1" applyFill="1" applyBorder="1" applyAlignment="1">
      <alignment horizontal="right"/>
    </xf>
    <xf numFmtId="3" fontId="16" fillId="0" borderId="5" xfId="2" applyNumberFormat="1" applyFont="1" applyFill="1" applyBorder="1" applyAlignment="1">
      <alignment horizontal="right"/>
    </xf>
    <xf numFmtId="2" fontId="15" fillId="0" borderId="5" xfId="0" applyNumberFormat="1" applyFont="1" applyFill="1" applyBorder="1" applyAlignment="1">
      <alignment horizontal="right"/>
    </xf>
    <xf numFmtId="0" fontId="3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4" fontId="16" fillId="0" borderId="8" xfId="0" applyNumberFormat="1" applyFont="1" applyFill="1" applyBorder="1" applyAlignment="1">
      <alignment horizontal="right"/>
    </xf>
    <xf numFmtId="0" fontId="0" fillId="0" borderId="1" xfId="0" applyBorder="1" applyAlignment="1">
      <alignment vertical="top" wrapText="1"/>
    </xf>
    <xf numFmtId="10" fontId="0" fillId="0" borderId="3" xfId="0" applyNumberFormat="1" applyFont="1" applyFill="1" applyBorder="1" applyAlignment="1">
      <alignment horizontal="right"/>
    </xf>
    <xf numFmtId="9" fontId="0" fillId="0" borderId="3" xfId="0" applyNumberFormat="1" applyFont="1" applyFill="1" applyBorder="1" applyAlignment="1">
      <alignment horizontal="right"/>
    </xf>
    <xf numFmtId="0" fontId="25" fillId="0" borderId="0" xfId="0" applyFont="1" applyAlignment="1">
      <alignment horizontal="center"/>
    </xf>
    <xf numFmtId="2" fontId="0" fillId="0" borderId="3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9" fontId="0" fillId="0" borderId="5" xfId="0" applyNumberFormat="1" applyFont="1" applyFill="1" applyBorder="1" applyAlignment="1">
      <alignment horizontal="right"/>
    </xf>
    <xf numFmtId="2" fontId="0" fillId="0" borderId="5" xfId="0" applyNumberFormat="1" applyFont="1" applyFill="1" applyBorder="1" applyAlignment="1">
      <alignment horizontal="right"/>
    </xf>
    <xf numFmtId="2" fontId="0" fillId="0" borderId="5" xfId="0" applyNumberFormat="1" applyFont="1" applyFill="1" applyBorder="1" applyAlignment="1"/>
    <xf numFmtId="0" fontId="0" fillId="0" borderId="8" xfId="0" applyBorder="1" applyAlignment="1">
      <alignment horizontal="right"/>
    </xf>
    <xf numFmtId="10" fontId="0" fillId="0" borderId="8" xfId="0" applyNumberFormat="1" applyFont="1" applyFill="1" applyBorder="1" applyAlignment="1">
      <alignment horizontal="right"/>
    </xf>
    <xf numFmtId="2" fontId="0" fillId="0" borderId="8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left"/>
    </xf>
    <xf numFmtId="4" fontId="34" fillId="0" borderId="0" xfId="0" applyNumberFormat="1" applyFont="1" applyFill="1" applyBorder="1" applyAlignment="1">
      <alignment horizontal="right"/>
    </xf>
    <xf numFmtId="0" fontId="25" fillId="0" borderId="0" xfId="0" applyFont="1"/>
    <xf numFmtId="169" fontId="0" fillId="0" borderId="0" xfId="1" applyNumberFormat="1" applyFont="1" applyFill="1" applyBorder="1" applyAlignment="1">
      <alignment horizontal="right"/>
    </xf>
    <xf numFmtId="170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Font="1" applyFill="1" applyBorder="1" applyAlignment="1">
      <alignment horizontal="right"/>
    </xf>
    <xf numFmtId="167" fontId="6" fillId="0" borderId="0" xfId="2" applyNumberFormat="1" applyFont="1" applyFill="1" applyBorder="1" applyAlignment="1">
      <alignment horizontal="right"/>
    </xf>
    <xf numFmtId="0" fontId="24" fillId="0" borderId="0" xfId="0" applyFont="1" applyAlignment="1">
      <alignment horizontal="left" indent="2"/>
    </xf>
    <xf numFmtId="170" fontId="0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0" fontId="0" fillId="0" borderId="0" xfId="0" applyNumberFormat="1" applyFont="1" applyFill="1" applyBorder="1" applyAlignment="1">
      <alignment horizontal="right"/>
    </xf>
    <xf numFmtId="0" fontId="0" fillId="6" borderId="19" xfId="0" applyFont="1" applyFill="1" applyBorder="1"/>
    <xf numFmtId="0" fontId="0" fillId="6" borderId="11" xfId="0" applyFill="1" applyBorder="1"/>
    <xf numFmtId="0" fontId="0" fillId="6" borderId="11" xfId="0" applyFont="1" applyFill="1" applyBorder="1"/>
    <xf numFmtId="10" fontId="0" fillId="6" borderId="20" xfId="0" applyNumberFormat="1" applyFont="1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35" fillId="3" borderId="0" xfId="0" applyFont="1" applyFill="1"/>
    <xf numFmtId="0" fontId="35" fillId="3" borderId="0" xfId="0" applyFont="1" applyFill="1" applyBorder="1" applyAlignment="1">
      <alignment horizontal="center"/>
    </xf>
    <xf numFmtId="0" fontId="36" fillId="3" borderId="0" xfId="0" applyFont="1" applyFill="1"/>
    <xf numFmtId="0" fontId="36" fillId="3" borderId="0" xfId="0" applyFont="1" applyFill="1" applyBorder="1" applyAlignment="1">
      <alignment horizontal="center"/>
    </xf>
    <xf numFmtId="0" fontId="37" fillId="16" borderId="30" xfId="0" applyFont="1" applyFill="1" applyBorder="1" applyAlignment="1">
      <alignment horizontal="center" vertical="top" wrapText="1"/>
    </xf>
    <xf numFmtId="0" fontId="38" fillId="16" borderId="31" xfId="0" applyFont="1" applyFill="1" applyBorder="1" applyAlignment="1">
      <alignment horizontal="center" vertical="center" wrapText="1"/>
    </xf>
    <xf numFmtId="0" fontId="38" fillId="16" borderId="32" xfId="0" applyFont="1" applyFill="1" applyBorder="1" applyAlignment="1">
      <alignment horizontal="center" vertical="center"/>
    </xf>
    <xf numFmtId="0" fontId="38" fillId="16" borderId="33" xfId="0" applyFont="1" applyFill="1" applyBorder="1" applyAlignment="1">
      <alignment horizontal="center" vertical="center"/>
    </xf>
    <xf numFmtId="0" fontId="39" fillId="17" borderId="30" xfId="0" applyFont="1" applyFill="1" applyBorder="1" applyAlignment="1">
      <alignment horizontal="center" vertical="center" wrapText="1"/>
    </xf>
    <xf numFmtId="0" fontId="40" fillId="18" borderId="30" xfId="0" applyFont="1" applyFill="1" applyBorder="1" applyAlignment="1">
      <alignment vertical="center" wrapText="1"/>
    </xf>
    <xf numFmtId="0" fontId="40" fillId="17" borderId="30" xfId="0" applyFont="1" applyFill="1" applyBorder="1" applyAlignment="1">
      <alignment vertical="center" wrapText="1"/>
    </xf>
    <xf numFmtId="0" fontId="0" fillId="3" borderId="0" xfId="0" applyFill="1" applyAlignment="1"/>
    <xf numFmtId="0" fontId="0" fillId="19" borderId="34" xfId="0" applyFill="1" applyBorder="1" applyAlignment="1">
      <alignment horizontal="center" vertical="center"/>
    </xf>
    <xf numFmtId="0" fontId="0" fillId="19" borderId="35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39" fillId="20" borderId="30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vertical="center" wrapText="1"/>
    </xf>
    <xf numFmtId="0" fontId="0" fillId="0" borderId="37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9" fontId="0" fillId="0" borderId="22" xfId="0" applyNumberFormat="1" applyFill="1" applyBorder="1" applyAlignment="1">
      <alignment horizontal="center" vertical="center"/>
    </xf>
    <xf numFmtId="9" fontId="0" fillId="0" borderId="24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19" borderId="30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 wrapText="1"/>
    </xf>
    <xf numFmtId="0" fontId="0" fillId="19" borderId="22" xfId="0" applyFill="1" applyBorder="1" applyAlignment="1">
      <alignment horizontal="center" vertical="center" wrapText="1"/>
    </xf>
    <xf numFmtId="0" fontId="0" fillId="19" borderId="24" xfId="0" applyFill="1" applyBorder="1" applyAlignment="1">
      <alignment horizontal="center" vertical="center" wrapText="1"/>
    </xf>
    <xf numFmtId="0" fontId="35" fillId="3" borderId="0" xfId="0" applyFont="1" applyFill="1" applyAlignment="1">
      <alignment horizontal="center"/>
    </xf>
    <xf numFmtId="0" fontId="36" fillId="3" borderId="0" xfId="0" applyFont="1" applyFill="1" applyAlignment="1">
      <alignment horizontal="center"/>
    </xf>
    <xf numFmtId="0" fontId="41" fillId="3" borderId="0" xfId="0" applyFont="1" applyFill="1"/>
    <xf numFmtId="14" fontId="0" fillId="0" borderId="37" xfId="0" applyNumberFormat="1" applyFill="1" applyBorder="1" applyAlignment="1">
      <alignment horizontal="center" vertical="center" wrapText="1"/>
    </xf>
    <xf numFmtId="9" fontId="0" fillId="0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19" borderId="38" xfId="0" applyFill="1" applyBorder="1" applyAlignment="1">
      <alignment horizontal="center" vertical="center"/>
    </xf>
    <xf numFmtId="0" fontId="0" fillId="19" borderId="38" xfId="0" applyFill="1" applyBorder="1" applyAlignment="1">
      <alignment horizontal="center" vertical="center" wrapText="1"/>
    </xf>
    <xf numFmtId="0" fontId="0" fillId="3" borderId="0" xfId="0" quotePrefix="1" applyFill="1"/>
    <xf numFmtId="0" fontId="42" fillId="3" borderId="0" xfId="0" applyFont="1" applyFill="1" applyBorder="1" applyAlignment="1">
      <alignment horizontal="justify" vertical="top" wrapText="1"/>
    </xf>
    <xf numFmtId="0" fontId="0" fillId="3" borderId="0" xfId="0" applyFill="1" applyBorder="1" applyAlignment="1">
      <alignment horizontal="left"/>
    </xf>
    <xf numFmtId="0" fontId="0" fillId="0" borderId="37" xfId="0" applyBorder="1"/>
    <xf numFmtId="0" fontId="21" fillId="0" borderId="17" xfId="0" applyFont="1" applyBorder="1"/>
    <xf numFmtId="0" fontId="21" fillId="0" borderId="0" xfId="0" applyFont="1" applyBorder="1"/>
    <xf numFmtId="0" fontId="0" fillId="0" borderId="18" xfId="0" applyBorder="1"/>
    <xf numFmtId="0" fontId="21" fillId="0" borderId="34" xfId="0" applyFont="1" applyBorder="1"/>
    <xf numFmtId="0" fontId="44" fillId="2" borderId="39" xfId="0" applyFont="1" applyFill="1" applyBorder="1"/>
    <xf numFmtId="0" fontId="0" fillId="0" borderId="40" xfId="0" applyBorder="1"/>
    <xf numFmtId="0" fontId="0" fillId="0" borderId="41" xfId="0" applyBorder="1"/>
    <xf numFmtId="0" fontId="0" fillId="2" borderId="42" xfId="0" applyFill="1" applyBorder="1"/>
    <xf numFmtId="0" fontId="45" fillId="0" borderId="43" xfId="0" applyFont="1" applyBorder="1"/>
    <xf numFmtId="0" fontId="0" fillId="0" borderId="44" xfId="0" applyBorder="1"/>
    <xf numFmtId="0" fontId="0" fillId="0" borderId="34" xfId="0" applyBorder="1" applyAlignment="1">
      <alignment horizontal="left" indent="1"/>
    </xf>
    <xf numFmtId="0" fontId="44" fillId="2" borderId="17" xfId="0" applyFont="1" applyFill="1" applyBorder="1"/>
    <xf numFmtId="0" fontId="0" fillId="0" borderId="45" xfId="0" applyBorder="1" applyAlignment="1">
      <alignment horizontal="left" indent="1"/>
    </xf>
    <xf numFmtId="0" fontId="43" fillId="0" borderId="21" xfId="0" applyFont="1" applyBorder="1" applyAlignment="1">
      <alignment horizontal="left" wrapText="1"/>
    </xf>
    <xf numFmtId="0" fontId="44" fillId="2" borderId="42" xfId="0" applyFont="1" applyFill="1" applyBorder="1"/>
    <xf numFmtId="0" fontId="0" fillId="0" borderId="43" xfId="0" applyBorder="1"/>
    <xf numFmtId="0" fontId="0" fillId="0" borderId="45" xfId="0" applyBorder="1" applyAlignment="1">
      <alignment horizontal="left"/>
    </xf>
    <xf numFmtId="0" fontId="45" fillId="0" borderId="0" xfId="0" applyFont="1" applyFill="1" applyBorder="1"/>
    <xf numFmtId="0" fontId="0" fillId="0" borderId="0" xfId="0" applyFont="1" applyBorder="1"/>
    <xf numFmtId="0" fontId="46" fillId="0" borderId="0" xfId="0" applyFont="1" applyBorder="1"/>
    <xf numFmtId="0" fontId="45" fillId="0" borderId="18" xfId="0" applyFont="1" applyBorder="1"/>
    <xf numFmtId="0" fontId="0" fillId="0" borderId="43" xfId="0" applyFill="1" applyBorder="1"/>
    <xf numFmtId="0" fontId="0" fillId="0" borderId="46" xfId="0" applyBorder="1"/>
    <xf numFmtId="0" fontId="0" fillId="0" borderId="47" xfId="0" applyBorder="1"/>
    <xf numFmtId="0" fontId="44" fillId="2" borderId="19" xfId="0" applyFont="1" applyFill="1" applyBorder="1"/>
    <xf numFmtId="0" fontId="0" fillId="0" borderId="11" xfId="0" applyBorder="1"/>
    <xf numFmtId="0" fontId="0" fillId="0" borderId="20" xfId="0" applyBorder="1"/>
    <xf numFmtId="0" fontId="0" fillId="0" borderId="38" xfId="0" applyBorder="1" applyAlignment="1">
      <alignment horizontal="left" indent="1"/>
    </xf>
    <xf numFmtId="0" fontId="5" fillId="0" borderId="0" xfId="0" applyFont="1" applyAlignment="1">
      <alignment horizontal="center" vertical="center"/>
    </xf>
    <xf numFmtId="0" fontId="26" fillId="0" borderId="0" xfId="0" applyFont="1"/>
    <xf numFmtId="0" fontId="5" fillId="0" borderId="48" xfId="0" applyFont="1" applyBorder="1"/>
    <xf numFmtId="0" fontId="0" fillId="0" borderId="49" xfId="0" applyBorder="1"/>
    <xf numFmtId="0" fontId="47" fillId="0" borderId="0" xfId="0" applyFont="1" applyAlignment="1">
      <alignment horizontal="center" vertical="center"/>
    </xf>
    <xf numFmtId="0" fontId="5" fillId="0" borderId="0" xfId="0" applyFont="1"/>
    <xf numFmtId="0" fontId="47" fillId="0" borderId="50" xfId="0" applyFont="1" applyBorder="1" applyAlignment="1">
      <alignment vertical="top" wrapText="1"/>
    </xf>
    <xf numFmtId="0" fontId="0" fillId="0" borderId="51" xfId="0" applyBorder="1"/>
    <xf numFmtId="0" fontId="5" fillId="0" borderId="52" xfId="0" applyFont="1" applyBorder="1" applyAlignment="1">
      <alignment horizontal="center"/>
    </xf>
    <xf numFmtId="0" fontId="5" fillId="0" borderId="53" xfId="0" applyFont="1" applyFill="1" applyBorder="1"/>
    <xf numFmtId="0" fontId="0" fillId="0" borderId="54" xfId="0" applyBorder="1"/>
    <xf numFmtId="0" fontId="47" fillId="0" borderId="0" xfId="0" applyFont="1" applyAlignment="1">
      <alignment vertical="top" wrapText="1"/>
    </xf>
    <xf numFmtId="0" fontId="48" fillId="0" borderId="50" xfId="0" applyFont="1" applyBorder="1" applyAlignment="1">
      <alignment vertical="top" wrapText="1"/>
    </xf>
    <xf numFmtId="0" fontId="47" fillId="0" borderId="0" xfId="0" applyFont="1" applyBorder="1" applyAlignment="1">
      <alignment vertical="top" wrapText="1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/>
    </xf>
    <xf numFmtId="0" fontId="49" fillId="0" borderId="0" xfId="0" applyFont="1"/>
    <xf numFmtId="0" fontId="26" fillId="0" borderId="50" xfId="0" applyFont="1" applyBorder="1"/>
    <xf numFmtId="0" fontId="5" fillId="0" borderId="0" xfId="0" applyFont="1" applyFill="1" applyBorder="1"/>
    <xf numFmtId="14" fontId="5" fillId="0" borderId="0" xfId="0" quotePrefix="1" applyNumberFormat="1" applyFont="1" applyFill="1" applyBorder="1"/>
    <xf numFmtId="0" fontId="3" fillId="0" borderId="0" xfId="0" applyFont="1" applyFill="1" applyBorder="1"/>
    <xf numFmtId="0" fontId="50" fillId="0" borderId="0" xfId="0" applyFont="1"/>
    <xf numFmtId="0" fontId="5" fillId="0" borderId="5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58" xfId="0" quotePrefix="1" applyNumberFormat="1" applyFont="1" applyFill="1" applyBorder="1" applyAlignment="1">
      <alignment horizontal="center"/>
    </xf>
    <xf numFmtId="14" fontId="5" fillId="0" borderId="0" xfId="0" quotePrefix="1" applyNumberFormat="1" applyFont="1" applyFill="1" applyBorder="1" applyAlignment="1">
      <alignment horizontal="center"/>
    </xf>
    <xf numFmtId="0" fontId="5" fillId="0" borderId="59" xfId="0" applyFont="1" applyFill="1" applyBorder="1" applyAlignment="1">
      <alignment horizontal="center"/>
    </xf>
    <xf numFmtId="43" fontId="5" fillId="0" borderId="0" xfId="0" applyNumberFormat="1" applyFont="1" applyFill="1" applyBorder="1"/>
    <xf numFmtId="0" fontId="26" fillId="0" borderId="53" xfId="0" applyFont="1" applyBorder="1"/>
    <xf numFmtId="0" fontId="5" fillId="0" borderId="43" xfId="0" applyFont="1" applyFill="1" applyBorder="1"/>
    <xf numFmtId="0" fontId="3" fillId="0" borderId="43" xfId="0" applyFont="1" applyFill="1" applyBorder="1"/>
    <xf numFmtId="0" fontId="47" fillId="0" borderId="0" xfId="0" applyFont="1" applyAlignment="1">
      <alignment horizontal="center" vertical="center" wrapText="1"/>
    </xf>
    <xf numFmtId="0" fontId="47" fillId="0" borderId="51" xfId="0" applyFont="1" applyBorder="1" applyAlignment="1">
      <alignment vertical="top" wrapText="1"/>
    </xf>
    <xf numFmtId="0" fontId="3" fillId="0" borderId="0" xfId="0" applyFont="1" applyFill="1"/>
    <xf numFmtId="0" fontId="26" fillId="0" borderId="50" xfId="0" applyFont="1" applyFill="1" applyBorder="1"/>
    <xf numFmtId="14" fontId="5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0" fontId="26" fillId="0" borderId="53" xfId="0" applyFont="1" applyFill="1" applyBorder="1"/>
    <xf numFmtId="14" fontId="5" fillId="0" borderId="43" xfId="0" applyNumberFormat="1" applyFont="1" applyBorder="1" applyAlignment="1">
      <alignment horizontal="right"/>
    </xf>
    <xf numFmtId="0" fontId="5" fillId="0" borderId="43" xfId="0" applyFont="1" applyBorder="1"/>
    <xf numFmtId="14" fontId="5" fillId="0" borderId="43" xfId="0" applyNumberFormat="1" applyFont="1" applyFill="1" applyBorder="1" applyAlignment="1">
      <alignment horizontal="right"/>
    </xf>
    <xf numFmtId="14" fontId="5" fillId="0" borderId="0" xfId="0" applyNumberFormat="1" applyFont="1" applyFill="1" applyAlignment="1">
      <alignment horizontal="right"/>
    </xf>
    <xf numFmtId="0" fontId="48" fillId="0" borderId="0" xfId="0" applyFont="1" applyBorder="1" applyAlignment="1">
      <alignment vertical="top" wrapText="1"/>
    </xf>
    <xf numFmtId="0" fontId="47" fillId="0" borderId="51" xfId="0" applyFont="1" applyBorder="1" applyAlignment="1">
      <alignment vertical="center" wrapText="1"/>
    </xf>
    <xf numFmtId="3" fontId="52" fillId="0" borderId="0" xfId="0" applyNumberFormat="1" applyFont="1" applyBorder="1"/>
    <xf numFmtId="0" fontId="5" fillId="0" borderId="51" xfId="0" applyFont="1" applyBorder="1"/>
    <xf numFmtId="0" fontId="5" fillId="0" borderId="58" xfId="0" applyFont="1" applyBorder="1"/>
    <xf numFmtId="0" fontId="5" fillId="0" borderId="59" xfId="0" applyFont="1" applyBorder="1"/>
    <xf numFmtId="0" fontId="53" fillId="0" borderId="0" xfId="0" applyFont="1" applyBorder="1"/>
    <xf numFmtId="0" fontId="26" fillId="0" borderId="0" xfId="0" applyFont="1" applyBorder="1"/>
    <xf numFmtId="3" fontId="52" fillId="0" borderId="43" xfId="0" applyNumberFormat="1" applyFont="1" applyBorder="1"/>
    <xf numFmtId="0" fontId="52" fillId="0" borderId="0" xfId="0" applyFont="1" applyBorder="1"/>
    <xf numFmtId="0" fontId="6" fillId="0" borderId="0" xfId="0" applyFont="1" applyFill="1" applyAlignment="1">
      <alignment horizontal="right"/>
    </xf>
    <xf numFmtId="173" fontId="3" fillId="0" borderId="0" xfId="0" applyNumberFormat="1" applyFont="1" applyFill="1" applyAlignment="1"/>
    <xf numFmtId="0" fontId="0" fillId="0" borderId="17" xfId="0" applyFont="1" applyBorder="1" applyAlignment="1">
      <alignment wrapText="1"/>
    </xf>
    <xf numFmtId="173" fontId="6" fillId="2" borderId="0" xfId="0" applyNumberFormat="1" applyFont="1" applyFill="1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>
      <alignment horizontal="right"/>
    </xf>
    <xf numFmtId="173" fontId="6" fillId="2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73" fontId="6" fillId="2" borderId="18" xfId="0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0" fillId="2" borderId="15" xfId="0" applyFill="1" applyBorder="1"/>
    <xf numFmtId="174" fontId="55" fillId="0" borderId="37" xfId="1" applyNumberFormat="1" applyFont="1" applyBorder="1"/>
    <xf numFmtId="175" fontId="55" fillId="0" borderId="37" xfId="1" applyNumberFormat="1" applyFont="1" applyBorder="1"/>
    <xf numFmtId="174" fontId="3" fillId="0" borderId="0" xfId="0" quotePrefix="1" applyNumberFormat="1" applyFont="1" applyBorder="1"/>
    <xf numFmtId="169" fontId="0" fillId="0" borderId="37" xfId="1" applyNumberFormat="1" applyFont="1" applyBorder="1"/>
    <xf numFmtId="169" fontId="0" fillId="0" borderId="0" xfId="0" applyNumberFormat="1" applyBorder="1"/>
    <xf numFmtId="0" fontId="0" fillId="2" borderId="37" xfId="0" applyFill="1" applyBorder="1"/>
    <xf numFmtId="0" fontId="0" fillId="0" borderId="16" xfId="0" applyBorder="1"/>
    <xf numFmtId="0" fontId="0" fillId="0" borderId="9" xfId="0" applyBorder="1" applyAlignment="1">
      <alignment horizontal="center"/>
    </xf>
    <xf numFmtId="0" fontId="0" fillId="2" borderId="17" xfId="0" applyFill="1" applyBorder="1"/>
    <xf numFmtId="174" fontId="55" fillId="0" borderId="34" xfId="1" applyNumberFormat="1" applyFont="1" applyBorder="1"/>
    <xf numFmtId="175" fontId="55" fillId="0" borderId="34" xfId="1" applyNumberFormat="1" applyFont="1" applyBorder="1"/>
    <xf numFmtId="169" fontId="0" fillId="0" borderId="34" xfId="1" applyNumberFormat="1" applyFont="1" applyBorder="1"/>
    <xf numFmtId="0" fontId="0" fillId="2" borderId="34" xfId="0" applyFill="1" applyBorder="1"/>
    <xf numFmtId="0" fontId="0" fillId="0" borderId="10" xfId="0" applyBorder="1" applyAlignment="1">
      <alignment horizontal="center"/>
    </xf>
    <xf numFmtId="0" fontId="0" fillId="2" borderId="38" xfId="0" applyFill="1" applyBorder="1"/>
    <xf numFmtId="0" fontId="0" fillId="2" borderId="19" xfId="0" applyFill="1" applyBorder="1"/>
    <xf numFmtId="174" fontId="55" fillId="0" borderId="38" xfId="1" applyNumberFormat="1" applyFont="1" applyBorder="1"/>
    <xf numFmtId="175" fontId="55" fillId="0" borderId="38" xfId="1" applyNumberFormat="1" applyFont="1" applyBorder="1"/>
    <xf numFmtId="0" fontId="0" fillId="0" borderId="17" xfId="0" applyBorder="1"/>
    <xf numFmtId="173" fontId="0" fillId="0" borderId="0" xfId="0" applyNumberFormat="1" applyBorder="1"/>
    <xf numFmtId="0" fontId="0" fillId="0" borderId="19" xfId="0" applyBorder="1"/>
    <xf numFmtId="173" fontId="0" fillId="0" borderId="11" xfId="0" applyNumberFormat="1" applyBorder="1"/>
    <xf numFmtId="169" fontId="0" fillId="0" borderId="38" xfId="1" applyNumberFormat="1" applyFont="1" applyBorder="1"/>
    <xf numFmtId="173" fontId="0" fillId="0" borderId="0" xfId="0" applyNumberFormat="1"/>
    <xf numFmtId="1" fontId="0" fillId="0" borderId="0" xfId="0" applyNumberFormat="1" applyFill="1" applyAlignment="1"/>
    <xf numFmtId="1" fontId="3" fillId="0" borderId="0" xfId="0" applyNumberFormat="1" applyFont="1" applyAlignment="1"/>
    <xf numFmtId="1" fontId="6" fillId="0" borderId="0" xfId="0" applyNumberFormat="1" applyFont="1" applyFill="1" applyAlignment="1"/>
    <xf numFmtId="1" fontId="3" fillId="0" borderId="0" xfId="0" applyNumberFormat="1" applyFont="1" applyFill="1" applyAlignment="1"/>
    <xf numFmtId="0" fontId="45" fillId="0" borderId="0" xfId="0" applyFont="1"/>
    <xf numFmtId="1" fontId="3" fillId="0" borderId="0" xfId="0" applyNumberFormat="1" applyFont="1" applyAlignment="1">
      <alignment horizontal="left"/>
    </xf>
    <xf numFmtId="0" fontId="56" fillId="0" borderId="0" xfId="0" applyFont="1" applyAlignment="1"/>
    <xf numFmtId="0" fontId="56" fillId="0" borderId="0" xfId="0" applyFont="1"/>
    <xf numFmtId="0" fontId="0" fillId="0" borderId="17" xfId="0" applyFont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1" fontId="6" fillId="2" borderId="2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9" fontId="0" fillId="0" borderId="21" xfId="0" applyNumberFormat="1" applyFill="1" applyBorder="1" applyAlignment="1">
      <alignment horizontal="center"/>
    </xf>
    <xf numFmtId="9" fontId="0" fillId="0" borderId="21" xfId="0" applyNumberFormat="1" applyBorder="1" applyAlignment="1">
      <alignment horizontal="center" vertical="center"/>
    </xf>
    <xf numFmtId="9" fontId="3" fillId="0" borderId="21" xfId="0" applyNumberFormat="1" applyFont="1" applyFill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8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2" borderId="19" xfId="0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9" fontId="3" fillId="0" borderId="11" xfId="0" applyNumberFormat="1" applyFont="1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0" xfId="0" applyFont="1"/>
    <xf numFmtId="0" fontId="0" fillId="0" borderId="17" xfId="0" applyFont="1" applyBorder="1" applyAlignment="1">
      <alignment horizontal="left" vertical="top"/>
    </xf>
    <xf numFmtId="0" fontId="6" fillId="2" borderId="0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2" borderId="15" xfId="0" applyFont="1" applyFill="1" applyBorder="1"/>
    <xf numFmtId="0" fontId="3" fillId="0" borderId="21" xfId="0" applyFont="1" applyBorder="1"/>
    <xf numFmtId="0" fontId="0" fillId="0" borderId="21" xfId="0" applyBorder="1"/>
    <xf numFmtId="0" fontId="3" fillId="2" borderId="17" xfId="0" applyFont="1" applyFill="1" applyBorder="1"/>
    <xf numFmtId="0" fontId="3" fillId="0" borderId="0" xfId="0" applyFont="1" applyBorder="1"/>
    <xf numFmtId="171" fontId="3" fillId="0" borderId="0" xfId="0" applyNumberFormat="1" applyFont="1" applyBorder="1"/>
    <xf numFmtId="1" fontId="3" fillId="0" borderId="0" xfId="0" applyNumberFormat="1" applyFont="1" applyFill="1" applyBorder="1"/>
    <xf numFmtId="171" fontId="3" fillId="0" borderId="0" xfId="0" applyNumberFormat="1" applyFont="1" applyFill="1" applyBorder="1"/>
    <xf numFmtId="9" fontId="3" fillId="0" borderId="21" xfId="2" applyFont="1" applyBorder="1"/>
    <xf numFmtId="9" fontId="3" fillId="0" borderId="0" xfId="2" applyFont="1" applyBorder="1"/>
    <xf numFmtId="0" fontId="3" fillId="2" borderId="19" xfId="0" applyFont="1" applyFill="1" applyBorder="1"/>
    <xf numFmtId="171" fontId="3" fillId="0" borderId="11" xfId="0" applyNumberFormat="1" applyFont="1" applyFill="1" applyBorder="1"/>
    <xf numFmtId="0" fontId="0" fillId="0" borderId="0" xfId="0" applyFill="1" applyAlignment="1"/>
    <xf numFmtId="2" fontId="6" fillId="0" borderId="0" xfId="0" applyNumberFormat="1" applyFont="1" applyAlignment="1"/>
    <xf numFmtId="0" fontId="0" fillId="0" borderId="0" xfId="0" applyFill="1" applyAlignment="1">
      <alignment horizontal="center"/>
    </xf>
    <xf numFmtId="0" fontId="0" fillId="0" borderId="9" xfId="0" applyFill="1" applyBorder="1" applyAlignment="1">
      <alignment vertical="center"/>
    </xf>
    <xf numFmtId="0" fontId="19" fillId="0" borderId="4" xfId="0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left"/>
    </xf>
    <xf numFmtId="0" fontId="6" fillId="0" borderId="39" xfId="0" applyFont="1" applyFill="1" applyBorder="1" applyAlignment="1">
      <alignment horizontal="left"/>
    </xf>
    <xf numFmtId="1" fontId="6" fillId="2" borderId="2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40" xfId="0" applyFont="1" applyFill="1" applyBorder="1" applyAlignment="1">
      <alignment horizontal="right"/>
    </xf>
    <xf numFmtId="0" fontId="0" fillId="2" borderId="17" xfId="0" applyFill="1" applyBorder="1" applyAlignment="1">
      <alignment horizontal="left"/>
    </xf>
    <xf numFmtId="10" fontId="60" fillId="0" borderId="0" xfId="2" applyNumberFormat="1" applyFont="1" applyFill="1" applyBorder="1" applyAlignment="1">
      <alignment horizontal="right"/>
    </xf>
    <xf numFmtId="10" fontId="60" fillId="21" borderId="0" xfId="2" applyNumberFormat="1" applyFont="1" applyFill="1" applyBorder="1" applyAlignment="1">
      <alignment horizontal="right"/>
    </xf>
    <xf numFmtId="10" fontId="60" fillId="0" borderId="18" xfId="2" applyNumberFormat="1" applyFont="1" applyFill="1" applyBorder="1" applyAlignment="1">
      <alignment horizontal="right"/>
    </xf>
    <xf numFmtId="0" fontId="61" fillId="0" borderId="0" xfId="0" applyFont="1" applyFill="1" applyBorder="1" applyAlignment="1">
      <alignment horizontal="justify" vertical="top" wrapText="1"/>
    </xf>
    <xf numFmtId="10" fontId="0" fillId="0" borderId="0" xfId="2" applyNumberFormat="1" applyFont="1" applyFill="1" applyBorder="1" applyAlignment="1">
      <alignment horizontal="right"/>
    </xf>
    <xf numFmtId="10" fontId="0" fillId="0" borderId="18" xfId="2" applyNumberFormat="1" applyFont="1" applyFill="1" applyBorder="1" applyAlignment="1">
      <alignment horizontal="right"/>
    </xf>
    <xf numFmtId="10" fontId="3" fillId="0" borderId="0" xfId="2" applyNumberFormat="1" applyFont="1" applyFill="1" applyBorder="1" applyAlignment="1">
      <alignment horizontal="right"/>
    </xf>
    <xf numFmtId="0" fontId="3" fillId="0" borderId="0" xfId="1" applyNumberFormat="1" applyFont="1" applyFill="1" applyBorder="1" applyAlignment="1">
      <alignment horizontal="right"/>
    </xf>
    <xf numFmtId="2" fontId="36" fillId="0" borderId="0" xfId="1" applyNumberFormat="1" applyFont="1" applyFill="1" applyBorder="1" applyAlignment="1">
      <alignment horizontal="right"/>
    </xf>
    <xf numFmtId="0" fontId="36" fillId="0" borderId="0" xfId="1" applyNumberFormat="1" applyFont="1" applyFill="1" applyBorder="1" applyAlignment="1">
      <alignment horizontal="right"/>
    </xf>
    <xf numFmtId="10" fontId="36" fillId="0" borderId="0" xfId="2" applyNumberFormat="1" applyFont="1" applyFill="1" applyBorder="1" applyAlignment="1">
      <alignment horizontal="right"/>
    </xf>
    <xf numFmtId="4" fontId="3" fillId="0" borderId="0" xfId="2" applyNumberFormat="1" applyFont="1" applyFill="1" applyBorder="1" applyAlignment="1">
      <alignment horizontal="right"/>
    </xf>
    <xf numFmtId="2" fontId="36" fillId="0" borderId="0" xfId="2" applyNumberFormat="1" applyFont="1" applyFill="1" applyBorder="1" applyAlignment="1">
      <alignment horizontal="right"/>
    </xf>
    <xf numFmtId="4" fontId="36" fillId="0" borderId="0" xfId="2" applyNumberFormat="1" applyFont="1" applyFill="1" applyBorder="1" applyAlignment="1">
      <alignment horizontal="right"/>
    </xf>
    <xf numFmtId="4" fontId="0" fillId="0" borderId="0" xfId="2" applyNumberFormat="1" applyFont="1" applyFill="1" applyBorder="1" applyAlignment="1">
      <alignment horizontal="right"/>
    </xf>
    <xf numFmtId="4" fontId="0" fillId="0" borderId="18" xfId="2" applyNumberFormat="1" applyFont="1" applyFill="1" applyBorder="1" applyAlignment="1">
      <alignment horizontal="right"/>
    </xf>
    <xf numFmtId="0" fontId="36" fillId="2" borderId="17" xfId="0" applyFont="1" applyFill="1" applyBorder="1" applyAlignment="1">
      <alignment horizontal="left"/>
    </xf>
    <xf numFmtId="4" fontId="36" fillId="0" borderId="18" xfId="2" applyNumberFormat="1" applyFont="1" applyFill="1" applyBorder="1" applyAlignment="1">
      <alignment horizontal="right"/>
    </xf>
    <xf numFmtId="0" fontId="3" fillId="2" borderId="17" xfId="0" applyFont="1" applyFill="1" applyBorder="1" applyAlignment="1">
      <alignment horizontal="left"/>
    </xf>
    <xf numFmtId="9" fontId="3" fillId="0" borderId="0" xfId="2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  <xf numFmtId="9" fontId="3" fillId="0" borderId="18" xfId="2" applyFont="1" applyFill="1" applyBorder="1" applyAlignment="1">
      <alignment horizontal="right"/>
    </xf>
    <xf numFmtId="0" fontId="36" fillId="0" borderId="0" xfId="0" applyFont="1" applyFill="1"/>
    <xf numFmtId="9" fontId="36" fillId="0" borderId="0" xfId="2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9" fontId="0" fillId="0" borderId="18" xfId="2" applyFont="1" applyFill="1" applyBorder="1" applyAlignment="1">
      <alignment horizontal="right"/>
    </xf>
    <xf numFmtId="0" fontId="60" fillId="2" borderId="17" xfId="0" applyFont="1" applyFill="1" applyBorder="1" applyAlignment="1">
      <alignment horizontal="left"/>
    </xf>
    <xf numFmtId="9" fontId="60" fillId="0" borderId="0" xfId="2" applyFont="1" applyFill="1" applyBorder="1" applyAlignment="1">
      <alignment horizontal="right"/>
    </xf>
    <xf numFmtId="9" fontId="60" fillId="0" borderId="18" xfId="2" applyFont="1" applyFill="1" applyBorder="1" applyAlignment="1">
      <alignment horizontal="right"/>
    </xf>
    <xf numFmtId="177" fontId="3" fillId="0" borderId="0" xfId="2" applyNumberFormat="1" applyFont="1" applyFill="1" applyBorder="1" applyAlignment="1">
      <alignment horizontal="right"/>
    </xf>
    <xf numFmtId="177" fontId="60" fillId="0" borderId="0" xfId="2" applyNumberFormat="1" applyFont="1" applyFill="1" applyBorder="1" applyAlignment="1">
      <alignment horizontal="right"/>
    </xf>
    <xf numFmtId="177" fontId="60" fillId="0" borderId="18" xfId="2" applyNumberFormat="1" applyFont="1" applyFill="1" applyBorder="1" applyAlignment="1">
      <alignment horizontal="right"/>
    </xf>
    <xf numFmtId="0" fontId="0" fillId="0" borderId="0" xfId="1" applyNumberFormat="1" applyFont="1" applyFill="1" applyBorder="1" applyAlignment="1">
      <alignment horizontal="right"/>
    </xf>
    <xf numFmtId="178" fontId="0" fillId="0" borderId="0" xfId="1" applyNumberFormat="1" applyFont="1" applyFill="1" applyBorder="1" applyAlignment="1">
      <alignment horizontal="right"/>
    </xf>
    <xf numFmtId="178" fontId="0" fillId="0" borderId="18" xfId="1" applyNumberFormat="1" applyFont="1" applyFill="1" applyBorder="1" applyAlignment="1">
      <alignment horizontal="right"/>
    </xf>
    <xf numFmtId="43" fontId="0" fillId="0" borderId="0" xfId="1" applyNumberFormat="1" applyFont="1" applyFill="1" applyBorder="1" applyAlignment="1">
      <alignment horizontal="right"/>
    </xf>
    <xf numFmtId="43" fontId="0" fillId="0" borderId="18" xfId="1" applyNumberFormat="1" applyFont="1" applyFill="1" applyBorder="1" applyAlignment="1">
      <alignment horizontal="right"/>
    </xf>
    <xf numFmtId="177" fontId="0" fillId="0" borderId="0" xfId="2" applyNumberFormat="1" applyFont="1" applyFill="1" applyBorder="1" applyAlignment="1">
      <alignment horizontal="right"/>
    </xf>
    <xf numFmtId="177" fontId="0" fillId="0" borderId="18" xfId="2" applyNumberFormat="1" applyFont="1" applyFill="1" applyBorder="1" applyAlignment="1">
      <alignment horizontal="right"/>
    </xf>
    <xf numFmtId="167" fontId="0" fillId="2" borderId="17" xfId="2" applyNumberFormat="1" applyFont="1" applyFill="1" applyBorder="1" applyAlignment="1">
      <alignment horizontal="left"/>
    </xf>
    <xf numFmtId="167" fontId="0" fillId="0" borderId="0" xfId="2" applyNumberFormat="1" applyFont="1" applyFill="1" applyBorder="1" applyAlignment="1">
      <alignment horizontal="right"/>
    </xf>
    <xf numFmtId="167" fontId="0" fillId="0" borderId="18" xfId="2" applyNumberFormat="1" applyFont="1" applyFill="1" applyBorder="1" applyAlignment="1">
      <alignment horizontal="right"/>
    </xf>
    <xf numFmtId="167" fontId="0" fillId="0" borderId="0" xfId="2" applyNumberFormat="1" applyFont="1" applyFill="1"/>
    <xf numFmtId="167" fontId="61" fillId="0" borderId="0" xfId="2" applyNumberFormat="1" applyFont="1" applyFill="1" applyBorder="1" applyAlignment="1">
      <alignment horizontal="justify" vertical="top" wrapText="1"/>
    </xf>
    <xf numFmtId="167" fontId="3" fillId="2" borderId="17" xfId="2" applyNumberFormat="1" applyFont="1" applyFill="1" applyBorder="1" applyAlignment="1">
      <alignment horizontal="left"/>
    </xf>
    <xf numFmtId="4" fontId="0" fillId="21" borderId="0" xfId="2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2" applyNumberFormat="1" applyFont="1" applyFill="1" applyBorder="1" applyAlignment="1">
      <alignment horizontal="right"/>
    </xf>
    <xf numFmtId="1" fontId="0" fillId="0" borderId="11" xfId="0" applyNumberFormat="1" applyFill="1" applyBorder="1" applyAlignment="1">
      <alignment horizontal="right"/>
    </xf>
    <xf numFmtId="4" fontId="0" fillId="0" borderId="11" xfId="2" applyNumberFormat="1" applyFont="1" applyFill="1" applyBorder="1" applyAlignment="1">
      <alignment horizontal="right"/>
    </xf>
    <xf numFmtId="4" fontId="0" fillId="0" borderId="20" xfId="2" applyNumberFormat="1" applyFont="1" applyFill="1" applyBorder="1" applyAlignment="1">
      <alignment horizontal="right"/>
    </xf>
    <xf numFmtId="10" fontId="0" fillId="0" borderId="0" xfId="0" applyNumberFormat="1" applyFill="1"/>
    <xf numFmtId="2" fontId="0" fillId="0" borderId="0" xfId="0" applyNumberFormat="1"/>
    <xf numFmtId="0" fontId="6" fillId="0" borderId="0" xfId="0" applyNumberFormat="1" applyFont="1" applyAlignment="1">
      <alignment horizontal="left"/>
    </xf>
    <xf numFmtId="2" fontId="6" fillId="0" borderId="0" xfId="0" applyNumberFormat="1" applyFont="1" applyFill="1" applyAlignment="1">
      <alignment horizontal="right"/>
    </xf>
    <xf numFmtId="2" fontId="3" fillId="0" borderId="0" xfId="0" applyNumberFormat="1" applyFont="1" applyAlignment="1"/>
    <xf numFmtId="2" fontId="6" fillId="0" borderId="0" xfId="0" applyNumberFormat="1" applyFont="1" applyAlignment="1">
      <alignment horizontal="center"/>
    </xf>
    <xf numFmtId="2" fontId="3" fillId="0" borderId="0" xfId="0" applyNumberFormat="1" applyFont="1"/>
    <xf numFmtId="0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2" fontId="45" fillId="0" borderId="0" xfId="0" applyNumberFormat="1" applyFont="1"/>
    <xf numFmtId="2" fontId="0" fillId="0" borderId="0" xfId="0" applyNumberFormat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79" fontId="3" fillId="0" borderId="29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29" xfId="0" applyNumberFormat="1" applyFont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0" fontId="6" fillId="0" borderId="17" xfId="0" applyNumberFormat="1" applyFont="1" applyBorder="1" applyAlignment="1">
      <alignment horizontal="center"/>
    </xf>
    <xf numFmtId="0" fontId="0" fillId="0" borderId="0" xfId="0" applyNumberFormat="1"/>
    <xf numFmtId="0" fontId="0" fillId="0" borderId="17" xfId="0" applyNumberFormat="1" applyBorder="1" applyAlignment="1">
      <alignment horizontal="center"/>
    </xf>
    <xf numFmtId="0" fontId="6" fillId="2" borderId="11" xfId="0" applyNumberFormat="1" applyFont="1" applyFill="1" applyBorder="1" applyAlignment="1">
      <alignment horizontal="right"/>
    </xf>
    <xf numFmtId="0" fontId="6" fillId="2" borderId="20" xfId="0" applyNumberFormat="1" applyFont="1" applyFill="1" applyBorder="1" applyAlignment="1">
      <alignment horizontal="right"/>
    </xf>
    <xf numFmtId="0" fontId="0" fillId="2" borderId="15" xfId="0" applyNumberFormat="1" applyFill="1" applyBorder="1" applyAlignment="1">
      <alignment horizontal="center"/>
    </xf>
    <xf numFmtId="2" fontId="0" fillId="0" borderId="21" xfId="0" applyNumberFormat="1" applyFill="1" applyBorder="1" applyAlignment="1">
      <alignment horizontal="right"/>
    </xf>
    <xf numFmtId="2" fontId="0" fillId="0" borderId="21" xfId="0" applyNumberFormat="1" applyBorder="1" applyAlignment="1">
      <alignment horizontal="right"/>
    </xf>
    <xf numFmtId="2" fontId="0" fillId="0" borderId="16" xfId="0" applyNumberFormat="1" applyBorder="1" applyAlignment="1">
      <alignment horizontal="right"/>
    </xf>
    <xf numFmtId="0" fontId="0" fillId="2" borderId="17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6" fillId="0" borderId="0" xfId="0" applyNumberFormat="1" applyFont="1" applyAlignment="1">
      <alignment horizontal="center" vertical="center"/>
    </xf>
    <xf numFmtId="0" fontId="0" fillId="2" borderId="19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6" fillId="0" borderId="18" xfId="0" applyNumberFormat="1" applyFont="1" applyFill="1" applyBorder="1" applyAlignment="1">
      <alignment horizontal="right"/>
    </xf>
    <xf numFmtId="2" fontId="6" fillId="2" borderId="63" xfId="0" applyNumberFormat="1" applyFont="1" applyFill="1" applyBorder="1" applyAlignment="1">
      <alignment horizontal="right"/>
    </xf>
    <xf numFmtId="180" fontId="0" fillId="0" borderId="0" xfId="1" applyNumberFormat="1" applyFont="1"/>
    <xf numFmtId="0" fontId="6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0" fillId="0" borderId="17" xfId="0" applyFont="1" applyBorder="1"/>
    <xf numFmtId="0" fontId="6" fillId="2" borderId="0" xfId="0" applyFont="1" applyFill="1" applyBorder="1"/>
    <xf numFmtId="1" fontId="6" fillId="2" borderId="0" xfId="0" applyNumberFormat="1" applyFont="1" applyFill="1" applyBorder="1" applyAlignment="1">
      <alignment horizontal="right"/>
    </xf>
    <xf numFmtId="1" fontId="6" fillId="2" borderId="18" xfId="0" applyNumberFormat="1" applyFont="1" applyFill="1" applyBorder="1" applyAlignment="1">
      <alignment horizontal="right"/>
    </xf>
    <xf numFmtId="180" fontId="0" fillId="0" borderId="21" xfId="1" applyNumberFormat="1" applyFont="1" applyBorder="1" applyAlignment="1">
      <alignment horizontal="right"/>
    </xf>
    <xf numFmtId="180" fontId="3" fillId="0" borderId="21" xfId="1" applyNumberFormat="1" applyFont="1" applyBorder="1" applyAlignment="1">
      <alignment horizontal="right"/>
    </xf>
    <xf numFmtId="180" fontId="0" fillId="0" borderId="16" xfId="1" applyNumberFormat="1" applyFont="1" applyBorder="1" applyAlignment="1">
      <alignment horizontal="right"/>
    </xf>
    <xf numFmtId="180" fontId="0" fillId="0" borderId="0" xfId="1" applyNumberFormat="1" applyFont="1" applyBorder="1" applyAlignment="1">
      <alignment horizontal="right"/>
    </xf>
    <xf numFmtId="180" fontId="3" fillId="0" borderId="0" xfId="1" applyNumberFormat="1" applyFont="1" applyBorder="1" applyAlignment="1">
      <alignment horizontal="right"/>
    </xf>
    <xf numFmtId="180" fontId="0" fillId="0" borderId="18" xfId="1" applyNumberFormat="1" applyFont="1" applyBorder="1" applyAlignment="1">
      <alignment horizontal="right"/>
    </xf>
    <xf numFmtId="180" fontId="0" fillId="0" borderId="0" xfId="1" applyNumberFormat="1" applyFont="1" applyFill="1" applyBorder="1" applyAlignment="1">
      <alignment horizontal="right"/>
    </xf>
    <xf numFmtId="0" fontId="3" fillId="2" borderId="17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2" borderId="1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right" wrapText="1"/>
    </xf>
    <xf numFmtId="180" fontId="0" fillId="0" borderId="11" xfId="1" applyNumberFormat="1" applyFont="1" applyBorder="1" applyAlignment="1">
      <alignment horizontal="right"/>
    </xf>
    <xf numFmtId="180" fontId="0" fillId="0" borderId="20" xfId="1" applyNumberFormat="1" applyFont="1" applyBorder="1" applyAlignment="1">
      <alignment horizontal="right"/>
    </xf>
    <xf numFmtId="181" fontId="3" fillId="0" borderId="0" xfId="0" applyNumberFormat="1" applyFont="1" applyFill="1" applyAlignment="1"/>
    <xf numFmtId="0" fontId="6" fillId="0" borderId="0" xfId="0" applyFont="1" applyFill="1" applyAlignment="1">
      <alignment horizontal="center" vertical="center"/>
    </xf>
    <xf numFmtId="0" fontId="0" fillId="0" borderId="17" xfId="0" applyFill="1" applyBorder="1" applyAlignment="1"/>
    <xf numFmtId="0" fontId="0" fillId="0" borderId="9" xfId="0" applyFill="1" applyBorder="1" applyAlignment="1">
      <alignment horizontal="center"/>
    </xf>
    <xf numFmtId="0" fontId="6" fillId="0" borderId="17" xfId="0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horizontal="right"/>
    </xf>
    <xf numFmtId="0" fontId="6" fillId="2" borderId="18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6" fillId="2" borderId="17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2" fontId="45" fillId="0" borderId="18" xfId="0" applyNumberFormat="1" applyFont="1" applyFill="1" applyBorder="1" applyAlignment="1">
      <alignment horizontal="right" vertical="center"/>
    </xf>
    <xf numFmtId="2" fontId="0" fillId="0" borderId="18" xfId="0" applyNumberFormat="1" applyFill="1" applyBorder="1" applyAlignment="1">
      <alignment horizontal="right" vertical="center"/>
    </xf>
    <xf numFmtId="0" fontId="6" fillId="2" borderId="60" xfId="0" applyFont="1" applyFill="1" applyBorder="1" applyAlignment="1">
      <alignment horizontal="left"/>
    </xf>
    <xf numFmtId="2" fontId="3" fillId="0" borderId="7" xfId="0" applyNumberFormat="1" applyFont="1" applyFill="1" applyBorder="1" applyAlignment="1">
      <alignment horizontal="right" vertical="center"/>
    </xf>
    <xf numFmtId="2" fontId="0" fillId="0" borderId="7" xfId="0" applyNumberFormat="1" applyFill="1" applyBorder="1" applyAlignment="1">
      <alignment horizontal="right" vertical="center"/>
    </xf>
    <xf numFmtId="2" fontId="0" fillId="0" borderId="61" xfId="0" applyNumberFormat="1" applyFill="1" applyBorder="1" applyAlignment="1">
      <alignment horizontal="right" vertical="center"/>
    </xf>
    <xf numFmtId="0" fontId="0" fillId="0" borderId="17" xfId="0" applyFill="1" applyBorder="1" applyAlignment="1">
      <alignment horizontal="left"/>
    </xf>
    <xf numFmtId="2" fontId="6" fillId="2" borderId="0" xfId="0" applyNumberFormat="1" applyFont="1" applyFill="1" applyBorder="1" applyAlignment="1">
      <alignment horizontal="right" vertical="center"/>
    </xf>
    <xf numFmtId="2" fontId="6" fillId="2" borderId="18" xfId="0" applyNumberFormat="1" applyFont="1" applyFill="1" applyBorder="1" applyAlignment="1">
      <alignment horizontal="right" vertical="center"/>
    </xf>
    <xf numFmtId="0" fontId="6" fillId="2" borderId="19" xfId="0" applyFont="1" applyFill="1" applyBorder="1" applyAlignment="1">
      <alignment horizontal="left"/>
    </xf>
    <xf numFmtId="2" fontId="3" fillId="0" borderId="11" xfId="0" applyNumberFormat="1" applyFont="1" applyFill="1" applyBorder="1" applyAlignment="1">
      <alignment horizontal="right" vertical="center"/>
    </xf>
    <xf numFmtId="2" fontId="0" fillId="0" borderId="11" xfId="0" applyNumberFormat="1" applyFill="1" applyBorder="1" applyAlignment="1">
      <alignment horizontal="right" vertical="center"/>
    </xf>
    <xf numFmtId="2" fontId="0" fillId="0" borderId="2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0" borderId="39" xfId="0" applyFill="1" applyBorder="1" applyAlignment="1"/>
    <xf numFmtId="0" fontId="0" fillId="0" borderId="2" xfId="0" applyFill="1" applyBorder="1" applyAlignment="1"/>
    <xf numFmtId="0" fontId="6" fillId="0" borderId="2" xfId="0" applyFont="1" applyFill="1" applyBorder="1" applyAlignment="1">
      <alignment horizontal="left"/>
    </xf>
    <xf numFmtId="0" fontId="6" fillId="2" borderId="2" xfId="0" applyNumberFormat="1" applyFont="1" applyFill="1" applyBorder="1" applyAlignment="1">
      <alignment horizontal="right" vertical="center"/>
    </xf>
    <xf numFmtId="0" fontId="6" fillId="2" borderId="40" xfId="0" applyNumberFormat="1" applyFont="1" applyFill="1" applyBorder="1" applyAlignment="1">
      <alignment horizontal="right" vertical="center"/>
    </xf>
    <xf numFmtId="2" fontId="3" fillId="22" borderId="0" xfId="0" applyNumberFormat="1" applyFont="1" applyFill="1" applyBorder="1" applyAlignment="1">
      <alignment horizontal="right" vertical="center"/>
    </xf>
    <xf numFmtId="182" fontId="0" fillId="0" borderId="29" xfId="0" applyNumberForma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4" xfId="0" applyFont="1" applyFill="1" applyBorder="1" applyAlignment="1">
      <alignment horizontal="center"/>
    </xf>
    <xf numFmtId="2" fontId="3" fillId="0" borderId="64" xfId="0" applyNumberFormat="1" applyFont="1" applyFill="1" applyBorder="1" applyAlignment="1">
      <alignment horizontal="right" vertical="center"/>
    </xf>
    <xf numFmtId="2" fontId="0" fillId="0" borderId="64" xfId="0" applyNumberFormat="1" applyFill="1" applyBorder="1" applyAlignment="1">
      <alignment horizontal="right" vertical="center"/>
    </xf>
    <xf numFmtId="2" fontId="0" fillId="0" borderId="65" xfId="0" applyNumberFormat="1" applyFill="1" applyBorder="1" applyAlignment="1">
      <alignment horizontal="right" vertical="center"/>
    </xf>
    <xf numFmtId="2" fontId="66" fillId="0" borderId="0" xfId="3" applyNumberFormat="1" applyBorder="1" applyAlignment="1">
      <alignment horizontal="right" vertical="center"/>
    </xf>
    <xf numFmtId="0" fontId="6" fillId="2" borderId="11" xfId="0" applyFont="1" applyFill="1" applyBorder="1" applyAlignment="1">
      <alignment horizontal="center"/>
    </xf>
    <xf numFmtId="0" fontId="0" fillId="0" borderId="70" xfId="0" applyFill="1" applyBorder="1" applyAlignment="1">
      <alignment horizontal="left"/>
    </xf>
    <xf numFmtId="0" fontId="0" fillId="0" borderId="71" xfId="0" applyFill="1" applyBorder="1" applyAlignment="1">
      <alignment horizontal="left"/>
    </xf>
    <xf numFmtId="0" fontId="6" fillId="0" borderId="71" xfId="0" applyFont="1" applyFill="1" applyBorder="1" applyAlignment="1">
      <alignment horizontal="left"/>
    </xf>
    <xf numFmtId="0" fontId="6" fillId="2" borderId="71" xfId="0" applyNumberFormat="1" applyFont="1" applyFill="1" applyBorder="1" applyAlignment="1">
      <alignment horizontal="right" vertical="center"/>
    </xf>
    <xf numFmtId="0" fontId="6" fillId="2" borderId="72" xfId="0" applyNumberFormat="1" applyFont="1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2" fontId="45" fillId="0" borderId="0" xfId="0" applyNumberFormat="1" applyFont="1" applyFill="1" applyBorder="1" applyAlignment="1">
      <alignment horizontal="right" vertical="center"/>
    </xf>
    <xf numFmtId="0" fontId="0" fillId="0" borderId="29" xfId="0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2" fontId="45" fillId="0" borderId="64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176" fontId="3" fillId="0" borderId="10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2" fontId="45" fillId="0" borderId="7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right" vertical="center"/>
    </xf>
    <xf numFmtId="2" fontId="45" fillId="0" borderId="2" xfId="0" applyNumberFormat="1" applyFont="1" applyFill="1" applyBorder="1" applyAlignment="1">
      <alignment horizontal="right" vertical="center"/>
    </xf>
    <xf numFmtId="2" fontId="0" fillId="0" borderId="2" xfId="0" applyNumberFormat="1" applyFill="1" applyBorder="1" applyAlignment="1">
      <alignment horizontal="right" vertical="center"/>
    </xf>
    <xf numFmtId="2" fontId="0" fillId="0" borderId="40" xfId="0" applyNumberForma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center" vertical="center"/>
    </xf>
    <xf numFmtId="2" fontId="45" fillId="0" borderId="1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1" fontId="3" fillId="0" borderId="0" xfId="0" applyNumberFormat="1" applyFont="1" applyFill="1" applyBorder="1" applyAlignment="1"/>
    <xf numFmtId="181" fontId="3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right"/>
    </xf>
    <xf numFmtId="181" fontId="3" fillId="0" borderId="0" xfId="0" applyNumberFormat="1" applyFont="1" applyFill="1" applyBorder="1" applyAlignment="1">
      <alignment horizontal="right"/>
    </xf>
    <xf numFmtId="1" fontId="0" fillId="0" borderId="18" xfId="0" applyNumberFormat="1" applyFill="1" applyBorder="1" applyAlignment="1">
      <alignment horizontal="right"/>
    </xf>
    <xf numFmtId="1" fontId="3" fillId="0" borderId="11" xfId="0" applyNumberFormat="1" applyFont="1" applyFill="1" applyBorder="1" applyAlignment="1">
      <alignment horizontal="right"/>
    </xf>
    <xf numFmtId="181" fontId="3" fillId="0" borderId="11" xfId="0" applyNumberFormat="1" applyFont="1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" fontId="0" fillId="0" borderId="20" xfId="0" applyNumberFormat="1" applyFill="1" applyBorder="1" applyAlignment="1">
      <alignment horizontal="right"/>
    </xf>
    <xf numFmtId="0" fontId="2" fillId="0" borderId="0" xfId="0" applyFont="1" applyFill="1" applyBorder="1" applyAlignment="1"/>
    <xf numFmtId="0" fontId="6" fillId="2" borderId="0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1" fontId="3" fillId="0" borderId="7" xfId="0" applyNumberFormat="1" applyFont="1" applyFill="1" applyBorder="1" applyAlignment="1">
      <alignment horizontal="right"/>
    </xf>
    <xf numFmtId="181" fontId="3" fillId="0" borderId="7" xfId="0" applyNumberFormat="1" applyFont="1" applyFill="1" applyBorder="1" applyAlignment="1">
      <alignment horizontal="right"/>
    </xf>
    <xf numFmtId="1" fontId="0" fillId="0" borderId="7" xfId="0" applyNumberFormat="1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1" fontId="0" fillId="0" borderId="61" xfId="0" applyNumberFormat="1" applyFill="1" applyBorder="1" applyAlignment="1">
      <alignment horizontal="right"/>
    </xf>
    <xf numFmtId="0" fontId="6" fillId="2" borderId="11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center"/>
    </xf>
    <xf numFmtId="181" fontId="3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45" fillId="0" borderId="0" xfId="0" applyFont="1" applyFill="1" applyBorder="1" applyAlignment="1"/>
    <xf numFmtId="0" fontId="0" fillId="0" borderId="17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4" xfId="0" applyNumberFormat="1" applyFont="1" applyFill="1" applyBorder="1" applyAlignment="1">
      <alignment horizontal="right"/>
    </xf>
    <xf numFmtId="0" fontId="6" fillId="2" borderId="5" xfId="0" applyNumberFormat="1" applyFont="1" applyFill="1" applyBorder="1" applyAlignment="1">
      <alignment horizontal="right"/>
    </xf>
    <xf numFmtId="1" fontId="6" fillId="2" borderId="4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right"/>
    </xf>
    <xf numFmtId="169" fontId="0" fillId="0" borderId="1" xfId="1" applyNumberFormat="1" applyFont="1" applyFill="1" applyBorder="1" applyAlignment="1">
      <alignment horizontal="right"/>
    </xf>
    <xf numFmtId="169" fontId="0" fillId="0" borderId="2" xfId="1" applyNumberFormat="1" applyFont="1" applyFill="1" applyBorder="1" applyAlignment="1">
      <alignment horizontal="right"/>
    </xf>
    <xf numFmtId="169" fontId="0" fillId="0" borderId="3" xfId="1" applyNumberFormat="1" applyFont="1" applyFill="1" applyBorder="1" applyAlignment="1">
      <alignment horizontal="left"/>
    </xf>
    <xf numFmtId="169" fontId="6" fillId="2" borderId="17" xfId="1" applyNumberFormat="1" applyFont="1" applyFill="1" applyBorder="1" applyAlignment="1">
      <alignment horizontal="left"/>
    </xf>
    <xf numFmtId="169" fontId="0" fillId="0" borderId="5" xfId="0" applyNumberFormat="1" applyFill="1" applyBorder="1" applyAlignment="1"/>
    <xf numFmtId="1" fontId="3" fillId="0" borderId="4" xfId="0" applyNumberFormat="1" applyFont="1" applyFill="1" applyBorder="1" applyAlignment="1">
      <alignment horizontal="right"/>
    </xf>
    <xf numFmtId="1" fontId="0" fillId="0" borderId="5" xfId="0" applyNumberFormat="1" applyFill="1" applyBorder="1" applyAlignment="1">
      <alignment horizontal="right"/>
    </xf>
    <xf numFmtId="169" fontId="0" fillId="0" borderId="4" xfId="1" applyNumberFormat="1" applyFont="1" applyFill="1" applyBorder="1" applyAlignment="1">
      <alignment horizontal="right"/>
    </xf>
    <xf numFmtId="169" fontId="0" fillId="0" borderId="5" xfId="1" applyNumberFormat="1" applyFont="1" applyFill="1" applyBorder="1" applyAlignment="1">
      <alignment horizontal="left"/>
    </xf>
    <xf numFmtId="0" fontId="0" fillId="0" borderId="5" xfId="0" applyFill="1" applyBorder="1" applyAlignment="1"/>
    <xf numFmtId="169" fontId="0" fillId="0" borderId="6" xfId="1" applyNumberFormat="1" applyFont="1" applyFill="1" applyBorder="1" applyAlignment="1">
      <alignment horizontal="right"/>
    </xf>
    <xf numFmtId="169" fontId="0" fillId="0" borderId="7" xfId="1" applyNumberFormat="1" applyFont="1" applyFill="1" applyBorder="1" applyAlignment="1">
      <alignment horizontal="right"/>
    </xf>
    <xf numFmtId="169" fontId="0" fillId="0" borderId="8" xfId="1" applyNumberFormat="1" applyFont="1" applyFill="1" applyBorder="1" applyAlignment="1">
      <alignment horizontal="left"/>
    </xf>
    <xf numFmtId="169" fontId="6" fillId="2" borderId="19" xfId="1" applyNumberFormat="1" applyFont="1" applyFill="1" applyBorder="1" applyAlignment="1">
      <alignment horizontal="left"/>
    </xf>
    <xf numFmtId="0" fontId="0" fillId="0" borderId="75" xfId="0" applyFill="1" applyBorder="1" applyAlignment="1"/>
    <xf numFmtId="1" fontId="3" fillId="0" borderId="76" xfId="0" applyNumberFormat="1" applyFont="1" applyFill="1" applyBorder="1" applyAlignment="1">
      <alignment horizontal="right"/>
    </xf>
    <xf numFmtId="1" fontId="0" fillId="0" borderId="75" xfId="0" applyNumberFormat="1" applyFill="1" applyBorder="1" applyAlignment="1">
      <alignment horizontal="right"/>
    </xf>
    <xf numFmtId="0" fontId="0" fillId="0" borderId="11" xfId="0" applyFill="1" applyBorder="1" applyAlignment="1"/>
    <xf numFmtId="1" fontId="0" fillId="0" borderId="20" xfId="0" applyNumberFormat="1" applyFill="1" applyBorder="1" applyAlignment="1">
      <alignment horizontal="center"/>
    </xf>
    <xf numFmtId="1" fontId="6" fillId="2" borderId="18" xfId="0" applyNumberFormat="1" applyFont="1" applyFill="1" applyBorder="1" applyAlignment="1">
      <alignment horizontal="center"/>
    </xf>
    <xf numFmtId="0" fontId="0" fillId="0" borderId="18" xfId="0" applyFill="1" applyBorder="1" applyAlignment="1"/>
    <xf numFmtId="0" fontId="0" fillId="0" borderId="61" xfId="0" applyFill="1" applyBorder="1" applyAlignment="1"/>
    <xf numFmtId="0" fontId="6" fillId="2" borderId="2" xfId="0" applyFont="1" applyFill="1" applyBorder="1" applyAlignment="1">
      <alignment horizontal="left"/>
    </xf>
    <xf numFmtId="1" fontId="3" fillId="0" borderId="2" xfId="0" applyNumberFormat="1" applyFont="1" applyFill="1" applyBorder="1" applyAlignment="1">
      <alignment horizontal="right"/>
    </xf>
    <xf numFmtId="181" fontId="3" fillId="0" borderId="2" xfId="0" applyNumberFormat="1" applyFon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40" xfId="0" applyFill="1" applyBorder="1" applyAlignment="1"/>
    <xf numFmtId="0" fontId="6" fillId="2" borderId="0" xfId="0" applyFont="1" applyFill="1" applyBorder="1" applyAlignment="1"/>
    <xf numFmtId="1" fontId="0" fillId="0" borderId="18" xfId="0" applyNumberFormat="1" applyFill="1" applyBorder="1" applyAlignment="1">
      <alignment horizontal="center"/>
    </xf>
    <xf numFmtId="0" fontId="0" fillId="0" borderId="20" xfId="0" applyFill="1" applyBorder="1" applyAlignment="1"/>
    <xf numFmtId="0" fontId="6" fillId="2" borderId="1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1" fontId="6" fillId="2" borderId="0" xfId="0" applyNumberFormat="1" applyFont="1" applyFill="1" applyBorder="1" applyAlignment="1"/>
    <xf numFmtId="1" fontId="6" fillId="2" borderId="18" xfId="0" applyNumberFormat="1" applyFont="1" applyFill="1" applyBorder="1" applyAlignment="1"/>
    <xf numFmtId="1" fontId="3" fillId="0" borderId="0" xfId="2" applyNumberFormat="1" applyFont="1" applyFill="1" applyBorder="1" applyAlignment="1"/>
    <xf numFmtId="181" fontId="3" fillId="0" borderId="0" xfId="2" applyNumberFormat="1" applyFont="1" applyFill="1" applyBorder="1" applyAlignment="1"/>
    <xf numFmtId="167" fontId="0" fillId="0" borderId="0" xfId="2" applyNumberFormat="1" applyFont="1" applyFill="1" applyBorder="1" applyAlignment="1"/>
    <xf numFmtId="167" fontId="0" fillId="0" borderId="18" xfId="2" applyNumberFormat="1" applyFont="1" applyFill="1" applyBorder="1" applyAlignment="1"/>
    <xf numFmtId="1" fontId="3" fillId="0" borderId="7" xfId="2" applyNumberFormat="1" applyFont="1" applyFill="1" applyBorder="1" applyAlignment="1"/>
    <xf numFmtId="181" fontId="3" fillId="0" borderId="7" xfId="2" applyNumberFormat="1" applyFont="1" applyFill="1" applyBorder="1" applyAlignment="1"/>
    <xf numFmtId="167" fontId="0" fillId="0" borderId="7" xfId="2" applyNumberFormat="1" applyFont="1" applyFill="1" applyBorder="1" applyAlignment="1"/>
    <xf numFmtId="167" fontId="0" fillId="0" borderId="61" xfId="2" applyNumberFormat="1" applyFont="1" applyFill="1" applyBorder="1" applyAlignment="1"/>
    <xf numFmtId="1" fontId="3" fillId="0" borderId="2" xfId="2" applyNumberFormat="1" applyFont="1" applyFill="1" applyBorder="1" applyAlignment="1"/>
    <xf numFmtId="181" fontId="3" fillId="0" borderId="2" xfId="2" applyNumberFormat="1" applyFont="1" applyFill="1" applyBorder="1" applyAlignment="1"/>
    <xf numFmtId="183" fontId="0" fillId="0" borderId="2" xfId="2" applyNumberFormat="1" applyFont="1" applyFill="1" applyBorder="1" applyAlignment="1"/>
    <xf numFmtId="183" fontId="0" fillId="0" borderId="40" xfId="2" applyNumberFormat="1" applyFont="1" applyFill="1" applyBorder="1" applyAlignment="1"/>
    <xf numFmtId="183" fontId="0" fillId="0" borderId="0" xfId="2" applyNumberFormat="1" applyFont="1" applyFill="1" applyBorder="1" applyAlignment="1"/>
    <xf numFmtId="183" fontId="0" fillId="0" borderId="18" xfId="2" applyNumberFormat="1" applyFont="1" applyFill="1" applyBorder="1" applyAlignment="1"/>
    <xf numFmtId="183" fontId="0" fillId="0" borderId="7" xfId="2" applyNumberFormat="1" applyFont="1" applyFill="1" applyBorder="1" applyAlignment="1"/>
    <xf numFmtId="183" fontId="0" fillId="0" borderId="61" xfId="2" applyNumberFormat="1" applyFont="1" applyFill="1" applyBorder="1" applyAlignment="1"/>
    <xf numFmtId="1" fontId="3" fillId="0" borderId="11" xfId="2" applyNumberFormat="1" applyFont="1" applyFill="1" applyBorder="1" applyAlignment="1">
      <alignment horizontal="right"/>
    </xf>
    <xf numFmtId="183" fontId="0" fillId="0" borderId="11" xfId="2" applyNumberFormat="1" applyFont="1" applyFill="1" applyBorder="1" applyAlignment="1">
      <alignment horizontal="right"/>
    </xf>
    <xf numFmtId="183" fontId="0" fillId="0" borderId="20" xfId="2" applyNumberFormat="1" applyFont="1" applyFill="1" applyBorder="1" applyAlignment="1">
      <alignment horizontal="center"/>
    </xf>
    <xf numFmtId="0" fontId="6" fillId="2" borderId="17" xfId="0" applyFont="1" applyFill="1" applyBorder="1"/>
    <xf numFmtId="1" fontId="0" fillId="0" borderId="0" xfId="0" applyNumberFormat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6" fillId="2" borderId="19" xfId="0" applyFont="1" applyFill="1" applyBorder="1"/>
    <xf numFmtId="1" fontId="0" fillId="0" borderId="11" xfId="0" applyNumberFormat="1" applyBorder="1" applyAlignment="1">
      <alignment horizontal="right"/>
    </xf>
    <xf numFmtId="0" fontId="0" fillId="0" borderId="20" xfId="0" applyFill="1" applyBorder="1" applyAlignment="1">
      <alignment horizontal="right"/>
    </xf>
    <xf numFmtId="181" fontId="0" fillId="0" borderId="0" xfId="0" applyNumberFormat="1" applyBorder="1"/>
    <xf numFmtId="0" fontId="6" fillId="2" borderId="17" xfId="0" applyFont="1" applyFill="1" applyBorder="1" applyAlignment="1"/>
    <xf numFmtId="181" fontId="3" fillId="0" borderId="20" xfId="0" applyNumberFormat="1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left"/>
    </xf>
    <xf numFmtId="1" fontId="3" fillId="0" borderId="0" xfId="2" applyNumberFormat="1" applyFont="1" applyFill="1" applyBorder="1" applyAlignment="1">
      <alignment horizontal="center"/>
    </xf>
    <xf numFmtId="1" fontId="0" fillId="0" borderId="0" xfId="2" applyNumberFormat="1" applyFont="1" applyFill="1" applyBorder="1" applyAlignment="1"/>
    <xf numFmtId="1" fontId="0" fillId="0" borderId="0" xfId="2" applyNumberFormat="1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9" fontId="0" fillId="0" borderId="18" xfId="2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3" fillId="2" borderId="19" xfId="0" applyFont="1" applyFill="1" applyBorder="1" applyAlignment="1">
      <alignment horizontal="center"/>
    </xf>
    <xf numFmtId="9" fontId="0" fillId="0" borderId="11" xfId="2" applyFont="1" applyFill="1" applyBorder="1" applyAlignment="1">
      <alignment horizontal="center"/>
    </xf>
    <xf numFmtId="9" fontId="0" fillId="0" borderId="20" xfId="2" applyFont="1" applyFill="1" applyBorder="1" applyAlignment="1">
      <alignment horizontal="center"/>
    </xf>
    <xf numFmtId="14" fontId="0" fillId="0" borderId="0" xfId="0" applyNumberFormat="1"/>
    <xf numFmtId="0" fontId="6" fillId="0" borderId="17" xfId="0" applyNumberFormat="1" applyFont="1" applyBorder="1" applyAlignment="1">
      <alignment horizontal="left" vertical="center"/>
    </xf>
    <xf numFmtId="0" fontId="3" fillId="0" borderId="17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0" fontId="16" fillId="0" borderId="0" xfId="2" applyNumberFormat="1" applyFont="1" applyFill="1" applyBorder="1" applyAlignment="1">
      <alignment vertical="center" wrapText="1"/>
    </xf>
    <xf numFmtId="0" fontId="54" fillId="0" borderId="11" xfId="0" applyFont="1" applyBorder="1" applyAlignment="1">
      <alignment horizontal="left" vertical="center" wrapText="1"/>
    </xf>
    <xf numFmtId="0" fontId="40" fillId="18" borderId="30" xfId="0" quotePrefix="1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70" fillId="0" borderId="60" xfId="0" applyFont="1" applyBorder="1" applyAlignment="1">
      <alignment horizontal="left" vertical="center" wrapText="1"/>
    </xf>
    <xf numFmtId="0" fontId="70" fillId="0" borderId="7" xfId="0" applyFont="1" applyBorder="1" applyAlignment="1">
      <alignment horizontal="left" vertical="center" wrapText="1"/>
    </xf>
    <xf numFmtId="0" fontId="70" fillId="0" borderId="61" xfId="0" applyFont="1" applyBorder="1" applyAlignment="1">
      <alignment horizontal="left" vertical="center" wrapText="1"/>
    </xf>
    <xf numFmtId="1" fontId="6" fillId="2" borderId="0" xfId="0" applyNumberFormat="1" applyFont="1" applyFill="1" applyBorder="1" applyAlignment="1">
      <alignment horizontal="center"/>
    </xf>
    <xf numFmtId="1" fontId="6" fillId="2" borderId="18" xfId="0" applyNumberFormat="1" applyFont="1" applyFill="1" applyBorder="1" applyAlignment="1">
      <alignment horizontal="center"/>
    </xf>
    <xf numFmtId="2" fontId="19" fillId="0" borderId="4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 vertical="center"/>
    </xf>
    <xf numFmtId="0" fontId="65" fillId="0" borderId="17" xfId="0" applyFont="1" applyBorder="1" applyAlignment="1">
      <alignment horizontal="left" vertical="center" wrapText="1"/>
    </xf>
    <xf numFmtId="0" fontId="65" fillId="0" borderId="0" xfId="0" applyFont="1" applyBorder="1" applyAlignment="1">
      <alignment horizontal="left" vertical="center" wrapText="1"/>
    </xf>
    <xf numFmtId="0" fontId="65" fillId="0" borderId="18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textRotation="90"/>
    </xf>
    <xf numFmtId="0" fontId="6" fillId="2" borderId="60" xfId="0" applyFont="1" applyFill="1" applyBorder="1" applyAlignment="1">
      <alignment horizontal="center" vertical="center" textRotation="90"/>
    </xf>
    <xf numFmtId="1" fontId="6" fillId="2" borderId="0" xfId="0" applyNumberFormat="1" applyFont="1" applyFill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 textRotation="90"/>
    </xf>
    <xf numFmtId="0" fontId="6" fillId="2" borderId="68" xfId="0" applyFont="1" applyFill="1" applyBorder="1" applyAlignment="1">
      <alignment horizontal="center" vertical="center" textRotation="90"/>
    </xf>
    <xf numFmtId="1" fontId="6" fillId="2" borderId="67" xfId="0" applyNumberFormat="1" applyFont="1" applyFill="1" applyBorder="1" applyAlignment="1">
      <alignment horizontal="center" vertical="center"/>
    </xf>
    <xf numFmtId="1" fontId="6" fillId="2" borderId="69" xfId="0" applyNumberFormat="1" applyFont="1" applyFill="1" applyBorder="1" applyAlignment="1">
      <alignment horizontal="center" vertical="center"/>
    </xf>
    <xf numFmtId="0" fontId="65" fillId="0" borderId="60" xfId="0" applyFont="1" applyBorder="1" applyAlignment="1">
      <alignment horizontal="left" vertical="center" wrapText="1"/>
    </xf>
    <xf numFmtId="0" fontId="65" fillId="0" borderId="7" xfId="0" applyFont="1" applyBorder="1" applyAlignment="1">
      <alignment horizontal="left" vertical="center" wrapText="1"/>
    </xf>
    <xf numFmtId="0" fontId="65" fillId="0" borderId="61" xfId="0" applyFont="1" applyBorder="1" applyAlignment="1">
      <alignment horizontal="left" vertical="center" wrapText="1"/>
    </xf>
    <xf numFmtId="0" fontId="6" fillId="2" borderId="66" xfId="0" applyFont="1" applyFill="1" applyBorder="1" applyAlignment="1">
      <alignment horizontal="center" vertical="center" wrapText="1"/>
    </xf>
    <xf numFmtId="0" fontId="6" fillId="2" borderId="7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0" fillId="0" borderId="21" xfId="0" applyBorder="1"/>
    <xf numFmtId="0" fontId="0" fillId="0" borderId="16" xfId="0" applyBorder="1"/>
    <xf numFmtId="0" fontId="65" fillId="0" borderId="60" xfId="0" applyFont="1" applyFill="1" applyBorder="1" applyAlignment="1">
      <alignment horizontal="left" wrapText="1"/>
    </xf>
    <xf numFmtId="0" fontId="67" fillId="0" borderId="7" xfId="0" applyFont="1" applyBorder="1" applyAlignment="1">
      <alignment horizontal="left"/>
    </xf>
    <xf numFmtId="0" fontId="67" fillId="0" borderId="61" xfId="0" applyFont="1" applyBorder="1" applyAlignment="1">
      <alignment horizontal="left"/>
    </xf>
    <xf numFmtId="0" fontId="6" fillId="2" borderId="19" xfId="0" applyFont="1" applyFill="1" applyBorder="1" applyAlignment="1">
      <alignment horizontal="center" vertical="center" textRotation="90"/>
    </xf>
    <xf numFmtId="0" fontId="6" fillId="2" borderId="60" xfId="0" applyFont="1" applyFill="1" applyBorder="1" applyAlignment="1">
      <alignment horizontal="left" vertical="center"/>
    </xf>
    <xf numFmtId="1" fontId="6" fillId="4" borderId="15" xfId="0" applyNumberFormat="1" applyFont="1" applyFill="1" applyBorder="1" applyAlignment="1">
      <alignment horizontal="center"/>
    </xf>
    <xf numFmtId="1" fontId="6" fillId="4" borderId="21" xfId="0" applyNumberFormat="1" applyFont="1" applyFill="1" applyBorder="1" applyAlignment="1">
      <alignment horizontal="center"/>
    </xf>
    <xf numFmtId="1" fontId="6" fillId="4" borderId="16" xfId="0" applyNumberFormat="1" applyFont="1" applyFill="1" applyBorder="1" applyAlignment="1">
      <alignment horizontal="center"/>
    </xf>
    <xf numFmtId="0" fontId="65" fillId="0" borderId="7" xfId="0" applyFont="1" applyFill="1" applyBorder="1" applyAlignment="1">
      <alignment horizontal="left" wrapText="1"/>
    </xf>
    <xf numFmtId="0" fontId="65" fillId="0" borderId="61" xfId="0" applyFont="1" applyFill="1" applyBorder="1" applyAlignment="1">
      <alignment horizontal="left" wrapText="1"/>
    </xf>
    <xf numFmtId="1" fontId="6" fillId="2" borderId="4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 vertical="center" textRotation="90"/>
    </xf>
    <xf numFmtId="0" fontId="6" fillId="2" borderId="17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33" fillId="15" borderId="12" xfId="0" applyFont="1" applyFill="1" applyBorder="1" applyAlignment="1">
      <alignment horizontal="left"/>
    </xf>
    <xf numFmtId="0" fontId="33" fillId="15" borderId="13" xfId="0" applyFont="1" applyFill="1" applyBorder="1" applyAlignment="1">
      <alignment horizontal="left"/>
    </xf>
    <xf numFmtId="0" fontId="33" fillId="15" borderId="14" xfId="0" applyFont="1" applyFill="1" applyBorder="1" applyAlignment="1">
      <alignment horizontal="left"/>
    </xf>
    <xf numFmtId="0" fontId="30" fillId="14" borderId="12" xfId="0" applyFont="1" applyFill="1" applyBorder="1" applyAlignment="1">
      <alignment horizontal="left"/>
    </xf>
    <xf numFmtId="0" fontId="30" fillId="14" borderId="13" xfId="0" applyFont="1" applyFill="1" applyBorder="1" applyAlignment="1">
      <alignment horizontal="left"/>
    </xf>
    <xf numFmtId="0" fontId="30" fillId="14" borderId="14" xfId="0" applyFont="1" applyFill="1" applyBorder="1" applyAlignment="1">
      <alignment horizontal="left"/>
    </xf>
    <xf numFmtId="0" fontId="15" fillId="0" borderId="12" xfId="0" applyFont="1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wrapText="1"/>
    </xf>
    <xf numFmtId="0" fontId="15" fillId="0" borderId="14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1" fillId="15" borderId="12" xfId="0" applyFont="1" applyFill="1" applyBorder="1" applyAlignment="1">
      <alignment horizontal="left"/>
    </xf>
    <xf numFmtId="0" fontId="31" fillId="15" borderId="13" xfId="0" applyFont="1" applyFill="1" applyBorder="1" applyAlignment="1">
      <alignment horizontal="left"/>
    </xf>
    <xf numFmtId="0" fontId="31" fillId="15" borderId="1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9" fillId="12" borderId="12" xfId="0" applyFont="1" applyFill="1" applyBorder="1" applyAlignment="1">
      <alignment horizontal="left"/>
    </xf>
    <xf numFmtId="0" fontId="29" fillId="12" borderId="13" xfId="0" applyFont="1" applyFill="1" applyBorder="1" applyAlignment="1">
      <alignment horizontal="left"/>
    </xf>
    <xf numFmtId="0" fontId="29" fillId="12" borderId="14" xfId="0" applyFont="1" applyFill="1" applyBorder="1" applyAlignment="1">
      <alignment horizontal="left"/>
    </xf>
    <xf numFmtId="0" fontId="19" fillId="13" borderId="12" xfId="0" applyFont="1" applyFill="1" applyBorder="1" applyAlignment="1">
      <alignment horizontal="left"/>
    </xf>
    <xf numFmtId="0" fontId="19" fillId="13" borderId="13" xfId="0" applyFont="1" applyFill="1" applyBorder="1" applyAlignment="1">
      <alignment horizontal="left"/>
    </xf>
    <xf numFmtId="0" fontId="19" fillId="13" borderId="14" xfId="0" applyFont="1" applyFill="1" applyBorder="1" applyAlignment="1">
      <alignment horizontal="left"/>
    </xf>
    <xf numFmtId="0" fontId="19" fillId="11" borderId="12" xfId="0" applyFont="1" applyFill="1" applyBorder="1" applyAlignment="1">
      <alignment horizontal="left"/>
    </xf>
    <xf numFmtId="0" fontId="19" fillId="11" borderId="13" xfId="0" applyFont="1" applyFill="1" applyBorder="1" applyAlignment="1">
      <alignment horizontal="left"/>
    </xf>
    <xf numFmtId="0" fontId="19" fillId="11" borderId="14" xfId="0" applyFont="1" applyFill="1" applyBorder="1" applyAlignment="1">
      <alignment horizontal="left"/>
    </xf>
    <xf numFmtId="0" fontId="10" fillId="3" borderId="0" xfId="0" applyFont="1" applyFill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9" fillId="7" borderId="12" xfId="0" applyFont="1" applyFill="1" applyBorder="1" applyAlignment="1">
      <alignment horizontal="left" indent="5"/>
    </xf>
    <xf numFmtId="0" fontId="19" fillId="7" borderId="13" xfId="0" applyFont="1" applyFill="1" applyBorder="1" applyAlignment="1">
      <alignment horizontal="left" indent="5"/>
    </xf>
    <xf numFmtId="0" fontId="19" fillId="7" borderId="14" xfId="0" applyFont="1" applyFill="1" applyBorder="1" applyAlignment="1">
      <alignment horizontal="left" indent="5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2" fontId="0" fillId="10" borderId="5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9" fillId="7" borderId="22" xfId="0" applyFont="1" applyFill="1" applyBorder="1" applyAlignment="1">
      <alignment horizontal="center"/>
    </xf>
    <xf numFmtId="0" fontId="19" fillId="7" borderId="23" xfId="0" applyFont="1" applyFill="1" applyBorder="1" applyAlignment="1">
      <alignment horizontal="center"/>
    </xf>
    <xf numFmtId="0" fontId="19" fillId="7" borderId="24" xfId="0" applyFont="1" applyFill="1" applyBorder="1" applyAlignment="1">
      <alignment horizont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top" wrapText="1"/>
    </xf>
    <xf numFmtId="0" fontId="0" fillId="4" borderId="16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68" fillId="0" borderId="15" xfId="0" quotePrefix="1" applyFont="1" applyBorder="1" applyAlignment="1">
      <alignment horizontal="left" wrapText="1"/>
    </xf>
    <xf numFmtId="0" fontId="68" fillId="0" borderId="21" xfId="0" applyFont="1" applyBorder="1" applyAlignment="1">
      <alignment horizontal="left" wrapText="1"/>
    </xf>
    <xf numFmtId="0" fontId="68" fillId="0" borderId="16" xfId="0" applyFont="1" applyBorder="1" applyAlignment="1">
      <alignment horizontal="left" wrapText="1"/>
    </xf>
    <xf numFmtId="0" fontId="2" fillId="4" borderId="15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51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1" fillId="0" borderId="53" xfId="0" applyFont="1" applyBorder="1" applyAlignment="1">
      <alignment horizontal="right"/>
    </xf>
    <xf numFmtId="0" fontId="51" fillId="0" borderId="54" xfId="0" applyFont="1" applyBorder="1" applyAlignment="1">
      <alignment horizontal="right"/>
    </xf>
    <xf numFmtId="0" fontId="47" fillId="0" borderId="0" xfId="0" applyFont="1" applyAlignment="1">
      <alignment horizontal="center" vertical="center"/>
    </xf>
    <xf numFmtId="0" fontId="51" fillId="0" borderId="48" xfId="0" applyFont="1" applyBorder="1" applyAlignment="1">
      <alignment horizontal="right"/>
    </xf>
    <xf numFmtId="0" fontId="51" fillId="0" borderId="46" xfId="0" applyFont="1" applyBorder="1" applyAlignment="1">
      <alignment horizontal="right"/>
    </xf>
    <xf numFmtId="0" fontId="68" fillId="0" borderId="19" xfId="0" applyFont="1" applyBorder="1" applyAlignment="1">
      <alignment horizontal="left" wrapText="1"/>
    </xf>
    <xf numFmtId="0" fontId="68" fillId="0" borderId="11" xfId="0" applyFont="1" applyBorder="1" applyAlignment="1">
      <alignment horizontal="left" wrapText="1"/>
    </xf>
    <xf numFmtId="0" fontId="68" fillId="0" borderId="20" xfId="0" applyFont="1" applyBorder="1" applyAlignment="1">
      <alignment horizontal="left" wrapText="1"/>
    </xf>
    <xf numFmtId="0" fontId="51" fillId="0" borderId="0" xfId="0" applyFont="1" applyBorder="1" applyAlignment="1">
      <alignment horizontal="right"/>
    </xf>
    <xf numFmtId="0" fontId="51" fillId="0" borderId="43" xfId="0" applyFont="1" applyBorder="1" applyAlignment="1">
      <alignment horizontal="right"/>
    </xf>
    <xf numFmtId="0" fontId="51" fillId="0" borderId="49" xfId="0" applyFont="1" applyBorder="1" applyAlignment="1">
      <alignment horizontal="right"/>
    </xf>
    <xf numFmtId="0" fontId="54" fillId="0" borderId="19" xfId="0" applyFont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 wrapText="1"/>
    </xf>
    <xf numFmtId="0" fontId="54" fillId="0" borderId="20" xfId="0" applyFont="1" applyBorder="1" applyAlignment="1">
      <alignment horizontal="center" vertical="center" wrapText="1"/>
    </xf>
    <xf numFmtId="1" fontId="68" fillId="0" borderId="17" xfId="0" applyNumberFormat="1" applyFont="1" applyFill="1" applyBorder="1" applyAlignment="1">
      <alignment horizontal="left" wrapText="1"/>
    </xf>
    <xf numFmtId="1" fontId="68" fillId="0" borderId="0" xfId="0" applyNumberFormat="1" applyFont="1" applyFill="1" applyBorder="1" applyAlignment="1">
      <alignment horizontal="left" wrapText="1"/>
    </xf>
    <xf numFmtId="1" fontId="68" fillId="0" borderId="18" xfId="0" applyNumberFormat="1" applyFont="1" applyFill="1" applyBorder="1" applyAlignment="1">
      <alignment horizontal="left" wrapText="1"/>
    </xf>
    <xf numFmtId="1" fontId="57" fillId="0" borderId="17" xfId="0" applyNumberFormat="1" applyFont="1" applyFill="1" applyBorder="1" applyAlignment="1">
      <alignment horizontal="left" wrapText="1"/>
    </xf>
    <xf numFmtId="1" fontId="57" fillId="0" borderId="0" xfId="0" applyNumberFormat="1" applyFont="1" applyFill="1" applyBorder="1" applyAlignment="1">
      <alignment horizontal="left" wrapText="1"/>
    </xf>
    <xf numFmtId="1" fontId="57" fillId="0" borderId="18" xfId="0" applyNumberFormat="1" applyFont="1" applyFill="1" applyBorder="1" applyAlignment="1">
      <alignment horizontal="left" wrapText="1"/>
    </xf>
    <xf numFmtId="0" fontId="68" fillId="0" borderId="17" xfId="0" applyFont="1" applyBorder="1" applyAlignment="1">
      <alignment horizontal="left" wrapText="1"/>
    </xf>
    <xf numFmtId="0" fontId="68" fillId="0" borderId="0" xfId="0" applyFont="1" applyBorder="1" applyAlignment="1">
      <alignment horizontal="left" wrapText="1"/>
    </xf>
    <xf numFmtId="0" fontId="68" fillId="0" borderId="18" xfId="0" applyFont="1" applyBorder="1" applyAlignment="1">
      <alignment horizontal="left" wrapText="1"/>
    </xf>
    <xf numFmtId="0" fontId="68" fillId="0" borderId="60" xfId="0" applyFont="1" applyBorder="1" applyAlignment="1">
      <alignment horizontal="left" wrapText="1"/>
    </xf>
    <xf numFmtId="0" fontId="68" fillId="0" borderId="7" xfId="0" applyFont="1" applyBorder="1" applyAlignment="1">
      <alignment horizontal="left" wrapText="1"/>
    </xf>
    <xf numFmtId="0" fontId="68" fillId="0" borderId="61" xfId="0" applyFont="1" applyBorder="1" applyAlignment="1">
      <alignment horizontal="left" wrapText="1"/>
    </xf>
    <xf numFmtId="2" fontId="6" fillId="2" borderId="64" xfId="0" applyNumberFormat="1" applyFont="1" applyFill="1" applyBorder="1" applyAlignment="1">
      <alignment horizontal="center"/>
    </xf>
    <xf numFmtId="2" fontId="6" fillId="2" borderId="65" xfId="0" applyNumberFormat="1" applyFont="1" applyFill="1" applyBorder="1" applyAlignment="1">
      <alignment horizontal="center"/>
    </xf>
    <xf numFmtId="2" fontId="6" fillId="2" borderId="62" xfId="0" applyNumberFormat="1" applyFont="1" applyFill="1" applyBorder="1" applyAlignment="1">
      <alignment horizontal="right"/>
    </xf>
    <xf numFmtId="2" fontId="6" fillId="2" borderId="63" xfId="0" applyNumberFormat="1" applyFont="1" applyFill="1" applyBorder="1" applyAlignment="1">
      <alignment horizontal="right"/>
    </xf>
    <xf numFmtId="2" fontId="19" fillId="0" borderId="0" xfId="0" applyNumberFormat="1" applyFont="1" applyAlignment="1">
      <alignment horizontal="center" vertical="center"/>
    </xf>
    <xf numFmtId="0" fontId="69" fillId="0" borderId="17" xfId="0" applyFont="1" applyBorder="1" applyAlignment="1">
      <alignment horizontal="left" vertical="center" wrapText="1"/>
    </xf>
    <xf numFmtId="0" fontId="69" fillId="0" borderId="0" xfId="0" applyFont="1" applyBorder="1" applyAlignment="1">
      <alignment horizontal="left" vertical="center" wrapText="1"/>
    </xf>
    <xf numFmtId="0" fontId="69" fillId="0" borderId="18" xfId="0" applyFont="1" applyBorder="1" applyAlignment="1">
      <alignment horizontal="left" vertical="center" wrapText="1"/>
    </xf>
    <xf numFmtId="2" fontId="6" fillId="2" borderId="0" xfId="0" applyNumberFormat="1" applyFont="1" applyFill="1" applyBorder="1" applyAlignment="1">
      <alignment horizontal="center"/>
    </xf>
    <xf numFmtId="2" fontId="6" fillId="2" borderId="18" xfId="0" applyNumberFormat="1" applyFont="1" applyFill="1" applyBorder="1" applyAlignment="1">
      <alignment horizontal="center"/>
    </xf>
    <xf numFmtId="2" fontId="6" fillId="2" borderId="62" xfId="0" applyNumberFormat="1" applyFont="1" applyFill="1" applyBorder="1" applyAlignment="1">
      <alignment horizontal="left"/>
    </xf>
    <xf numFmtId="2" fontId="6" fillId="2" borderId="63" xfId="0" applyNumberFormat="1" applyFont="1" applyFill="1" applyBorder="1" applyAlignment="1">
      <alignment horizontal="left"/>
    </xf>
    <xf numFmtId="1" fontId="3" fillId="4" borderId="15" xfId="0" applyNumberFormat="1" applyFont="1" applyFill="1" applyBorder="1" applyAlignment="1">
      <alignment horizontal="center"/>
    </xf>
    <xf numFmtId="1" fontId="3" fillId="4" borderId="21" xfId="0" applyNumberFormat="1" applyFont="1" applyFill="1" applyBorder="1" applyAlignment="1">
      <alignment horizontal="center"/>
    </xf>
    <xf numFmtId="1" fontId="3" fillId="4" borderId="16" xfId="0" applyNumberFormat="1" applyFont="1" applyFill="1" applyBorder="1" applyAlignment="1">
      <alignment horizontal="center"/>
    </xf>
    <xf numFmtId="1" fontId="68" fillId="0" borderId="17" xfId="0" applyNumberFormat="1" applyFont="1" applyBorder="1" applyAlignment="1">
      <alignment horizontal="left" wrapText="1"/>
    </xf>
    <xf numFmtId="1" fontId="68" fillId="0" borderId="0" xfId="0" applyNumberFormat="1" applyFont="1" applyBorder="1" applyAlignment="1">
      <alignment horizontal="left" wrapText="1"/>
    </xf>
    <xf numFmtId="1" fontId="68" fillId="0" borderId="18" xfId="0" applyNumberFormat="1" applyFont="1" applyBorder="1" applyAlignment="1">
      <alignment horizontal="left" wrapText="1"/>
    </xf>
    <xf numFmtId="0" fontId="6" fillId="4" borderId="15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57" fillId="0" borderId="17" xfId="0" applyFont="1" applyFill="1" applyBorder="1" applyAlignment="1">
      <alignment horizontal="left" wrapText="1"/>
    </xf>
    <xf numFmtId="0" fontId="57" fillId="0" borderId="0" xfId="0" applyFont="1" applyFill="1" applyBorder="1" applyAlignment="1">
      <alignment horizontal="left" wrapText="1"/>
    </xf>
    <xf numFmtId="0" fontId="57" fillId="0" borderId="18" xfId="0" applyFont="1" applyFill="1" applyBorder="1" applyAlignment="1">
      <alignment horizontal="left" wrapText="1"/>
    </xf>
    <xf numFmtId="9" fontId="0" fillId="0" borderId="0" xfId="0" applyNumberFormat="1" applyFill="1" applyAlignment="1">
      <alignment horizontal="center" vertical="center"/>
    </xf>
  </cellXfs>
  <cellStyles count="4">
    <cellStyle name="Comma" xfId="1" builtinId="3"/>
    <cellStyle name="Normal" xfId="0" builtinId="0"/>
    <cellStyle name="Normal_tOther" xfId="3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>
    <tabColor theme="2" tint="-0.499984740745262"/>
  </sheetPr>
  <dimension ref="A3:AE292"/>
  <sheetViews>
    <sheetView showGridLines="0" topLeftCell="F148" zoomScale="70" zoomScaleNormal="70" workbookViewId="0">
      <selection activeCell="V152" sqref="V152"/>
    </sheetView>
  </sheetViews>
  <sheetFormatPr defaultColWidth="9.140625" defaultRowHeight="15"/>
  <cols>
    <col min="1" max="1" width="11.7109375" style="11" customWidth="1"/>
    <col min="2" max="2" width="16.42578125" style="11" customWidth="1"/>
    <col min="3" max="3" width="15.140625" style="470" customWidth="1"/>
    <col min="4" max="4" width="15.28515625" style="470" bestFit="1" customWidth="1"/>
    <col min="5" max="5" width="15.28515625" style="470" customWidth="1"/>
    <col min="6" max="6" width="17.7109375" style="470" customWidth="1"/>
    <col min="7" max="7" width="40" style="422" customWidth="1"/>
    <col min="8" max="8" width="13.42578125" style="597" customWidth="1"/>
    <col min="9" max="10" width="9.42578125" style="422" customWidth="1"/>
    <col min="11" max="11" width="9.42578125" style="470" customWidth="1"/>
    <col min="12" max="13" width="7.5703125" style="470" customWidth="1"/>
    <col min="14" max="14" width="9" style="470" customWidth="1"/>
    <col min="15" max="15" width="8.85546875" style="470" customWidth="1"/>
    <col min="16" max="20" width="9.42578125" style="470" customWidth="1"/>
    <col min="21" max="22" width="9.140625" style="470"/>
    <col min="23" max="23" width="10.7109375" style="470" bestFit="1" customWidth="1"/>
    <col min="24" max="24" width="9.140625" style="470"/>
    <col min="25" max="25" width="12" style="470" customWidth="1"/>
    <col min="26" max="35" width="9.140625" style="470"/>
    <col min="36" max="36" width="19.42578125" style="470" customWidth="1"/>
    <col min="37" max="16384" width="9.140625" style="470"/>
  </cols>
  <sheetData>
    <row r="3" spans="2:24" ht="15.75" thickBot="1"/>
    <row r="4" spans="2:24">
      <c r="G4" s="779" t="s">
        <v>2982</v>
      </c>
      <c r="H4" s="780"/>
      <c r="I4" s="780"/>
      <c r="J4" s="780"/>
      <c r="K4" s="780"/>
      <c r="L4" s="780"/>
      <c r="M4" s="780"/>
      <c r="N4" s="780"/>
      <c r="O4" s="781"/>
    </row>
    <row r="5" spans="2:24" ht="67.5" customHeight="1">
      <c r="G5" s="782" t="str">
        <f>LE_DECLARE_TABLE("TMARITALLE","",G6:O14)</f>
        <v>Declared table TMARITALLE</v>
      </c>
      <c r="H5" s="783"/>
      <c r="I5" s="783"/>
      <c r="J5" s="783"/>
      <c r="K5" s="783"/>
      <c r="L5" s="783"/>
      <c r="M5" s="783"/>
      <c r="N5" s="783"/>
      <c r="O5" s="784"/>
    </row>
    <row r="6" spans="2:24">
      <c r="B6" s="598" t="s">
        <v>2824</v>
      </c>
      <c r="G6" s="599"/>
      <c r="H6" s="785" t="s">
        <v>2842</v>
      </c>
      <c r="I6" s="785"/>
      <c r="J6" s="785"/>
      <c r="K6" s="785"/>
      <c r="L6" s="785"/>
      <c r="M6" s="785"/>
      <c r="N6" s="785"/>
      <c r="O6" s="786"/>
    </row>
    <row r="7" spans="2:24">
      <c r="B7" s="600" t="s">
        <v>940</v>
      </c>
      <c r="C7" s="787" t="e">
        <f>TMARITALLE(B7,B8,B9)</f>
        <v>#REF!</v>
      </c>
      <c r="G7" s="601"/>
      <c r="H7" s="602">
        <v>1</v>
      </c>
      <c r="I7" s="602">
        <v>2</v>
      </c>
      <c r="J7" s="602">
        <v>3</v>
      </c>
      <c r="K7" s="602">
        <v>4</v>
      </c>
      <c r="L7" s="602">
        <v>5</v>
      </c>
      <c r="M7" s="602">
        <v>6</v>
      </c>
      <c r="N7" s="602">
        <v>7</v>
      </c>
      <c r="O7" s="603">
        <v>8</v>
      </c>
      <c r="P7" s="604"/>
      <c r="Q7" s="604"/>
      <c r="R7" s="604"/>
      <c r="S7" s="604"/>
      <c r="T7" s="604"/>
      <c r="U7" s="604"/>
    </row>
    <row r="8" spans="2:24">
      <c r="B8" s="605" t="s">
        <v>2844</v>
      </c>
      <c r="C8" s="787"/>
      <c r="G8" s="606" t="s">
        <v>2983</v>
      </c>
      <c r="H8" s="607">
        <v>4.4000000000000004</v>
      </c>
      <c r="I8" s="607">
        <f t="shared" ref="I8:I14" si="0">H8</f>
        <v>4.4000000000000004</v>
      </c>
      <c r="J8" s="607">
        <v>4.4000000000000004</v>
      </c>
      <c r="K8" s="607">
        <v>4.4000000000000004</v>
      </c>
      <c r="L8" s="608"/>
      <c r="M8" s="608"/>
      <c r="N8" s="608"/>
      <c r="O8" s="609"/>
      <c r="P8" s="388"/>
      <c r="Q8" s="388"/>
      <c r="R8" s="388"/>
      <c r="S8" s="388"/>
      <c r="T8" s="388"/>
      <c r="U8" s="388"/>
      <c r="V8" s="388"/>
      <c r="W8" s="388"/>
      <c r="X8" s="388"/>
    </row>
    <row r="9" spans="2:24">
      <c r="B9" s="553">
        <v>4</v>
      </c>
      <c r="C9" s="787"/>
      <c r="G9" s="606" t="s">
        <v>874</v>
      </c>
      <c r="H9" s="607">
        <v>4.4000000000000004</v>
      </c>
      <c r="I9" s="607">
        <f t="shared" si="0"/>
        <v>4.4000000000000004</v>
      </c>
      <c r="J9" s="607">
        <v>4.4000000000000004</v>
      </c>
      <c r="K9" s="607">
        <v>4.4000000000000004</v>
      </c>
      <c r="L9" s="608"/>
      <c r="M9" s="608"/>
      <c r="N9" s="608"/>
      <c r="O9" s="609"/>
      <c r="P9" s="388"/>
      <c r="Q9" s="388"/>
      <c r="R9" s="388"/>
      <c r="S9" s="388"/>
      <c r="T9" s="388"/>
      <c r="U9" s="388"/>
      <c r="V9" s="388"/>
      <c r="W9" s="388"/>
      <c r="X9" s="388"/>
    </row>
    <row r="10" spans="2:24">
      <c r="B10" s="478"/>
      <c r="G10" s="606" t="s">
        <v>887</v>
      </c>
      <c r="H10" s="607">
        <v>2</v>
      </c>
      <c r="I10" s="607">
        <f t="shared" si="0"/>
        <v>2</v>
      </c>
      <c r="J10" s="607">
        <v>2</v>
      </c>
      <c r="K10" s="607">
        <v>2</v>
      </c>
      <c r="L10" s="608"/>
      <c r="M10" s="608"/>
      <c r="N10" s="608"/>
      <c r="O10" s="610"/>
      <c r="P10" s="388"/>
      <c r="Q10" s="388"/>
      <c r="R10" s="388"/>
      <c r="S10" s="388"/>
      <c r="T10" s="388"/>
      <c r="U10" s="388"/>
      <c r="V10" s="388"/>
      <c r="W10" s="388"/>
      <c r="X10" s="388"/>
    </row>
    <row r="11" spans="2:24">
      <c r="G11" s="606" t="s">
        <v>863</v>
      </c>
      <c r="H11" s="607">
        <v>-3.04</v>
      </c>
      <c r="I11" s="607">
        <f t="shared" si="0"/>
        <v>-3.04</v>
      </c>
      <c r="J11" s="607">
        <v>-3.04</v>
      </c>
      <c r="K11" s="607">
        <v>-3.04</v>
      </c>
      <c r="L11" s="608"/>
      <c r="M11" s="608"/>
      <c r="N11" s="608"/>
      <c r="O11" s="610"/>
      <c r="P11" s="388"/>
      <c r="Q11" s="388"/>
      <c r="R11" s="388"/>
      <c r="S11" s="388"/>
      <c r="T11" s="388"/>
      <c r="U11" s="388"/>
      <c r="V11" s="388"/>
      <c r="W11" s="388"/>
      <c r="X11" s="388"/>
    </row>
    <row r="12" spans="2:24">
      <c r="G12" s="606" t="s">
        <v>940</v>
      </c>
      <c r="H12" s="607">
        <v>10</v>
      </c>
      <c r="I12" s="607">
        <f t="shared" si="0"/>
        <v>10</v>
      </c>
      <c r="J12" s="607">
        <v>10</v>
      </c>
      <c r="K12" s="607">
        <v>10</v>
      </c>
      <c r="L12" s="608"/>
      <c r="M12" s="608"/>
      <c r="N12" s="608"/>
      <c r="O12" s="610"/>
      <c r="P12" s="388"/>
      <c r="Q12" s="388"/>
      <c r="R12" s="388"/>
      <c r="S12" s="388"/>
      <c r="T12" s="388"/>
      <c r="U12" s="388"/>
      <c r="V12" s="388"/>
      <c r="W12" s="388"/>
      <c r="X12" s="388"/>
    </row>
    <row r="13" spans="2:24">
      <c r="G13" s="606" t="s">
        <v>866</v>
      </c>
      <c r="H13" s="607">
        <v>6.8</v>
      </c>
      <c r="I13" s="607">
        <f t="shared" si="0"/>
        <v>6.8</v>
      </c>
      <c r="J13" s="607">
        <v>6.8</v>
      </c>
      <c r="K13" s="607">
        <v>6.8</v>
      </c>
      <c r="L13" s="608"/>
      <c r="M13" s="608"/>
      <c r="N13" s="608"/>
      <c r="O13" s="610"/>
      <c r="P13" s="388"/>
      <c r="Q13" s="388"/>
      <c r="R13" s="388"/>
      <c r="S13" s="388"/>
      <c r="T13" s="388"/>
      <c r="U13" s="388"/>
      <c r="V13" s="388"/>
      <c r="W13" s="388"/>
      <c r="X13" s="388"/>
    </row>
    <row r="14" spans="2:24">
      <c r="G14" s="611" t="s">
        <v>915</v>
      </c>
      <c r="H14" s="612">
        <v>-4</v>
      </c>
      <c r="I14" s="612">
        <f t="shared" si="0"/>
        <v>-4</v>
      </c>
      <c r="J14" s="612">
        <v>-4</v>
      </c>
      <c r="K14" s="612">
        <v>-4</v>
      </c>
      <c r="L14" s="613"/>
      <c r="M14" s="613"/>
      <c r="N14" s="613"/>
      <c r="O14" s="614"/>
      <c r="P14" s="388"/>
      <c r="Q14" s="388"/>
      <c r="R14" s="388"/>
      <c r="S14" s="388"/>
      <c r="T14" s="388"/>
      <c r="U14" s="388"/>
      <c r="V14" s="388"/>
      <c r="W14" s="388"/>
      <c r="X14" s="388"/>
    </row>
    <row r="15" spans="2:24">
      <c r="G15" s="615" t="str">
        <f>LE_DECLARE_TABLE("tMaritalLE","",G16:O24)</f>
        <v>Declared table TMARITALLE</v>
      </c>
      <c r="H15" s="607"/>
      <c r="I15" s="607"/>
      <c r="J15" s="607"/>
      <c r="K15" s="607"/>
      <c r="L15" s="608"/>
      <c r="M15" s="608"/>
      <c r="N15" s="608"/>
      <c r="O15" s="610"/>
      <c r="P15" s="388"/>
      <c r="Q15" s="388"/>
      <c r="R15" s="388"/>
      <c r="S15" s="388"/>
      <c r="T15" s="388"/>
      <c r="U15" s="388"/>
      <c r="V15" s="388"/>
      <c r="W15" s="388"/>
      <c r="X15" s="388"/>
    </row>
    <row r="16" spans="2:24">
      <c r="G16" s="599"/>
      <c r="H16" s="788" t="s">
        <v>2844</v>
      </c>
      <c r="I16" s="788"/>
      <c r="J16" s="788"/>
      <c r="K16" s="788"/>
      <c r="L16" s="788"/>
      <c r="M16" s="788"/>
      <c r="N16" s="788"/>
      <c r="O16" s="789"/>
      <c r="P16" s="388"/>
      <c r="Q16" s="388"/>
      <c r="R16" s="388"/>
      <c r="S16" s="388"/>
      <c r="T16" s="388"/>
      <c r="U16" s="388"/>
      <c r="V16" s="388"/>
      <c r="W16" s="388"/>
      <c r="X16" s="388"/>
    </row>
    <row r="17" spans="1:24">
      <c r="G17" s="601"/>
      <c r="H17" s="616">
        <v>1</v>
      </c>
      <c r="I17" s="616">
        <v>2</v>
      </c>
      <c r="J17" s="616">
        <v>3</v>
      </c>
      <c r="K17" s="616">
        <v>4</v>
      </c>
      <c r="L17" s="616">
        <v>5</v>
      </c>
      <c r="M17" s="616">
        <v>6</v>
      </c>
      <c r="N17" s="616">
        <v>7</v>
      </c>
      <c r="O17" s="617">
        <v>8</v>
      </c>
      <c r="P17" s="604"/>
      <c r="Q17" s="604"/>
      <c r="R17" s="604"/>
      <c r="S17" s="604"/>
      <c r="T17" s="432"/>
      <c r="U17" s="432"/>
      <c r="V17" s="388"/>
      <c r="W17" s="388"/>
      <c r="X17" s="388"/>
    </row>
    <row r="18" spans="1:24">
      <c r="C18" s="422"/>
      <c r="G18" s="606" t="s">
        <v>2983</v>
      </c>
      <c r="H18" s="607">
        <v>0.8</v>
      </c>
      <c r="I18" s="607">
        <f t="shared" ref="I18:I24" si="1">H18</f>
        <v>0.8</v>
      </c>
      <c r="J18" s="607">
        <v>0.8</v>
      </c>
      <c r="K18" s="607">
        <v>0.8</v>
      </c>
      <c r="L18" s="608"/>
      <c r="M18" s="608"/>
      <c r="N18" s="608"/>
      <c r="O18" s="609"/>
      <c r="P18" s="388"/>
      <c r="Q18" s="388"/>
      <c r="R18" s="388"/>
      <c r="S18" s="388"/>
      <c r="T18" s="388"/>
      <c r="U18" s="388"/>
      <c r="V18" s="388"/>
      <c r="W18" s="388"/>
      <c r="X18" s="388"/>
    </row>
    <row r="19" spans="1:24">
      <c r="B19" s="384"/>
      <c r="C19" s="479"/>
      <c r="G19" s="606" t="s">
        <v>874</v>
      </c>
      <c r="H19" s="607">
        <v>0.8</v>
      </c>
      <c r="I19" s="607">
        <f t="shared" si="1"/>
        <v>0.8</v>
      </c>
      <c r="J19" s="607">
        <v>0.8</v>
      </c>
      <c r="K19" s="607">
        <v>0.8</v>
      </c>
      <c r="L19" s="608"/>
      <c r="M19" s="608"/>
      <c r="N19" s="608"/>
      <c r="O19" s="609"/>
      <c r="P19" s="388"/>
      <c r="Q19" s="388"/>
      <c r="R19" s="388"/>
      <c r="S19" s="388"/>
      <c r="T19" s="388"/>
      <c r="U19" s="388"/>
      <c r="V19" s="388"/>
      <c r="W19" s="388"/>
      <c r="X19" s="388"/>
    </row>
    <row r="20" spans="1:24">
      <c r="B20" s="478"/>
      <c r="G20" s="606" t="s">
        <v>887</v>
      </c>
      <c r="H20" s="607">
        <v>0</v>
      </c>
      <c r="I20" s="607">
        <f t="shared" si="1"/>
        <v>0</v>
      </c>
      <c r="J20" s="607">
        <v>0</v>
      </c>
      <c r="K20" s="607">
        <v>0</v>
      </c>
      <c r="L20" s="608"/>
      <c r="M20" s="608"/>
      <c r="N20" s="608"/>
      <c r="O20" s="610"/>
      <c r="P20" s="388"/>
      <c r="Q20" s="388"/>
      <c r="R20" s="388"/>
      <c r="S20" s="388"/>
      <c r="T20" s="388"/>
      <c r="U20" s="388"/>
      <c r="V20" s="388"/>
      <c r="W20" s="388"/>
      <c r="X20" s="388"/>
    </row>
    <row r="21" spans="1:24">
      <c r="G21" s="606" t="s">
        <v>863</v>
      </c>
      <c r="H21" s="607">
        <v>-4</v>
      </c>
      <c r="I21" s="607">
        <f t="shared" si="1"/>
        <v>-4</v>
      </c>
      <c r="J21" s="607">
        <v>-4</v>
      </c>
      <c r="K21" s="607">
        <v>-4</v>
      </c>
      <c r="L21" s="608"/>
      <c r="M21" s="608"/>
      <c r="N21" s="608"/>
      <c r="O21" s="610"/>
      <c r="P21" s="388"/>
      <c r="Q21" s="388"/>
      <c r="R21" s="388"/>
      <c r="S21" s="388"/>
      <c r="T21" s="388"/>
      <c r="U21" s="388"/>
      <c r="V21" s="388"/>
      <c r="W21" s="388"/>
      <c r="X21" s="388"/>
    </row>
    <row r="22" spans="1:24">
      <c r="G22" s="606" t="s">
        <v>940</v>
      </c>
      <c r="H22" s="607">
        <v>2.4</v>
      </c>
      <c r="I22" s="607">
        <f t="shared" si="1"/>
        <v>2.4</v>
      </c>
      <c r="J22" s="607">
        <v>2.4</v>
      </c>
      <c r="K22" s="607">
        <v>2.4</v>
      </c>
      <c r="L22" s="608"/>
      <c r="M22" s="608"/>
      <c r="N22" s="608"/>
      <c r="O22" s="610"/>
      <c r="P22" s="388"/>
      <c r="Q22" s="388"/>
      <c r="R22" s="388"/>
      <c r="S22" s="388"/>
      <c r="T22" s="388"/>
      <c r="U22" s="388"/>
      <c r="V22" s="388"/>
      <c r="W22" s="388"/>
      <c r="X22" s="388"/>
    </row>
    <row r="23" spans="1:24">
      <c r="G23" s="606" t="s">
        <v>866</v>
      </c>
      <c r="H23" s="607">
        <v>3</v>
      </c>
      <c r="I23" s="607">
        <f t="shared" si="1"/>
        <v>3</v>
      </c>
      <c r="J23" s="607">
        <v>3</v>
      </c>
      <c r="K23" s="607">
        <v>3</v>
      </c>
      <c r="L23" s="608"/>
      <c r="M23" s="608"/>
      <c r="N23" s="608"/>
      <c r="O23" s="610"/>
      <c r="P23" s="388"/>
      <c r="Q23" s="388"/>
      <c r="R23" s="388"/>
      <c r="S23" s="388"/>
      <c r="T23" s="388"/>
      <c r="U23" s="388"/>
      <c r="V23" s="388"/>
      <c r="W23" s="388"/>
      <c r="X23" s="388"/>
    </row>
    <row r="24" spans="1:24" ht="15.75" thickBot="1">
      <c r="G24" s="618" t="s">
        <v>915</v>
      </c>
      <c r="H24" s="619">
        <v>-2.4</v>
      </c>
      <c r="I24" s="619">
        <f t="shared" si="1"/>
        <v>-2.4</v>
      </c>
      <c r="J24" s="619">
        <v>-2.4</v>
      </c>
      <c r="K24" s="619">
        <v>-2.4</v>
      </c>
      <c r="L24" s="620"/>
      <c r="M24" s="620"/>
      <c r="N24" s="620"/>
      <c r="O24" s="621"/>
      <c r="P24" s="388"/>
      <c r="Q24" s="388"/>
      <c r="R24" s="388"/>
      <c r="S24" s="388"/>
      <c r="T24" s="388"/>
      <c r="U24" s="388"/>
      <c r="V24" s="388"/>
      <c r="W24" s="388"/>
      <c r="X24" s="388"/>
    </row>
    <row r="25" spans="1:24" ht="15.75" thickBot="1">
      <c r="F25" s="11"/>
    </row>
    <row r="26" spans="1:24">
      <c r="E26" s="779" t="s">
        <v>2984</v>
      </c>
      <c r="F26" s="780"/>
      <c r="G26" s="780"/>
      <c r="H26" s="780"/>
      <c r="I26" s="780"/>
      <c r="J26" s="780"/>
      <c r="K26" s="780"/>
      <c r="L26" s="780"/>
      <c r="M26" s="780"/>
      <c r="N26" s="780"/>
      <c r="O26" s="781"/>
    </row>
    <row r="27" spans="1:24" ht="66.75" customHeight="1">
      <c r="E27" s="790" t="str">
        <f>LE_DECLARE_TABLE("tOldClmsLE","",E28:O56)</f>
        <v>Declared table TOLDCLMSLE</v>
      </c>
      <c r="F27" s="791"/>
      <c r="G27" s="791"/>
      <c r="H27" s="791"/>
      <c r="I27" s="791"/>
      <c r="J27" s="791"/>
      <c r="K27" s="791"/>
      <c r="L27" s="791"/>
      <c r="M27" s="791"/>
      <c r="N27" s="791"/>
      <c r="O27" s="792"/>
    </row>
    <row r="28" spans="1:24" s="388" customFormat="1">
      <c r="A28" s="622"/>
      <c r="B28" s="598" t="s">
        <v>2824</v>
      </c>
      <c r="E28" s="623"/>
      <c r="F28" s="624"/>
      <c r="G28" s="625"/>
      <c r="H28" s="626">
        <v>1</v>
      </c>
      <c r="I28" s="626">
        <v>2</v>
      </c>
      <c r="J28" s="626">
        <v>3</v>
      </c>
      <c r="K28" s="626">
        <v>4</v>
      </c>
      <c r="L28" s="626">
        <v>5</v>
      </c>
      <c r="M28" s="626">
        <v>6</v>
      </c>
      <c r="N28" s="626">
        <v>7</v>
      </c>
      <c r="O28" s="627">
        <v>8</v>
      </c>
      <c r="P28" s="604"/>
      <c r="Q28" s="604"/>
      <c r="R28" s="604"/>
      <c r="S28" s="432"/>
      <c r="T28" s="432"/>
    </row>
    <row r="29" spans="1:24" s="388" customFormat="1">
      <c r="A29" s="622"/>
      <c r="B29" s="600" t="s">
        <v>2985</v>
      </c>
      <c r="C29" s="787">
        <f>TOLDCLMSLE(B29,B31,B30,B32)</f>
        <v>42.5</v>
      </c>
      <c r="E29" s="793" t="s">
        <v>2986</v>
      </c>
      <c r="F29" s="795" t="s">
        <v>2842</v>
      </c>
      <c r="G29" s="455">
        <v>0</v>
      </c>
      <c r="H29" s="607">
        <v>41.5</v>
      </c>
      <c r="I29" s="628">
        <v>129.57841149999999</v>
      </c>
      <c r="J29" s="607">
        <v>129.57841149999999</v>
      </c>
      <c r="K29" s="607">
        <v>129.57841149999999</v>
      </c>
      <c r="L29" s="608"/>
      <c r="M29" s="608"/>
      <c r="N29" s="608"/>
      <c r="O29" s="610"/>
    </row>
    <row r="30" spans="1:24" s="388" customFormat="1">
      <c r="A30" s="622"/>
      <c r="B30" s="629">
        <v>1</v>
      </c>
      <c r="C30" s="787"/>
      <c r="E30" s="793"/>
      <c r="F30" s="795"/>
      <c r="G30" s="455">
        <v>1</v>
      </c>
      <c r="H30" s="607">
        <v>15.75</v>
      </c>
      <c r="I30" s="628">
        <v>77.518449559999993</v>
      </c>
      <c r="J30" s="607">
        <v>77.518449559999993</v>
      </c>
      <c r="K30" s="607">
        <v>77.518449559999993</v>
      </c>
      <c r="L30" s="608"/>
      <c r="M30" s="608"/>
      <c r="N30" s="608"/>
      <c r="O30" s="610"/>
    </row>
    <row r="31" spans="1:24" s="388" customFormat="1">
      <c r="A31" s="622"/>
      <c r="B31" s="605" t="s">
        <v>2844</v>
      </c>
      <c r="C31" s="787"/>
      <c r="E31" s="793"/>
      <c r="F31" s="795"/>
      <c r="G31" s="455">
        <v>2</v>
      </c>
      <c r="H31" s="607">
        <v>5.45</v>
      </c>
      <c r="I31" s="628">
        <v>58.802650679999999</v>
      </c>
      <c r="J31" s="607">
        <v>58.802650679999999</v>
      </c>
      <c r="K31" s="607">
        <v>58.802650679999999</v>
      </c>
      <c r="L31" s="608"/>
      <c r="M31" s="608"/>
      <c r="N31" s="608"/>
      <c r="O31" s="610"/>
    </row>
    <row r="32" spans="1:24" s="388" customFormat="1">
      <c r="A32" s="622"/>
      <c r="B32" s="553">
        <v>4</v>
      </c>
      <c r="C32" s="787"/>
      <c r="E32" s="793"/>
      <c r="F32" s="795"/>
      <c r="G32" s="455">
        <v>3</v>
      </c>
      <c r="H32" s="607">
        <v>-4.8499999999999996</v>
      </c>
      <c r="I32" s="607">
        <v>37.360919664991812</v>
      </c>
      <c r="J32" s="607">
        <v>37.360919664991812</v>
      </c>
      <c r="K32" s="607">
        <v>37.360919664991812</v>
      </c>
      <c r="L32" s="608"/>
      <c r="M32" s="608"/>
      <c r="N32" s="608"/>
      <c r="O32" s="610"/>
    </row>
    <row r="33" spans="1:15" s="388" customFormat="1">
      <c r="A33" s="622"/>
      <c r="B33" s="622"/>
      <c r="E33" s="793"/>
      <c r="F33" s="795"/>
      <c r="G33" s="455">
        <v>4</v>
      </c>
      <c r="H33" s="607">
        <v>-8.7125000000000004</v>
      </c>
      <c r="I33" s="607">
        <v>15.281934880777298</v>
      </c>
      <c r="J33" s="607">
        <v>15.281934880777298</v>
      </c>
      <c r="K33" s="607">
        <v>15.281934880777298</v>
      </c>
      <c r="L33" s="608"/>
      <c r="M33" s="608"/>
      <c r="N33" s="608"/>
      <c r="O33" s="610"/>
    </row>
    <row r="34" spans="1:15" s="388" customFormat="1">
      <c r="A34" s="622"/>
      <c r="B34" s="622"/>
      <c r="E34" s="793"/>
      <c r="F34" s="795"/>
      <c r="G34" s="455">
        <v>5</v>
      </c>
      <c r="H34" s="607">
        <v>-9.2274999999999991</v>
      </c>
      <c r="I34" s="607">
        <v>-9.2274999999999991</v>
      </c>
      <c r="J34" s="607">
        <v>-9.2274999999999991</v>
      </c>
      <c r="K34" s="607">
        <v>-9.2274999999999991</v>
      </c>
      <c r="L34" s="608"/>
      <c r="M34" s="608"/>
      <c r="N34" s="608"/>
      <c r="O34" s="610"/>
    </row>
    <row r="35" spans="1:15" s="388" customFormat="1">
      <c r="A35" s="622"/>
      <c r="B35" s="622"/>
      <c r="E35" s="793"/>
      <c r="F35" s="795"/>
      <c r="G35" s="455">
        <v>6</v>
      </c>
      <c r="H35" s="607">
        <v>-9.4849999999999994</v>
      </c>
      <c r="I35" s="607">
        <v>-9.4849999999999994</v>
      </c>
      <c r="J35" s="607">
        <v>-9.4849999999999994</v>
      </c>
      <c r="K35" s="607">
        <v>-9.4849999999999994</v>
      </c>
      <c r="L35" s="608"/>
      <c r="M35" s="608"/>
      <c r="N35" s="608"/>
      <c r="O35" s="610"/>
    </row>
    <row r="36" spans="1:15" s="388" customFormat="1">
      <c r="A36" s="622"/>
      <c r="E36" s="793"/>
      <c r="F36" s="795"/>
      <c r="G36" s="455">
        <v>7</v>
      </c>
      <c r="H36" s="607">
        <v>-10.32</v>
      </c>
      <c r="I36" s="607">
        <v>-10.32</v>
      </c>
      <c r="J36" s="607">
        <v>-10.32</v>
      </c>
      <c r="K36" s="607">
        <v>-10.32</v>
      </c>
      <c r="L36" s="608"/>
      <c r="M36" s="608"/>
      <c r="N36" s="608"/>
      <c r="O36" s="610"/>
    </row>
    <row r="37" spans="1:15" s="388" customFormat="1">
      <c r="A37" s="622"/>
      <c r="E37" s="793"/>
      <c r="F37" s="795"/>
      <c r="G37" s="455">
        <v>8</v>
      </c>
      <c r="H37" s="607">
        <v>-10.64</v>
      </c>
      <c r="I37" s="607">
        <v>-10.64</v>
      </c>
      <c r="J37" s="607">
        <v>-10.64</v>
      </c>
      <c r="K37" s="607">
        <v>-10.64</v>
      </c>
      <c r="L37" s="608"/>
      <c r="M37" s="608"/>
      <c r="N37" s="608"/>
      <c r="O37" s="610"/>
    </row>
    <row r="38" spans="1:15" s="388" customFormat="1">
      <c r="A38" s="622"/>
      <c r="E38" s="793"/>
      <c r="F38" s="795"/>
      <c r="G38" s="455">
        <v>9</v>
      </c>
      <c r="H38" s="607">
        <v>-10.96</v>
      </c>
      <c r="I38" s="607">
        <v>-10.96</v>
      </c>
      <c r="J38" s="607">
        <v>-10.96</v>
      </c>
      <c r="K38" s="607">
        <v>-10.96</v>
      </c>
      <c r="L38" s="608"/>
      <c r="M38" s="608"/>
      <c r="N38" s="608"/>
      <c r="O38" s="610"/>
    </row>
    <row r="39" spans="1:15" s="388" customFormat="1">
      <c r="A39" s="622"/>
      <c r="E39" s="793"/>
      <c r="F39" s="795"/>
      <c r="G39" s="455">
        <v>10</v>
      </c>
      <c r="H39" s="607">
        <v>-11.28</v>
      </c>
      <c r="I39" s="607">
        <v>-11.28</v>
      </c>
      <c r="J39" s="607">
        <v>-11.28</v>
      </c>
      <c r="K39" s="607">
        <v>-11.28</v>
      </c>
      <c r="L39" s="608"/>
      <c r="M39" s="608"/>
      <c r="N39" s="608"/>
      <c r="O39" s="610"/>
    </row>
    <row r="40" spans="1:15" s="388" customFormat="1">
      <c r="A40" s="622"/>
      <c r="E40" s="793"/>
      <c r="F40" s="795"/>
      <c r="G40" s="455">
        <v>15</v>
      </c>
      <c r="H40" s="607">
        <v>-11.6</v>
      </c>
      <c r="I40" s="607">
        <v>-11.28</v>
      </c>
      <c r="J40" s="607">
        <v>-11.28</v>
      </c>
      <c r="K40" s="607">
        <v>-11.28</v>
      </c>
      <c r="L40" s="608"/>
      <c r="M40" s="608"/>
      <c r="N40" s="608"/>
      <c r="O40" s="610"/>
    </row>
    <row r="41" spans="1:15" s="388" customFormat="1">
      <c r="A41" s="622"/>
      <c r="B41" s="622"/>
      <c r="E41" s="793"/>
      <c r="F41" s="795"/>
      <c r="G41" s="455">
        <v>20</v>
      </c>
      <c r="H41" s="607">
        <v>-11.92</v>
      </c>
      <c r="I41" s="607">
        <v>-11.28</v>
      </c>
      <c r="J41" s="607">
        <v>-11.28</v>
      </c>
      <c r="K41" s="607">
        <v>-11.28</v>
      </c>
      <c r="L41" s="608"/>
      <c r="M41" s="608"/>
      <c r="N41" s="608"/>
      <c r="O41" s="610"/>
    </row>
    <row r="42" spans="1:15" s="388" customFormat="1">
      <c r="A42" s="622"/>
      <c r="B42" s="622"/>
      <c r="E42" s="794"/>
      <c r="F42" s="796"/>
      <c r="G42" s="630">
        <v>70</v>
      </c>
      <c r="H42" s="612">
        <v>-13.2</v>
      </c>
      <c r="I42" s="612">
        <v>-11.28</v>
      </c>
      <c r="J42" s="612">
        <v>-11.28</v>
      </c>
      <c r="K42" s="612">
        <v>-11.28</v>
      </c>
      <c r="L42" s="613"/>
      <c r="M42" s="613"/>
      <c r="N42" s="613"/>
      <c r="O42" s="614"/>
    </row>
    <row r="43" spans="1:15" s="388" customFormat="1">
      <c r="A43" s="622"/>
      <c r="B43" s="622"/>
      <c r="E43" s="797" t="s">
        <v>2985</v>
      </c>
      <c r="F43" s="795" t="s">
        <v>2842</v>
      </c>
      <c r="G43" s="455">
        <v>0</v>
      </c>
      <c r="H43" s="607">
        <v>-4</v>
      </c>
      <c r="I43" s="607">
        <v>0</v>
      </c>
      <c r="J43" s="607">
        <v>0</v>
      </c>
      <c r="K43" s="607">
        <v>0</v>
      </c>
      <c r="L43" s="608"/>
      <c r="M43" s="608"/>
      <c r="N43" s="608"/>
      <c r="O43" s="610"/>
    </row>
    <row r="44" spans="1:15" s="388" customFormat="1">
      <c r="A44" s="622"/>
      <c r="B44" s="622"/>
      <c r="E44" s="797"/>
      <c r="F44" s="795"/>
      <c r="G44" s="455">
        <v>1</v>
      </c>
      <c r="H44" s="607">
        <v>8</v>
      </c>
      <c r="I44" s="607">
        <v>46.5</v>
      </c>
      <c r="J44" s="607">
        <v>46.5</v>
      </c>
      <c r="K44" s="607">
        <v>46.5</v>
      </c>
      <c r="L44" s="608"/>
      <c r="M44" s="608"/>
      <c r="N44" s="608"/>
      <c r="O44" s="610"/>
    </row>
    <row r="45" spans="1:15" s="388" customFormat="1">
      <c r="A45" s="622"/>
      <c r="B45" s="622"/>
      <c r="E45" s="797"/>
      <c r="F45" s="795"/>
      <c r="G45" s="455">
        <v>2</v>
      </c>
      <c r="H45" s="607">
        <v>16</v>
      </c>
      <c r="I45" s="607">
        <v>90</v>
      </c>
      <c r="J45" s="607">
        <v>90</v>
      </c>
      <c r="K45" s="607">
        <v>90</v>
      </c>
      <c r="L45" s="608"/>
      <c r="M45" s="608"/>
      <c r="N45" s="608"/>
      <c r="O45" s="610"/>
    </row>
    <row r="46" spans="1:15" s="388" customFormat="1">
      <c r="A46" s="622"/>
      <c r="B46" s="622"/>
      <c r="E46" s="797"/>
      <c r="F46" s="795"/>
      <c r="G46" s="455">
        <v>3</v>
      </c>
      <c r="H46" s="607">
        <v>48</v>
      </c>
      <c r="I46" s="607">
        <v>90</v>
      </c>
      <c r="J46" s="607">
        <v>90</v>
      </c>
      <c r="K46" s="607">
        <v>90</v>
      </c>
      <c r="L46" s="608"/>
      <c r="M46" s="608"/>
      <c r="N46" s="608"/>
      <c r="O46" s="610"/>
    </row>
    <row r="47" spans="1:15" s="388" customFormat="1">
      <c r="A47" s="622"/>
      <c r="B47" s="622"/>
      <c r="E47" s="797"/>
      <c r="F47" s="795"/>
      <c r="G47" s="455">
        <v>4</v>
      </c>
      <c r="H47" s="607">
        <v>120</v>
      </c>
      <c r="I47" s="607">
        <v>90</v>
      </c>
      <c r="J47" s="607">
        <v>90</v>
      </c>
      <c r="K47" s="607">
        <v>90</v>
      </c>
      <c r="L47" s="608"/>
      <c r="M47" s="608"/>
      <c r="N47" s="608"/>
      <c r="O47" s="610"/>
    </row>
    <row r="48" spans="1:15" s="388" customFormat="1">
      <c r="A48" s="622"/>
      <c r="B48" s="622"/>
      <c r="E48" s="797"/>
      <c r="F48" s="795"/>
      <c r="G48" s="455">
        <v>5</v>
      </c>
      <c r="H48" s="607">
        <v>999</v>
      </c>
      <c r="I48" s="607">
        <v>90</v>
      </c>
      <c r="J48" s="607">
        <v>90</v>
      </c>
      <c r="K48" s="607">
        <v>90</v>
      </c>
      <c r="L48" s="608"/>
      <c r="M48" s="608"/>
      <c r="N48" s="608"/>
      <c r="O48" s="610"/>
    </row>
    <row r="49" spans="1:21" s="388" customFormat="1">
      <c r="A49" s="622"/>
      <c r="B49" s="622"/>
      <c r="E49" s="797"/>
      <c r="F49" s="795"/>
      <c r="G49" s="631">
        <v>10</v>
      </c>
      <c r="H49" s="632">
        <v>999</v>
      </c>
      <c r="I49" s="632">
        <v>90</v>
      </c>
      <c r="J49" s="632">
        <v>90</v>
      </c>
      <c r="K49" s="632">
        <v>90</v>
      </c>
      <c r="L49" s="633"/>
      <c r="M49" s="633"/>
      <c r="N49" s="633"/>
      <c r="O49" s="634"/>
    </row>
    <row r="50" spans="1:21" s="388" customFormat="1">
      <c r="A50" s="622"/>
      <c r="B50" s="622"/>
      <c r="E50" s="797"/>
      <c r="F50" s="799" t="s">
        <v>2844</v>
      </c>
      <c r="G50" s="455">
        <v>0</v>
      </c>
      <c r="H50" s="607">
        <v>0</v>
      </c>
      <c r="I50" s="635">
        <v>0</v>
      </c>
      <c r="J50" s="635">
        <v>0</v>
      </c>
      <c r="K50" s="635">
        <v>0</v>
      </c>
      <c r="L50" s="608"/>
      <c r="M50" s="608"/>
      <c r="N50" s="608"/>
      <c r="O50" s="610"/>
    </row>
    <row r="51" spans="1:21" s="388" customFormat="1">
      <c r="A51" s="622"/>
      <c r="B51" s="622"/>
      <c r="E51" s="797"/>
      <c r="F51" s="799"/>
      <c r="G51" s="455">
        <v>1</v>
      </c>
      <c r="H51" s="607">
        <v>4</v>
      </c>
      <c r="I51" s="635">
        <v>42.5</v>
      </c>
      <c r="J51" s="635">
        <v>42.5</v>
      </c>
      <c r="K51" s="635">
        <v>42.5</v>
      </c>
      <c r="L51" s="608"/>
      <c r="M51" s="608"/>
      <c r="N51" s="608"/>
      <c r="O51" s="610"/>
    </row>
    <row r="52" spans="1:21" s="388" customFormat="1">
      <c r="A52" s="622"/>
      <c r="B52" s="622"/>
      <c r="E52" s="797"/>
      <c r="F52" s="799"/>
      <c r="G52" s="455">
        <v>2</v>
      </c>
      <c r="H52" s="607">
        <v>32</v>
      </c>
      <c r="I52" s="635">
        <v>96</v>
      </c>
      <c r="J52" s="635">
        <v>96</v>
      </c>
      <c r="K52" s="635">
        <v>96</v>
      </c>
      <c r="L52" s="608"/>
      <c r="M52" s="608"/>
      <c r="N52" s="608"/>
      <c r="O52" s="610"/>
    </row>
    <row r="53" spans="1:21" s="388" customFormat="1">
      <c r="A53" s="622"/>
      <c r="B53" s="622"/>
      <c r="E53" s="797"/>
      <c r="F53" s="799"/>
      <c r="G53" s="455">
        <v>3</v>
      </c>
      <c r="H53" s="607">
        <v>999</v>
      </c>
      <c r="I53" s="635">
        <v>96</v>
      </c>
      <c r="J53" s="635">
        <v>96</v>
      </c>
      <c r="K53" s="635">
        <v>96</v>
      </c>
      <c r="L53" s="608"/>
      <c r="M53" s="608"/>
      <c r="N53" s="608"/>
      <c r="O53" s="610"/>
    </row>
    <row r="54" spans="1:21" s="388" customFormat="1">
      <c r="A54" s="622"/>
      <c r="B54" s="622"/>
      <c r="E54" s="797"/>
      <c r="F54" s="799"/>
      <c r="G54" s="455">
        <v>4</v>
      </c>
      <c r="H54" s="607">
        <v>999</v>
      </c>
      <c r="I54" s="635">
        <v>96</v>
      </c>
      <c r="J54" s="635">
        <v>96</v>
      </c>
      <c r="K54" s="635">
        <v>96</v>
      </c>
      <c r="L54" s="608"/>
      <c r="M54" s="608"/>
      <c r="N54" s="608"/>
      <c r="O54" s="610"/>
    </row>
    <row r="55" spans="1:21" s="388" customFormat="1">
      <c r="A55" s="622"/>
      <c r="B55" s="622"/>
      <c r="E55" s="797"/>
      <c r="F55" s="799"/>
      <c r="G55" s="455">
        <v>5</v>
      </c>
      <c r="H55" s="607">
        <v>999</v>
      </c>
      <c r="I55" s="635">
        <v>96</v>
      </c>
      <c r="J55" s="635">
        <v>96</v>
      </c>
      <c r="K55" s="635">
        <v>96</v>
      </c>
      <c r="L55" s="608"/>
      <c r="M55" s="608"/>
      <c r="N55" s="608"/>
      <c r="O55" s="610"/>
    </row>
    <row r="56" spans="1:21" s="388" customFormat="1" ht="15.75" thickBot="1">
      <c r="A56" s="622"/>
      <c r="B56" s="622"/>
      <c r="E56" s="798"/>
      <c r="F56" s="800"/>
      <c r="G56" s="636">
        <v>10</v>
      </c>
      <c r="H56" s="620">
        <v>999</v>
      </c>
      <c r="I56" s="620">
        <v>96</v>
      </c>
      <c r="J56" s="620">
        <v>96</v>
      </c>
      <c r="K56" s="620">
        <v>96</v>
      </c>
      <c r="L56" s="620"/>
      <c r="M56" s="620"/>
      <c r="N56" s="620"/>
      <c r="O56" s="621"/>
    </row>
    <row r="57" spans="1:21" ht="15.75" thickBot="1"/>
    <row r="58" spans="1:21">
      <c r="E58" s="779" t="s">
        <v>2987</v>
      </c>
      <c r="F58" s="780"/>
      <c r="G58" s="780"/>
      <c r="H58" s="780"/>
      <c r="I58" s="780"/>
      <c r="J58" s="780"/>
      <c r="K58" s="780"/>
      <c r="L58" s="780"/>
      <c r="M58" s="780"/>
      <c r="N58" s="780"/>
      <c r="O58" s="781"/>
    </row>
    <row r="59" spans="1:21" s="388" customFormat="1" ht="60" customHeight="1">
      <c r="A59" s="622"/>
      <c r="B59" s="622"/>
      <c r="E59" s="801" t="str">
        <f>LE_DECLARE_TABLE("pArameterQuestionLE","",E60:O72)</f>
        <v>Declared table PARAMETERQUESTIONLE</v>
      </c>
      <c r="F59" s="802"/>
      <c r="G59" s="802"/>
      <c r="H59" s="802"/>
      <c r="I59" s="802"/>
      <c r="J59" s="802"/>
      <c r="K59" s="802"/>
      <c r="L59" s="802"/>
      <c r="M59" s="802"/>
      <c r="N59" s="802"/>
      <c r="O59" s="803"/>
    </row>
    <row r="60" spans="1:21" s="388" customFormat="1">
      <c r="A60" s="622"/>
      <c r="B60" s="598" t="s">
        <v>2824</v>
      </c>
      <c r="D60" s="622"/>
      <c r="E60" s="637"/>
      <c r="F60" s="638"/>
      <c r="G60" s="639"/>
      <c r="H60" s="640">
        <v>1</v>
      </c>
      <c r="I60" s="640">
        <v>2</v>
      </c>
      <c r="J60" s="640">
        <v>3</v>
      </c>
      <c r="K60" s="640">
        <v>4</v>
      </c>
      <c r="L60" s="640">
        <v>5</v>
      </c>
      <c r="M60" s="640">
        <v>6</v>
      </c>
      <c r="N60" s="640">
        <v>7</v>
      </c>
      <c r="O60" s="641">
        <v>8</v>
      </c>
      <c r="P60" s="604"/>
      <c r="Q60" s="604"/>
      <c r="R60" s="604"/>
      <c r="S60" s="604"/>
    </row>
    <row r="61" spans="1:21" s="388" customFormat="1">
      <c r="A61" s="622"/>
      <c r="B61" s="642" t="s">
        <v>2988</v>
      </c>
      <c r="C61" s="787">
        <f>PARAMETERQUESTIONLE(B61,B62,B63,B64)</f>
        <v>0</v>
      </c>
      <c r="E61" s="804" t="s">
        <v>2989</v>
      </c>
      <c r="F61" s="806" t="s">
        <v>2842</v>
      </c>
      <c r="G61" s="643" t="s">
        <v>864</v>
      </c>
      <c r="H61" s="607">
        <v>-8</v>
      </c>
      <c r="I61" s="607">
        <v>-8</v>
      </c>
      <c r="J61" s="607">
        <v>-8</v>
      </c>
      <c r="K61" s="607">
        <v>-8</v>
      </c>
      <c r="L61" s="644"/>
      <c r="M61" s="608"/>
      <c r="N61" s="608"/>
      <c r="O61" s="610"/>
    </row>
    <row r="62" spans="1:21" s="388" customFormat="1">
      <c r="A62" s="622"/>
      <c r="B62" s="645" t="s">
        <v>2842</v>
      </c>
      <c r="C62" s="787"/>
      <c r="E62" s="804"/>
      <c r="F62" s="807"/>
      <c r="G62" s="646" t="s">
        <v>867</v>
      </c>
      <c r="H62" s="632">
        <v>0</v>
      </c>
      <c r="I62" s="632">
        <v>0</v>
      </c>
      <c r="J62" s="632">
        <v>0</v>
      </c>
      <c r="K62" s="632">
        <v>0</v>
      </c>
      <c r="L62" s="647"/>
      <c r="M62" s="633"/>
      <c r="N62" s="633"/>
      <c r="O62" s="634"/>
      <c r="Q62" s="648" t="s">
        <v>2990</v>
      </c>
      <c r="U62" s="388" t="str">
        <f>E61</f>
        <v>Other Vehicle</v>
      </c>
    </row>
    <row r="63" spans="1:21" s="388" customFormat="1">
      <c r="A63" s="622"/>
      <c r="B63" s="645" t="s">
        <v>867</v>
      </c>
      <c r="C63" s="787"/>
      <c r="E63" s="804"/>
      <c r="F63" s="806" t="s">
        <v>2844</v>
      </c>
      <c r="G63" s="643" t="s">
        <v>864</v>
      </c>
      <c r="H63" s="607">
        <v>-1.6</v>
      </c>
      <c r="I63" s="607">
        <v>-1.6</v>
      </c>
      <c r="J63" s="607">
        <v>-1.6</v>
      </c>
      <c r="K63" s="607">
        <v>-1.6</v>
      </c>
      <c r="L63" s="644"/>
      <c r="M63" s="608"/>
      <c r="N63" s="608"/>
      <c r="O63" s="610"/>
      <c r="U63" s="388" t="str">
        <f>E65</f>
        <v>Vehicle for 4x4 use</v>
      </c>
    </row>
    <row r="64" spans="1:21" s="388" customFormat="1">
      <c r="A64" s="622"/>
      <c r="B64" s="649">
        <v>4</v>
      </c>
      <c r="C64" s="787"/>
      <c r="E64" s="805"/>
      <c r="F64" s="808"/>
      <c r="G64" s="650" t="s">
        <v>867</v>
      </c>
      <c r="H64" s="612">
        <v>0</v>
      </c>
      <c r="I64" s="612">
        <v>0</v>
      </c>
      <c r="J64" s="612">
        <v>0</v>
      </c>
      <c r="K64" s="612">
        <v>0</v>
      </c>
      <c r="L64" s="651"/>
      <c r="M64" s="613"/>
      <c r="N64" s="613"/>
      <c r="O64" s="614"/>
      <c r="Q64" s="648" t="s">
        <v>2991</v>
      </c>
      <c r="U64" s="388" t="str">
        <f>E67</f>
        <v>Mobile phone kit fitted</v>
      </c>
    </row>
    <row r="65" spans="1:23" s="388" customFormat="1">
      <c r="A65" s="622"/>
      <c r="B65" s="622"/>
      <c r="E65" s="804" t="s">
        <v>2988</v>
      </c>
      <c r="F65" s="806" t="s">
        <v>2842</v>
      </c>
      <c r="G65" s="643" t="s">
        <v>864</v>
      </c>
      <c r="H65" s="607">
        <v>5.6</v>
      </c>
      <c r="I65" s="607">
        <v>5.6</v>
      </c>
      <c r="J65" s="607">
        <v>5.6</v>
      </c>
      <c r="K65" s="607">
        <v>5.6</v>
      </c>
      <c r="L65" s="644"/>
      <c r="M65" s="608"/>
      <c r="N65" s="608"/>
      <c r="O65" s="610"/>
      <c r="U65" s="388" t="str">
        <f>E69</f>
        <v>Currently Insured?</v>
      </c>
    </row>
    <row r="66" spans="1:23" s="388" customFormat="1">
      <c r="A66" s="622"/>
      <c r="B66" s="622"/>
      <c r="E66" s="805"/>
      <c r="F66" s="808"/>
      <c r="G66" s="650" t="s">
        <v>867</v>
      </c>
      <c r="H66" s="612">
        <v>0</v>
      </c>
      <c r="I66" s="612">
        <v>0</v>
      </c>
      <c r="J66" s="612">
        <v>0</v>
      </c>
      <c r="K66" s="612">
        <v>0</v>
      </c>
      <c r="L66" s="651"/>
      <c r="M66" s="613"/>
      <c r="N66" s="613"/>
      <c r="O66" s="614"/>
      <c r="Q66" s="648" t="s">
        <v>2992</v>
      </c>
    </row>
    <row r="67" spans="1:23" s="388" customFormat="1">
      <c r="A67" s="622"/>
      <c r="B67" s="622"/>
      <c r="E67" s="804" t="s">
        <v>2993</v>
      </c>
      <c r="F67" s="806" t="s">
        <v>2842</v>
      </c>
      <c r="G67" s="643" t="s">
        <v>864</v>
      </c>
      <c r="H67" s="607">
        <v>-3.2</v>
      </c>
      <c r="I67" s="628">
        <v>0</v>
      </c>
      <c r="J67" s="607">
        <v>0</v>
      </c>
      <c r="K67" s="607">
        <v>0</v>
      </c>
      <c r="L67" s="644"/>
      <c r="M67" s="608"/>
      <c r="N67" s="608"/>
      <c r="O67" s="610"/>
    </row>
    <row r="68" spans="1:23" s="388" customFormat="1">
      <c r="A68" s="622"/>
      <c r="B68" s="622"/>
      <c r="E68" s="804"/>
      <c r="F68" s="806"/>
      <c r="G68" s="643" t="s">
        <v>867</v>
      </c>
      <c r="H68" s="607">
        <v>1.6</v>
      </c>
      <c r="I68" s="628">
        <v>0</v>
      </c>
      <c r="J68" s="607">
        <v>0</v>
      </c>
      <c r="K68" s="607">
        <v>0</v>
      </c>
      <c r="L68" s="644"/>
      <c r="M68" s="608"/>
      <c r="N68" s="608"/>
      <c r="O68" s="610"/>
      <c r="Q68" s="622" t="s">
        <v>2994</v>
      </c>
    </row>
    <row r="69" spans="1:23" s="388" customFormat="1">
      <c r="A69" s="622"/>
      <c r="B69" s="622"/>
      <c r="E69" s="809" t="s">
        <v>2995</v>
      </c>
      <c r="F69" s="811" t="s">
        <v>2842</v>
      </c>
      <c r="G69" s="652" t="s">
        <v>864</v>
      </c>
      <c r="H69" s="653">
        <v>-8</v>
      </c>
      <c r="I69" s="653">
        <v>-8</v>
      </c>
      <c r="J69" s="653">
        <v>-8</v>
      </c>
      <c r="K69" s="653">
        <v>-8</v>
      </c>
      <c r="L69" s="654"/>
      <c r="M69" s="655"/>
      <c r="N69" s="655"/>
      <c r="O69" s="656"/>
    </row>
    <row r="70" spans="1:23" s="388" customFormat="1">
      <c r="A70" s="622"/>
      <c r="B70" s="622"/>
      <c r="E70" s="804"/>
      <c r="F70" s="807"/>
      <c r="G70" s="646" t="s">
        <v>867</v>
      </c>
      <c r="H70" s="632">
        <v>16</v>
      </c>
      <c r="I70" s="632">
        <v>-8</v>
      </c>
      <c r="J70" s="632">
        <v>-8</v>
      </c>
      <c r="K70" s="632">
        <v>-8</v>
      </c>
      <c r="L70" s="647"/>
      <c r="M70" s="633"/>
      <c r="N70" s="633"/>
      <c r="O70" s="634"/>
      <c r="Q70" s="648" t="s">
        <v>2996</v>
      </c>
    </row>
    <row r="71" spans="1:23" s="388" customFormat="1">
      <c r="A71" s="622"/>
      <c r="B71" s="622"/>
      <c r="E71" s="804"/>
      <c r="F71" s="806" t="s">
        <v>2844</v>
      </c>
      <c r="G71" s="643" t="s">
        <v>864</v>
      </c>
      <c r="H71" s="607">
        <v>-8</v>
      </c>
      <c r="I71" s="607">
        <v>-8</v>
      </c>
      <c r="J71" s="607">
        <v>-8</v>
      </c>
      <c r="K71" s="607">
        <v>-8</v>
      </c>
      <c r="L71" s="644"/>
      <c r="M71" s="608"/>
      <c r="N71" s="608"/>
      <c r="O71" s="610"/>
    </row>
    <row r="72" spans="1:23" s="388" customFormat="1" ht="15.75" thickBot="1">
      <c r="A72" s="622"/>
      <c r="B72" s="622"/>
      <c r="E72" s="810"/>
      <c r="F72" s="812"/>
      <c r="G72" s="657" t="s">
        <v>867</v>
      </c>
      <c r="H72" s="619">
        <v>16</v>
      </c>
      <c r="I72" s="619">
        <v>-8</v>
      </c>
      <c r="J72" s="619">
        <v>-8</v>
      </c>
      <c r="K72" s="619">
        <v>-8</v>
      </c>
      <c r="L72" s="658"/>
      <c r="M72" s="620"/>
      <c r="N72" s="620"/>
      <c r="O72" s="621"/>
      <c r="Q72" s="648" t="s">
        <v>2997</v>
      </c>
    </row>
    <row r="73" spans="1:23" s="388" customFormat="1">
      <c r="A73" s="659"/>
      <c r="B73" s="659"/>
      <c r="D73" s="659"/>
      <c r="E73" s="660"/>
      <c r="F73" s="660"/>
      <c r="G73" s="661"/>
      <c r="H73" s="662"/>
      <c r="I73" s="663"/>
      <c r="J73" s="662"/>
      <c r="K73" s="662"/>
    </row>
    <row r="74" spans="1:23" ht="15.75" thickBot="1">
      <c r="A74" s="659"/>
      <c r="B74" s="659"/>
      <c r="C74" s="659"/>
      <c r="D74" s="660"/>
      <c r="E74" s="660"/>
      <c r="F74" s="388"/>
      <c r="G74" s="662"/>
      <c r="H74" s="663"/>
      <c r="I74" s="662"/>
      <c r="J74" s="662"/>
      <c r="K74" s="388"/>
      <c r="L74" s="388"/>
      <c r="M74" s="388"/>
      <c r="N74" s="388"/>
      <c r="O74" s="388"/>
      <c r="P74" s="388"/>
      <c r="Q74" s="388"/>
      <c r="R74" s="388"/>
      <c r="S74" s="388"/>
      <c r="T74" s="388"/>
    </row>
    <row r="75" spans="1:23">
      <c r="F75" s="384"/>
      <c r="G75" s="779" t="s">
        <v>2998</v>
      </c>
      <c r="H75" s="780" t="s">
        <v>2998</v>
      </c>
      <c r="I75" s="780"/>
      <c r="J75" s="780"/>
      <c r="K75" s="780"/>
      <c r="L75" s="780"/>
      <c r="M75" s="780"/>
      <c r="N75" s="780"/>
      <c r="O75" s="781"/>
    </row>
    <row r="76" spans="1:23" ht="45.75" customHeight="1">
      <c r="F76" s="478"/>
      <c r="G76" s="801" t="str">
        <f>LE_DECLARE_TABLE("tSuspensionLE","",G77:O84)</f>
        <v>Declared table TSUSPENSIONLE</v>
      </c>
      <c r="H76" s="802"/>
      <c r="I76" s="802"/>
      <c r="J76" s="802"/>
      <c r="K76" s="802"/>
      <c r="L76" s="802"/>
      <c r="M76" s="802"/>
      <c r="N76" s="802"/>
      <c r="O76" s="803"/>
    </row>
    <row r="77" spans="1:23">
      <c r="G77" s="637"/>
      <c r="H77" s="602">
        <v>1</v>
      </c>
      <c r="I77" s="602">
        <v>2</v>
      </c>
      <c r="J77" s="602">
        <v>3</v>
      </c>
      <c r="K77" s="602">
        <v>4</v>
      </c>
      <c r="L77" s="602">
        <v>5</v>
      </c>
      <c r="M77" s="602">
        <v>6</v>
      </c>
      <c r="N77" s="602">
        <v>7</v>
      </c>
      <c r="O77" s="603">
        <v>8</v>
      </c>
      <c r="P77" s="604"/>
      <c r="Q77" s="604"/>
      <c r="R77" s="604"/>
      <c r="S77" s="604"/>
      <c r="T77" s="604"/>
    </row>
    <row r="78" spans="1:23">
      <c r="G78" s="440">
        <v>0</v>
      </c>
      <c r="H78" s="664">
        <v>0</v>
      </c>
      <c r="I78" s="665">
        <v>0</v>
      </c>
      <c r="J78" s="664">
        <v>0</v>
      </c>
      <c r="K78" s="664">
        <v>0</v>
      </c>
      <c r="L78" s="531"/>
      <c r="M78" s="531"/>
      <c r="N78" s="391"/>
      <c r="O78" s="666"/>
      <c r="P78" s="388"/>
      <c r="Q78" s="388"/>
      <c r="R78" s="388"/>
      <c r="S78" s="388"/>
      <c r="T78" s="388"/>
      <c r="U78" s="388"/>
      <c r="V78" s="388"/>
      <c r="W78" s="388"/>
    </row>
    <row r="79" spans="1:23">
      <c r="G79" s="440">
        <v>1</v>
      </c>
      <c r="H79" s="664">
        <v>4</v>
      </c>
      <c r="I79" s="665">
        <v>4</v>
      </c>
      <c r="J79" s="664">
        <v>4</v>
      </c>
      <c r="K79" s="664">
        <v>4</v>
      </c>
      <c r="L79" s="531"/>
      <c r="M79" s="531"/>
      <c r="N79" s="391"/>
      <c r="O79" s="666"/>
      <c r="P79" s="388"/>
      <c r="Q79" s="388"/>
      <c r="R79" s="388"/>
      <c r="S79" s="388"/>
      <c r="T79" s="388"/>
      <c r="U79" s="388"/>
      <c r="V79" s="388"/>
      <c r="W79" s="388"/>
    </row>
    <row r="80" spans="1:23">
      <c r="G80" s="440">
        <v>2</v>
      </c>
      <c r="H80" s="664">
        <v>20</v>
      </c>
      <c r="I80" s="665">
        <v>20</v>
      </c>
      <c r="J80" s="664">
        <v>20</v>
      </c>
      <c r="K80" s="664">
        <v>20</v>
      </c>
      <c r="L80" s="531"/>
      <c r="M80" s="531"/>
      <c r="N80" s="391"/>
      <c r="O80" s="666"/>
      <c r="P80" s="388"/>
      <c r="Q80" s="388"/>
      <c r="R80" s="388"/>
      <c r="S80" s="388"/>
      <c r="T80" s="388"/>
      <c r="U80" s="388"/>
      <c r="V80" s="388"/>
      <c r="W80" s="388"/>
    </row>
    <row r="81" spans="2:26">
      <c r="G81" s="440">
        <v>3</v>
      </c>
      <c r="H81" s="664">
        <v>52</v>
      </c>
      <c r="I81" s="665">
        <v>52</v>
      </c>
      <c r="J81" s="664">
        <v>52</v>
      </c>
      <c r="K81" s="664">
        <v>52</v>
      </c>
      <c r="L81" s="531"/>
      <c r="M81" s="531"/>
      <c r="N81" s="391"/>
      <c r="O81" s="666"/>
      <c r="P81" s="388"/>
      <c r="Q81" s="388"/>
      <c r="R81" s="388"/>
      <c r="S81" s="388"/>
      <c r="T81" s="388"/>
      <c r="U81" s="388"/>
      <c r="V81" s="388"/>
      <c r="W81" s="388"/>
    </row>
    <row r="82" spans="2:26">
      <c r="G82" s="440">
        <v>4</v>
      </c>
      <c r="H82" s="664">
        <v>120</v>
      </c>
      <c r="I82" s="665">
        <v>120</v>
      </c>
      <c r="J82" s="664">
        <v>120</v>
      </c>
      <c r="K82" s="664">
        <v>120</v>
      </c>
      <c r="L82" s="531"/>
      <c r="M82" s="531"/>
      <c r="N82" s="391"/>
      <c r="O82" s="666"/>
      <c r="P82" s="388"/>
      <c r="Q82" s="388"/>
      <c r="R82" s="388"/>
      <c r="S82" s="388"/>
      <c r="T82" s="388"/>
      <c r="U82" s="388"/>
      <c r="V82" s="388"/>
      <c r="W82" s="388"/>
    </row>
    <row r="83" spans="2:26">
      <c r="G83" s="440">
        <v>5</v>
      </c>
      <c r="H83" s="664">
        <v>999</v>
      </c>
      <c r="I83" s="665">
        <v>999</v>
      </c>
      <c r="J83" s="664">
        <v>999</v>
      </c>
      <c r="K83" s="664">
        <v>999</v>
      </c>
      <c r="L83" s="531"/>
      <c r="M83" s="531"/>
      <c r="N83" s="391"/>
      <c r="O83" s="666"/>
      <c r="P83" s="388"/>
      <c r="Q83" s="388"/>
      <c r="R83" s="388"/>
      <c r="S83" s="388"/>
      <c r="T83" s="388"/>
      <c r="U83" s="388"/>
      <c r="V83" s="388"/>
      <c r="W83" s="388"/>
    </row>
    <row r="84" spans="2:26" ht="15.75" thickBot="1">
      <c r="G84" s="448">
        <v>10</v>
      </c>
      <c r="H84" s="667">
        <v>999</v>
      </c>
      <c r="I84" s="668">
        <v>999</v>
      </c>
      <c r="J84" s="667">
        <v>999</v>
      </c>
      <c r="K84" s="667">
        <v>999</v>
      </c>
      <c r="L84" s="533"/>
      <c r="M84" s="533"/>
      <c r="N84" s="669"/>
      <c r="O84" s="670"/>
      <c r="P84" s="388"/>
      <c r="Q84" s="388"/>
      <c r="R84" s="388"/>
      <c r="S84" s="388"/>
      <c r="T84" s="388"/>
      <c r="U84" s="388"/>
      <c r="V84" s="388"/>
      <c r="W84" s="388"/>
    </row>
    <row r="85" spans="2:26" ht="15.75" thickBot="1">
      <c r="F85" s="11"/>
    </row>
    <row r="86" spans="2:26">
      <c r="C86" s="11"/>
      <c r="F86" s="779" t="s">
        <v>2999</v>
      </c>
      <c r="G86" s="815"/>
      <c r="H86" s="815"/>
      <c r="I86" s="815"/>
      <c r="J86" s="815"/>
      <c r="K86" s="815"/>
      <c r="L86" s="815"/>
      <c r="M86" s="815"/>
      <c r="N86" s="815"/>
      <c r="O86" s="816"/>
      <c r="P86" s="671"/>
      <c r="Q86" s="388"/>
    </row>
    <row r="87" spans="2:26" ht="57.75" customHeight="1">
      <c r="C87" s="11"/>
      <c r="F87" s="817" t="str">
        <f>LE_DECLARE_TABLE("tVehicleUseLE","",F88:O148)</f>
        <v>Declared table TVEHICLEUSELE</v>
      </c>
      <c r="G87" s="818"/>
      <c r="H87" s="818"/>
      <c r="I87" s="818"/>
      <c r="J87" s="818"/>
      <c r="K87" s="818"/>
      <c r="L87" s="818"/>
      <c r="M87" s="818"/>
      <c r="N87" s="818"/>
      <c r="O87" s="819"/>
    </row>
    <row r="88" spans="2:26">
      <c r="C88" s="11"/>
      <c r="F88" s="599"/>
      <c r="G88" s="659"/>
      <c r="H88" s="602">
        <v>1</v>
      </c>
      <c r="I88" s="602">
        <v>2</v>
      </c>
      <c r="J88" s="602">
        <v>3</v>
      </c>
      <c r="K88" s="602">
        <v>4</v>
      </c>
      <c r="L88" s="602">
        <v>5</v>
      </c>
      <c r="M88" s="602">
        <v>6</v>
      </c>
      <c r="N88" s="602">
        <v>7</v>
      </c>
      <c r="O88" s="603">
        <v>8</v>
      </c>
      <c r="P88" s="604"/>
      <c r="Q88" s="604"/>
      <c r="R88" s="604"/>
      <c r="S88" s="604"/>
      <c r="T88" s="604"/>
      <c r="U88" s="604"/>
      <c r="V88" s="388"/>
      <c r="W88" s="388"/>
      <c r="X88" s="388"/>
      <c r="Y88" s="388"/>
      <c r="Z88" s="388"/>
    </row>
    <row r="89" spans="2:26">
      <c r="C89" s="11"/>
      <c r="F89" s="793" t="s">
        <v>3000</v>
      </c>
      <c r="G89" s="672" t="s">
        <v>3001</v>
      </c>
      <c r="H89" s="664">
        <v>999</v>
      </c>
      <c r="I89" s="665">
        <v>999</v>
      </c>
      <c r="J89" s="664">
        <v>999</v>
      </c>
      <c r="K89" s="664">
        <v>999</v>
      </c>
      <c r="L89" s="531"/>
      <c r="M89" s="531"/>
      <c r="N89" s="391"/>
      <c r="O89" s="666"/>
      <c r="P89" s="388"/>
      <c r="Q89" s="388"/>
      <c r="R89" s="388"/>
      <c r="S89" s="388"/>
      <c r="T89" s="388"/>
      <c r="U89" s="388"/>
      <c r="V89" s="388"/>
      <c r="W89" s="388"/>
      <c r="X89" s="388"/>
      <c r="Y89" s="388"/>
      <c r="Z89" s="388"/>
    </row>
    <row r="90" spans="2:26">
      <c r="C90" s="11"/>
      <c r="F90" s="793"/>
      <c r="G90" s="672" t="s">
        <v>3002</v>
      </c>
      <c r="H90" s="664">
        <v>999</v>
      </c>
      <c r="I90" s="665">
        <v>999</v>
      </c>
      <c r="J90" s="664">
        <v>999</v>
      </c>
      <c r="K90" s="664">
        <v>999</v>
      </c>
      <c r="L90" s="531"/>
      <c r="M90" s="531"/>
      <c r="N90" s="391"/>
      <c r="O90" s="666"/>
      <c r="P90" s="388"/>
      <c r="Q90" s="388"/>
      <c r="R90" s="388"/>
      <c r="S90" s="388"/>
      <c r="T90" s="388"/>
      <c r="U90" s="388"/>
      <c r="V90" s="388"/>
      <c r="W90" s="388"/>
      <c r="X90" s="388"/>
      <c r="Y90" s="388"/>
      <c r="Z90" s="388"/>
    </row>
    <row r="91" spans="2:26">
      <c r="C91" s="11"/>
      <c r="F91" s="793"/>
      <c r="G91" s="672" t="s">
        <v>3003</v>
      </c>
      <c r="H91" s="664">
        <v>999</v>
      </c>
      <c r="I91" s="665">
        <v>999</v>
      </c>
      <c r="J91" s="664">
        <v>999</v>
      </c>
      <c r="K91" s="664">
        <v>999</v>
      </c>
      <c r="L91" s="531"/>
      <c r="M91" s="531"/>
      <c r="N91" s="391"/>
      <c r="O91" s="666"/>
      <c r="P91" s="388"/>
      <c r="Q91" s="388"/>
      <c r="R91" s="388"/>
      <c r="S91" s="388"/>
      <c r="T91" s="388"/>
      <c r="U91" s="388"/>
      <c r="V91" s="388"/>
      <c r="W91" s="388"/>
      <c r="X91" s="388"/>
      <c r="Y91" s="388"/>
      <c r="Z91" s="388"/>
    </row>
    <row r="92" spans="2:26">
      <c r="C92" s="11"/>
      <c r="F92" s="793"/>
      <c r="G92" s="672" t="s">
        <v>3004</v>
      </c>
      <c r="H92" s="664">
        <v>999</v>
      </c>
      <c r="I92" s="665">
        <v>999</v>
      </c>
      <c r="J92" s="664">
        <v>999</v>
      </c>
      <c r="K92" s="664">
        <v>999</v>
      </c>
      <c r="L92" s="531"/>
      <c r="M92" s="531"/>
      <c r="N92" s="391"/>
      <c r="O92" s="666"/>
      <c r="P92" s="388"/>
      <c r="Q92" s="388"/>
      <c r="R92" s="388"/>
      <c r="S92" s="388"/>
      <c r="T92" s="388"/>
      <c r="U92" s="388"/>
      <c r="V92" s="388"/>
      <c r="W92" s="388"/>
      <c r="X92" s="388"/>
      <c r="Y92" s="388"/>
      <c r="Z92" s="388"/>
    </row>
    <row r="93" spans="2:26">
      <c r="C93" s="11"/>
      <c r="F93" s="793"/>
      <c r="G93" s="672" t="s">
        <v>3005</v>
      </c>
      <c r="H93" s="664">
        <v>999</v>
      </c>
      <c r="I93" s="665">
        <v>999</v>
      </c>
      <c r="J93" s="664">
        <v>999</v>
      </c>
      <c r="K93" s="664">
        <v>999</v>
      </c>
      <c r="L93" s="531"/>
      <c r="M93" s="531"/>
      <c r="N93" s="391"/>
      <c r="O93" s="666"/>
      <c r="P93" s="388"/>
      <c r="Q93" s="388"/>
      <c r="R93" s="388"/>
      <c r="S93" s="388"/>
      <c r="T93" s="388"/>
      <c r="U93" s="388"/>
      <c r="V93" s="388"/>
      <c r="W93" s="388"/>
      <c r="X93" s="388"/>
      <c r="Y93" s="388"/>
      <c r="Z93" s="388"/>
    </row>
    <row r="94" spans="2:26">
      <c r="B94" s="11">
        <v>4</v>
      </c>
      <c r="C94" s="11"/>
      <c r="F94" s="793"/>
      <c r="G94" s="672" t="s">
        <v>3006</v>
      </c>
      <c r="H94" s="664">
        <v>999</v>
      </c>
      <c r="I94" s="665">
        <v>999</v>
      </c>
      <c r="J94" s="664">
        <v>999</v>
      </c>
      <c r="K94" s="664">
        <v>999</v>
      </c>
      <c r="L94" s="531"/>
      <c r="M94" s="531"/>
      <c r="N94" s="391"/>
      <c r="O94" s="666"/>
      <c r="P94" s="388"/>
      <c r="Q94" s="388"/>
      <c r="R94" s="388"/>
      <c r="S94" s="388"/>
      <c r="T94" s="388"/>
      <c r="U94" s="388"/>
      <c r="V94" s="388"/>
      <c r="W94" s="388"/>
      <c r="X94" s="388"/>
      <c r="Y94" s="388"/>
      <c r="Z94" s="388"/>
    </row>
    <row r="95" spans="2:26">
      <c r="C95" s="11"/>
      <c r="F95" s="793"/>
      <c r="G95" s="672" t="s">
        <v>1384</v>
      </c>
      <c r="H95" s="664">
        <v>0</v>
      </c>
      <c r="I95" s="665">
        <v>0</v>
      </c>
      <c r="J95" s="664">
        <v>0</v>
      </c>
      <c r="K95" s="664">
        <v>0</v>
      </c>
      <c r="L95" s="531"/>
      <c r="M95" s="531"/>
      <c r="N95" s="391"/>
      <c r="O95" s="666"/>
      <c r="P95" s="388"/>
      <c r="Q95" s="388"/>
      <c r="R95" s="388"/>
      <c r="S95" s="388"/>
      <c r="T95" s="388"/>
      <c r="U95" s="388"/>
      <c r="V95" s="388"/>
      <c r="W95" s="388"/>
      <c r="X95" s="388"/>
      <c r="Y95" s="388"/>
      <c r="Z95" s="388"/>
    </row>
    <row r="96" spans="2:26">
      <c r="C96" s="11"/>
      <c r="F96" s="793"/>
      <c r="G96" s="672" t="s">
        <v>1376</v>
      </c>
      <c r="H96" s="664">
        <v>-8</v>
      </c>
      <c r="I96" s="665">
        <v>-8</v>
      </c>
      <c r="J96" s="664">
        <v>-8</v>
      </c>
      <c r="K96" s="664">
        <v>-8</v>
      </c>
      <c r="L96" s="531"/>
      <c r="M96" s="531"/>
      <c r="N96" s="391"/>
      <c r="O96" s="666"/>
      <c r="P96" s="388"/>
      <c r="Q96" s="388"/>
      <c r="R96" s="388"/>
      <c r="S96" s="388"/>
      <c r="T96" s="388"/>
      <c r="U96" s="388"/>
      <c r="V96" s="388"/>
      <c r="W96" s="388"/>
      <c r="X96" s="388"/>
      <c r="Y96" s="388"/>
      <c r="Z96" s="388"/>
    </row>
    <row r="97" spans="3:26">
      <c r="C97" s="11"/>
      <c r="F97" s="793"/>
      <c r="G97" s="672" t="s">
        <v>1422</v>
      </c>
      <c r="H97" s="664">
        <v>8</v>
      </c>
      <c r="I97" s="665">
        <v>8</v>
      </c>
      <c r="J97" s="664">
        <v>8</v>
      </c>
      <c r="K97" s="664">
        <v>8</v>
      </c>
      <c r="L97" s="531"/>
      <c r="M97" s="531"/>
      <c r="N97" s="391"/>
      <c r="O97" s="666"/>
      <c r="P97" s="388"/>
      <c r="Q97" s="388"/>
      <c r="R97" s="388"/>
      <c r="S97" s="388"/>
      <c r="T97" s="388"/>
      <c r="U97" s="388"/>
      <c r="V97" s="388"/>
      <c r="W97" s="388"/>
      <c r="X97" s="388"/>
      <c r="Y97" s="388"/>
      <c r="Z97" s="388"/>
    </row>
    <row r="98" spans="3:26">
      <c r="C98" s="11"/>
      <c r="F98" s="793"/>
      <c r="G98" s="672" t="s">
        <v>1700</v>
      </c>
      <c r="H98" s="664">
        <v>4.8</v>
      </c>
      <c r="I98" s="665">
        <v>4.8</v>
      </c>
      <c r="J98" s="664">
        <v>4.8</v>
      </c>
      <c r="K98" s="664">
        <v>4.8</v>
      </c>
      <c r="L98" s="531"/>
      <c r="M98" s="531"/>
      <c r="N98" s="391"/>
      <c r="O98" s="666"/>
      <c r="P98" s="388"/>
      <c r="Q98" s="388"/>
      <c r="R98" s="388"/>
      <c r="S98" s="388"/>
      <c r="T98" s="388"/>
      <c r="U98" s="388"/>
      <c r="V98" s="388"/>
      <c r="W98" s="388"/>
      <c r="X98" s="388"/>
      <c r="Y98" s="388"/>
      <c r="Z98" s="388"/>
    </row>
    <row r="99" spans="3:26">
      <c r="C99" s="11"/>
      <c r="F99" s="793"/>
      <c r="G99" s="672" t="s">
        <v>3007</v>
      </c>
      <c r="H99" s="664">
        <v>0</v>
      </c>
      <c r="I99" s="665">
        <v>0</v>
      </c>
      <c r="J99" s="664">
        <v>0</v>
      </c>
      <c r="K99" s="664">
        <v>0</v>
      </c>
      <c r="L99" s="531"/>
      <c r="M99" s="531"/>
      <c r="N99" s="391"/>
      <c r="O99" s="666"/>
      <c r="P99" s="388"/>
      <c r="Q99" s="388"/>
      <c r="R99" s="388"/>
      <c r="S99" s="388"/>
      <c r="T99" s="388"/>
      <c r="U99" s="388"/>
      <c r="V99" s="388"/>
      <c r="W99" s="388"/>
      <c r="X99" s="388"/>
      <c r="Y99" s="388"/>
      <c r="Z99" s="388"/>
    </row>
    <row r="100" spans="3:26">
      <c r="C100" s="11"/>
      <c r="F100" s="793"/>
      <c r="G100" s="672" t="s">
        <v>3008</v>
      </c>
      <c r="H100" s="664">
        <v>-8</v>
      </c>
      <c r="I100" s="665">
        <v>-8</v>
      </c>
      <c r="J100" s="664">
        <v>-8</v>
      </c>
      <c r="K100" s="664">
        <v>-8</v>
      </c>
      <c r="L100" s="531"/>
      <c r="M100" s="531"/>
      <c r="N100" s="391"/>
      <c r="O100" s="666"/>
      <c r="P100" s="388"/>
      <c r="Q100" s="388"/>
      <c r="R100" s="388"/>
      <c r="S100" s="388"/>
      <c r="T100" s="388"/>
      <c r="U100" s="388"/>
      <c r="V100" s="388"/>
      <c r="W100" s="388"/>
      <c r="X100" s="388"/>
      <c r="Y100" s="388"/>
      <c r="Z100" s="388"/>
    </row>
    <row r="101" spans="3:26">
      <c r="C101" s="11"/>
      <c r="F101" s="793"/>
      <c r="G101" s="672" t="s">
        <v>3009</v>
      </c>
      <c r="H101" s="664">
        <v>8</v>
      </c>
      <c r="I101" s="665">
        <v>8</v>
      </c>
      <c r="J101" s="664">
        <v>8</v>
      </c>
      <c r="K101" s="664">
        <v>8</v>
      </c>
      <c r="L101" s="531"/>
      <c r="M101" s="531"/>
      <c r="N101" s="391"/>
      <c r="O101" s="666"/>
      <c r="P101" s="388"/>
      <c r="Q101" s="388"/>
      <c r="R101" s="388"/>
      <c r="S101" s="388"/>
      <c r="T101" s="388"/>
      <c r="U101" s="388"/>
      <c r="V101" s="388"/>
      <c r="W101" s="388"/>
      <c r="X101" s="388"/>
      <c r="Y101" s="388"/>
      <c r="Z101" s="388"/>
    </row>
    <row r="102" spans="3:26">
      <c r="C102" s="11"/>
      <c r="F102" s="793"/>
      <c r="G102" s="672" t="s">
        <v>3010</v>
      </c>
      <c r="H102" s="664">
        <v>4.8</v>
      </c>
      <c r="I102" s="665">
        <v>4.8</v>
      </c>
      <c r="J102" s="664">
        <v>4.8</v>
      </c>
      <c r="K102" s="664">
        <v>4.8</v>
      </c>
      <c r="L102" s="531"/>
      <c r="M102" s="531"/>
      <c r="N102" s="391"/>
      <c r="O102" s="666"/>
      <c r="P102" s="388"/>
      <c r="Q102" s="388"/>
      <c r="R102" s="388"/>
      <c r="S102" s="388"/>
      <c r="T102" s="388"/>
      <c r="U102" s="388"/>
      <c r="V102" s="388"/>
      <c r="W102" s="388"/>
      <c r="X102" s="388"/>
      <c r="Y102" s="388"/>
      <c r="Z102" s="388"/>
    </row>
    <row r="103" spans="3:26">
      <c r="C103" s="11"/>
      <c r="F103" s="794"/>
      <c r="G103" s="673" t="s">
        <v>3011</v>
      </c>
      <c r="H103" s="674">
        <v>999</v>
      </c>
      <c r="I103" s="675">
        <v>999</v>
      </c>
      <c r="J103" s="674">
        <v>999</v>
      </c>
      <c r="K103" s="674">
        <v>999</v>
      </c>
      <c r="L103" s="676"/>
      <c r="M103" s="676"/>
      <c r="N103" s="677"/>
      <c r="O103" s="678"/>
      <c r="P103" s="388"/>
      <c r="Q103" s="388"/>
      <c r="R103" s="388"/>
      <c r="S103" s="388"/>
      <c r="T103" s="388"/>
      <c r="U103" s="388"/>
      <c r="V103" s="388"/>
      <c r="W103" s="388"/>
      <c r="X103" s="388"/>
      <c r="Y103" s="388"/>
      <c r="Z103" s="388"/>
    </row>
    <row r="104" spans="3:26">
      <c r="C104" s="11"/>
      <c r="F104" s="793" t="s">
        <v>3012</v>
      </c>
      <c r="G104" s="672" t="s">
        <v>3001</v>
      </c>
      <c r="H104" s="664">
        <v>999</v>
      </c>
      <c r="I104" s="665">
        <v>999</v>
      </c>
      <c r="J104" s="664">
        <v>999</v>
      </c>
      <c r="K104" s="664">
        <v>999</v>
      </c>
      <c r="L104" s="531"/>
      <c r="M104" s="531"/>
      <c r="N104" s="391"/>
      <c r="O104" s="666"/>
      <c r="P104" s="622"/>
      <c r="Q104" s="388"/>
      <c r="R104" s="388"/>
      <c r="S104" s="388"/>
      <c r="T104" s="388"/>
      <c r="U104" s="388"/>
      <c r="V104" s="388"/>
      <c r="W104" s="388"/>
      <c r="X104" s="388"/>
      <c r="Y104" s="388"/>
      <c r="Z104" s="388"/>
    </row>
    <row r="105" spans="3:26">
      <c r="C105" s="11"/>
      <c r="F105" s="793"/>
      <c r="G105" s="672" t="s">
        <v>3002</v>
      </c>
      <c r="H105" s="664">
        <v>999</v>
      </c>
      <c r="I105" s="665">
        <v>999</v>
      </c>
      <c r="J105" s="664">
        <v>999</v>
      </c>
      <c r="K105" s="664">
        <v>999</v>
      </c>
      <c r="L105" s="531"/>
      <c r="M105" s="531"/>
      <c r="N105" s="391"/>
      <c r="O105" s="666"/>
      <c r="P105" s="622"/>
      <c r="Q105" s="388"/>
      <c r="R105" s="388"/>
      <c r="S105" s="388"/>
      <c r="T105" s="388"/>
      <c r="U105" s="388"/>
      <c r="V105" s="388"/>
      <c r="W105" s="388"/>
      <c r="X105" s="388"/>
      <c r="Y105" s="388"/>
      <c r="Z105" s="388"/>
    </row>
    <row r="106" spans="3:26">
      <c r="C106" s="11"/>
      <c r="F106" s="793"/>
      <c r="G106" s="672" t="s">
        <v>3003</v>
      </c>
      <c r="H106" s="664">
        <v>999</v>
      </c>
      <c r="I106" s="665">
        <v>999</v>
      </c>
      <c r="J106" s="664">
        <v>999</v>
      </c>
      <c r="K106" s="664">
        <v>999</v>
      </c>
      <c r="L106" s="531"/>
      <c r="M106" s="531"/>
      <c r="N106" s="391"/>
      <c r="O106" s="666"/>
      <c r="P106" s="622"/>
      <c r="Q106" s="388"/>
      <c r="R106" s="388"/>
      <c r="S106" s="388"/>
      <c r="T106" s="388"/>
      <c r="U106" s="388"/>
      <c r="V106" s="388"/>
      <c r="W106" s="388"/>
      <c r="X106" s="388"/>
      <c r="Y106" s="388"/>
      <c r="Z106" s="388"/>
    </row>
    <row r="107" spans="3:26">
      <c r="C107" s="11"/>
      <c r="F107" s="793"/>
      <c r="G107" s="672" t="s">
        <v>3004</v>
      </c>
      <c r="H107" s="664">
        <v>999</v>
      </c>
      <c r="I107" s="665">
        <v>999</v>
      </c>
      <c r="J107" s="664">
        <v>999</v>
      </c>
      <c r="K107" s="664">
        <v>999</v>
      </c>
      <c r="L107" s="531"/>
      <c r="M107" s="531"/>
      <c r="N107" s="391"/>
      <c r="O107" s="666"/>
      <c r="P107" s="622"/>
      <c r="Q107" s="388"/>
      <c r="R107" s="388"/>
      <c r="S107" s="388"/>
      <c r="T107" s="388"/>
      <c r="U107" s="388"/>
      <c r="V107" s="388"/>
      <c r="W107" s="388"/>
      <c r="X107" s="388"/>
      <c r="Y107" s="388"/>
      <c r="Z107" s="388"/>
    </row>
    <row r="108" spans="3:26">
      <c r="C108" s="11"/>
      <c r="F108" s="793"/>
      <c r="G108" s="672" t="s">
        <v>3005</v>
      </c>
      <c r="H108" s="664">
        <v>999</v>
      </c>
      <c r="I108" s="665">
        <v>999</v>
      </c>
      <c r="J108" s="664">
        <v>999</v>
      </c>
      <c r="K108" s="664">
        <v>999</v>
      </c>
      <c r="L108" s="531"/>
      <c r="M108" s="531"/>
      <c r="N108" s="391"/>
      <c r="O108" s="666"/>
      <c r="P108" s="622"/>
      <c r="Q108" s="388"/>
      <c r="R108" s="388"/>
      <c r="S108" s="388"/>
      <c r="T108" s="388"/>
      <c r="U108" s="388"/>
      <c r="V108" s="388"/>
      <c r="W108" s="388"/>
      <c r="X108" s="388"/>
      <c r="Y108" s="388"/>
      <c r="Z108" s="388"/>
    </row>
    <row r="109" spans="3:26">
      <c r="C109" s="11"/>
      <c r="F109" s="793"/>
      <c r="G109" s="672" t="s">
        <v>3006</v>
      </c>
      <c r="H109" s="664">
        <v>999</v>
      </c>
      <c r="I109" s="665">
        <v>999</v>
      </c>
      <c r="J109" s="664">
        <v>999</v>
      </c>
      <c r="K109" s="664">
        <v>999</v>
      </c>
      <c r="L109" s="531"/>
      <c r="M109" s="531"/>
      <c r="N109" s="391"/>
      <c r="O109" s="666"/>
      <c r="P109" s="622"/>
      <c r="Q109" s="388"/>
      <c r="R109" s="388"/>
      <c r="S109" s="388"/>
      <c r="T109" s="388"/>
      <c r="U109" s="388"/>
      <c r="V109" s="388"/>
      <c r="W109" s="388"/>
      <c r="X109" s="388"/>
      <c r="Y109" s="388"/>
      <c r="Z109" s="388"/>
    </row>
    <row r="110" spans="3:26">
      <c r="C110" s="11" t="s">
        <v>3058</v>
      </c>
      <c r="F110" s="793"/>
      <c r="G110" s="672" t="s">
        <v>1384</v>
      </c>
      <c r="H110" s="664">
        <v>0</v>
      </c>
      <c r="I110" s="665">
        <v>0</v>
      </c>
      <c r="J110" s="664">
        <v>0</v>
      </c>
      <c r="K110" s="664">
        <v>0</v>
      </c>
      <c r="L110" s="531"/>
      <c r="M110" s="531"/>
      <c r="N110" s="391"/>
      <c r="O110" s="666"/>
      <c r="P110" s="622"/>
      <c r="Q110" s="388"/>
      <c r="R110" s="388"/>
      <c r="S110" s="388"/>
      <c r="T110" s="388"/>
      <c r="U110" s="388"/>
      <c r="V110" s="388"/>
      <c r="W110" s="388"/>
      <c r="X110" s="388"/>
      <c r="Y110" s="388"/>
      <c r="Z110" s="388"/>
    </row>
    <row r="111" spans="3:26">
      <c r="C111" s="11">
        <f>TVEHICLEUSELE(F89,G89,2)</f>
        <v>999</v>
      </c>
      <c r="F111" s="793"/>
      <c r="G111" s="672" t="s">
        <v>1376</v>
      </c>
      <c r="H111" s="664">
        <v>0</v>
      </c>
      <c r="I111" s="665">
        <v>0</v>
      </c>
      <c r="J111" s="664">
        <v>0</v>
      </c>
      <c r="K111" s="664">
        <v>0</v>
      </c>
      <c r="L111" s="531"/>
      <c r="M111" s="531"/>
      <c r="N111" s="391"/>
      <c r="O111" s="666"/>
      <c r="P111" s="622"/>
      <c r="Q111" s="388"/>
      <c r="R111" s="388"/>
      <c r="S111" s="388"/>
      <c r="T111" s="388"/>
      <c r="U111" s="388"/>
      <c r="V111" s="388"/>
      <c r="W111" s="388"/>
      <c r="X111" s="388"/>
      <c r="Y111" s="388"/>
      <c r="Z111" s="388"/>
    </row>
    <row r="112" spans="3:26">
      <c r="C112" s="11"/>
      <c r="F112" s="793"/>
      <c r="G112" s="672" t="s">
        <v>1422</v>
      </c>
      <c r="H112" s="664">
        <v>4</v>
      </c>
      <c r="I112" s="665">
        <v>4</v>
      </c>
      <c r="J112" s="664">
        <v>4</v>
      </c>
      <c r="K112" s="664">
        <v>4</v>
      </c>
      <c r="L112" s="531"/>
      <c r="M112" s="531"/>
      <c r="N112" s="391"/>
      <c r="O112" s="666"/>
      <c r="P112" s="622"/>
      <c r="Q112" s="388"/>
      <c r="R112" s="388"/>
      <c r="S112" s="388"/>
      <c r="T112" s="388"/>
      <c r="U112" s="388"/>
      <c r="V112" s="388"/>
      <c r="W112" s="388"/>
      <c r="X112" s="388"/>
      <c r="Y112" s="388"/>
      <c r="Z112" s="388"/>
    </row>
    <row r="113" spans="3:26">
      <c r="C113" s="11"/>
      <c r="F113" s="793"/>
      <c r="G113" s="672" t="s">
        <v>1700</v>
      </c>
      <c r="H113" s="664">
        <v>4</v>
      </c>
      <c r="I113" s="665">
        <v>4</v>
      </c>
      <c r="J113" s="664">
        <v>4</v>
      </c>
      <c r="K113" s="664">
        <v>4</v>
      </c>
      <c r="L113" s="531"/>
      <c r="M113" s="531"/>
      <c r="N113" s="391"/>
      <c r="O113" s="666"/>
      <c r="P113" s="622"/>
      <c r="Q113" s="388"/>
      <c r="R113" s="388"/>
      <c r="S113" s="388"/>
      <c r="T113" s="388"/>
      <c r="U113" s="388"/>
      <c r="V113" s="388"/>
      <c r="W113" s="388"/>
      <c r="X113" s="388"/>
      <c r="Y113" s="388"/>
      <c r="Z113" s="388"/>
    </row>
    <row r="114" spans="3:26">
      <c r="C114" s="11"/>
      <c r="F114" s="793"/>
      <c r="G114" s="672" t="s">
        <v>3007</v>
      </c>
      <c r="H114" s="664">
        <v>0</v>
      </c>
      <c r="I114" s="665">
        <v>0</v>
      </c>
      <c r="J114" s="664">
        <v>0</v>
      </c>
      <c r="K114" s="664">
        <v>0</v>
      </c>
      <c r="L114" s="531"/>
      <c r="M114" s="531"/>
      <c r="N114" s="391"/>
      <c r="O114" s="666"/>
      <c r="P114" s="622"/>
      <c r="Q114" s="388"/>
      <c r="R114" s="388"/>
      <c r="S114" s="388"/>
      <c r="T114" s="388"/>
      <c r="U114" s="388"/>
      <c r="V114" s="388"/>
      <c r="W114" s="388"/>
      <c r="X114" s="388"/>
      <c r="Y114" s="388"/>
      <c r="Z114" s="388"/>
    </row>
    <row r="115" spans="3:26">
      <c r="C115" s="11"/>
      <c r="F115" s="793"/>
      <c r="G115" s="672" t="s">
        <v>3008</v>
      </c>
      <c r="H115" s="664">
        <v>0</v>
      </c>
      <c r="I115" s="665">
        <v>0</v>
      </c>
      <c r="J115" s="664">
        <v>0</v>
      </c>
      <c r="K115" s="664">
        <v>0</v>
      </c>
      <c r="L115" s="531"/>
      <c r="M115" s="531"/>
      <c r="N115" s="391"/>
      <c r="O115" s="666"/>
      <c r="P115" s="622"/>
      <c r="Q115" s="388"/>
      <c r="R115" s="388"/>
      <c r="S115" s="388"/>
      <c r="T115" s="388"/>
      <c r="U115" s="388"/>
      <c r="V115" s="388"/>
      <c r="W115" s="388"/>
      <c r="X115" s="388"/>
      <c r="Y115" s="388"/>
      <c r="Z115" s="388"/>
    </row>
    <row r="116" spans="3:26">
      <c r="C116" s="11"/>
      <c r="F116" s="793"/>
      <c r="G116" s="672" t="s">
        <v>3009</v>
      </c>
      <c r="H116" s="664">
        <v>4</v>
      </c>
      <c r="I116" s="665">
        <v>4</v>
      </c>
      <c r="J116" s="664">
        <v>4</v>
      </c>
      <c r="K116" s="664">
        <v>4</v>
      </c>
      <c r="L116" s="531"/>
      <c r="M116" s="531"/>
      <c r="N116" s="391"/>
      <c r="O116" s="666"/>
      <c r="P116" s="622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</row>
    <row r="117" spans="3:26">
      <c r="C117" s="11"/>
      <c r="F117" s="793"/>
      <c r="G117" s="672" t="s">
        <v>3010</v>
      </c>
      <c r="H117" s="664">
        <v>4</v>
      </c>
      <c r="I117" s="665">
        <v>4</v>
      </c>
      <c r="J117" s="664">
        <v>4</v>
      </c>
      <c r="K117" s="664">
        <v>4</v>
      </c>
      <c r="L117" s="531"/>
      <c r="M117" s="531"/>
      <c r="N117" s="391"/>
      <c r="O117" s="666"/>
      <c r="P117" s="622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</row>
    <row r="118" spans="3:26">
      <c r="C118" s="11"/>
      <c r="F118" s="794"/>
      <c r="G118" s="673" t="s">
        <v>3011</v>
      </c>
      <c r="H118" s="674">
        <v>999</v>
      </c>
      <c r="I118" s="675">
        <v>999</v>
      </c>
      <c r="J118" s="674">
        <v>999</v>
      </c>
      <c r="K118" s="674">
        <v>999</v>
      </c>
      <c r="L118" s="676"/>
      <c r="M118" s="676"/>
      <c r="N118" s="677"/>
      <c r="O118" s="678"/>
      <c r="P118" s="622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</row>
    <row r="119" spans="3:26">
      <c r="C119" s="11"/>
      <c r="F119" s="793" t="s">
        <v>3013</v>
      </c>
      <c r="G119" s="672" t="s">
        <v>3001</v>
      </c>
      <c r="H119" s="664">
        <v>999</v>
      </c>
      <c r="I119" s="665">
        <v>999</v>
      </c>
      <c r="J119" s="664">
        <v>999</v>
      </c>
      <c r="K119" s="664">
        <v>999</v>
      </c>
      <c r="L119" s="531"/>
      <c r="M119" s="531"/>
      <c r="N119" s="391"/>
      <c r="O119" s="666"/>
      <c r="P119" s="388"/>
      <c r="Q119" s="388"/>
      <c r="R119" s="388"/>
      <c r="S119" s="388"/>
      <c r="T119" s="388"/>
      <c r="U119" s="388"/>
      <c r="V119" s="388"/>
      <c r="W119" s="388"/>
      <c r="X119" s="388"/>
      <c r="Y119" s="388"/>
      <c r="Z119" s="388"/>
    </row>
    <row r="120" spans="3:26">
      <c r="C120" s="11"/>
      <c r="F120" s="793"/>
      <c r="G120" s="672" t="s">
        <v>3002</v>
      </c>
      <c r="H120" s="664">
        <v>999</v>
      </c>
      <c r="I120" s="665">
        <v>999</v>
      </c>
      <c r="J120" s="664">
        <v>999</v>
      </c>
      <c r="K120" s="664">
        <v>999</v>
      </c>
      <c r="L120" s="531"/>
      <c r="M120" s="531"/>
      <c r="N120" s="391"/>
      <c r="O120" s="666"/>
      <c r="P120" s="388"/>
      <c r="Q120" s="388"/>
      <c r="R120" s="388"/>
      <c r="S120" s="388"/>
      <c r="T120" s="388"/>
      <c r="U120" s="388"/>
      <c r="V120" s="388"/>
      <c r="W120" s="388"/>
      <c r="X120" s="388"/>
      <c r="Y120" s="388"/>
      <c r="Z120" s="388"/>
    </row>
    <row r="121" spans="3:26">
      <c r="C121" s="11"/>
      <c r="F121" s="793"/>
      <c r="G121" s="672" t="s">
        <v>3003</v>
      </c>
      <c r="H121" s="664">
        <v>999</v>
      </c>
      <c r="I121" s="665">
        <v>999</v>
      </c>
      <c r="J121" s="664">
        <v>999</v>
      </c>
      <c r="K121" s="664">
        <v>999</v>
      </c>
      <c r="L121" s="531"/>
      <c r="M121" s="531"/>
      <c r="N121" s="391"/>
      <c r="O121" s="666"/>
      <c r="P121" s="388"/>
      <c r="Q121" s="388"/>
      <c r="R121" s="388"/>
      <c r="S121" s="388"/>
      <c r="T121" s="388"/>
      <c r="U121" s="388"/>
      <c r="V121" s="388"/>
      <c r="W121" s="388"/>
      <c r="X121" s="388"/>
      <c r="Y121" s="388"/>
      <c r="Z121" s="388"/>
    </row>
    <row r="122" spans="3:26">
      <c r="C122" s="11"/>
      <c r="F122" s="793"/>
      <c r="G122" s="672" t="s">
        <v>3004</v>
      </c>
      <c r="H122" s="664">
        <v>999</v>
      </c>
      <c r="I122" s="665">
        <v>999</v>
      </c>
      <c r="J122" s="664">
        <v>999</v>
      </c>
      <c r="K122" s="664">
        <v>999</v>
      </c>
      <c r="L122" s="531"/>
      <c r="M122" s="531"/>
      <c r="N122" s="391"/>
      <c r="O122" s="666"/>
      <c r="P122" s="388"/>
      <c r="Q122" s="388"/>
      <c r="R122" s="388"/>
      <c r="S122" s="388"/>
      <c r="T122" s="388"/>
      <c r="U122" s="388"/>
      <c r="V122" s="388"/>
      <c r="W122" s="388"/>
      <c r="X122" s="388"/>
      <c r="Y122" s="388"/>
      <c r="Z122" s="388"/>
    </row>
    <row r="123" spans="3:26">
      <c r="C123" s="11"/>
      <c r="F123" s="793"/>
      <c r="G123" s="672" t="s">
        <v>3005</v>
      </c>
      <c r="H123" s="664">
        <v>999</v>
      </c>
      <c r="I123" s="665">
        <v>999</v>
      </c>
      <c r="J123" s="664">
        <v>999</v>
      </c>
      <c r="K123" s="664">
        <v>999</v>
      </c>
      <c r="L123" s="531"/>
      <c r="M123" s="531"/>
      <c r="N123" s="391"/>
      <c r="O123" s="666"/>
      <c r="P123" s="388"/>
      <c r="Q123" s="388"/>
      <c r="R123" s="388"/>
      <c r="S123" s="388"/>
      <c r="T123" s="388"/>
      <c r="U123" s="388"/>
      <c r="V123" s="388"/>
      <c r="W123" s="388"/>
      <c r="X123" s="388"/>
      <c r="Y123" s="388"/>
      <c r="Z123" s="388"/>
    </row>
    <row r="124" spans="3:26">
      <c r="C124" s="11"/>
      <c r="F124" s="793"/>
      <c r="G124" s="672" t="s">
        <v>3006</v>
      </c>
      <c r="H124" s="664">
        <v>999</v>
      </c>
      <c r="I124" s="665">
        <v>999</v>
      </c>
      <c r="J124" s="664">
        <v>999</v>
      </c>
      <c r="K124" s="664">
        <v>999</v>
      </c>
      <c r="L124" s="531"/>
      <c r="M124" s="531"/>
      <c r="N124" s="391"/>
      <c r="O124" s="666"/>
      <c r="P124" s="388"/>
      <c r="Q124" s="388"/>
      <c r="R124" s="388"/>
      <c r="S124" s="388"/>
      <c r="T124" s="388"/>
      <c r="U124" s="388"/>
      <c r="V124" s="388"/>
      <c r="W124" s="388"/>
      <c r="X124" s="388"/>
      <c r="Y124" s="388"/>
      <c r="Z124" s="388"/>
    </row>
    <row r="125" spans="3:26">
      <c r="C125" s="11"/>
      <c r="F125" s="793"/>
      <c r="G125" s="672" t="s">
        <v>1384</v>
      </c>
      <c r="H125" s="664">
        <v>0</v>
      </c>
      <c r="I125" s="665">
        <v>0</v>
      </c>
      <c r="J125" s="664">
        <v>0</v>
      </c>
      <c r="K125" s="664">
        <v>0</v>
      </c>
      <c r="L125" s="531"/>
      <c r="M125" s="531"/>
      <c r="N125" s="391"/>
      <c r="O125" s="666"/>
      <c r="P125" s="388"/>
      <c r="Q125" s="388"/>
      <c r="R125" s="388"/>
      <c r="S125" s="388"/>
      <c r="T125" s="388"/>
      <c r="U125" s="388"/>
      <c r="V125" s="388"/>
      <c r="W125" s="388"/>
      <c r="X125" s="388"/>
      <c r="Y125" s="388"/>
      <c r="Z125" s="388"/>
    </row>
    <row r="126" spans="3:26">
      <c r="C126" s="11"/>
      <c r="F126" s="793"/>
      <c r="G126" s="672" t="s">
        <v>1376</v>
      </c>
      <c r="H126" s="664">
        <v>-6.4</v>
      </c>
      <c r="I126" s="665">
        <v>-6.4</v>
      </c>
      <c r="J126" s="664">
        <v>-6.4</v>
      </c>
      <c r="K126" s="664">
        <v>-6.4</v>
      </c>
      <c r="L126" s="531"/>
      <c r="M126" s="531"/>
      <c r="N126" s="391"/>
      <c r="O126" s="666"/>
      <c r="P126" s="388"/>
      <c r="Q126" s="388"/>
      <c r="R126" s="388"/>
      <c r="S126" s="388"/>
      <c r="T126" s="388"/>
      <c r="U126" s="388"/>
      <c r="V126" s="388"/>
      <c r="W126" s="388"/>
      <c r="X126" s="388"/>
      <c r="Y126" s="388"/>
      <c r="Z126" s="388"/>
    </row>
    <row r="127" spans="3:26">
      <c r="C127" s="11"/>
      <c r="F127" s="793"/>
      <c r="G127" s="672" t="s">
        <v>1422</v>
      </c>
      <c r="H127" s="664">
        <v>12</v>
      </c>
      <c r="I127" s="665">
        <v>12</v>
      </c>
      <c r="J127" s="664">
        <v>12</v>
      </c>
      <c r="K127" s="664">
        <v>12</v>
      </c>
      <c r="L127" s="531"/>
      <c r="M127" s="531"/>
      <c r="N127" s="391"/>
      <c r="O127" s="666"/>
      <c r="P127" s="388"/>
      <c r="Q127" s="388"/>
      <c r="R127" s="388"/>
      <c r="S127" s="388"/>
      <c r="T127" s="388"/>
      <c r="U127" s="388"/>
      <c r="V127" s="388"/>
      <c r="W127" s="388"/>
      <c r="X127" s="388"/>
      <c r="Y127" s="388"/>
      <c r="Z127" s="388"/>
    </row>
    <row r="128" spans="3:26">
      <c r="C128" s="11"/>
      <c r="F128" s="793"/>
      <c r="G128" s="672" t="s">
        <v>1700</v>
      </c>
      <c r="H128" s="664">
        <v>4</v>
      </c>
      <c r="I128" s="665">
        <v>4</v>
      </c>
      <c r="J128" s="664">
        <v>4</v>
      </c>
      <c r="K128" s="664">
        <v>4</v>
      </c>
      <c r="L128" s="531"/>
      <c r="M128" s="531"/>
      <c r="N128" s="391"/>
      <c r="O128" s="666"/>
      <c r="P128" s="388"/>
      <c r="Q128" s="388"/>
      <c r="R128" s="388"/>
      <c r="S128" s="388"/>
      <c r="T128" s="388"/>
      <c r="U128" s="388"/>
      <c r="V128" s="388"/>
      <c r="W128" s="388"/>
      <c r="X128" s="388"/>
      <c r="Y128" s="388"/>
      <c r="Z128" s="388"/>
    </row>
    <row r="129" spans="3:26">
      <c r="C129" s="11"/>
      <c r="F129" s="793"/>
      <c r="G129" s="672" t="s">
        <v>3007</v>
      </c>
      <c r="H129" s="664">
        <v>0</v>
      </c>
      <c r="I129" s="665">
        <v>0</v>
      </c>
      <c r="J129" s="664">
        <v>0</v>
      </c>
      <c r="K129" s="664">
        <v>0</v>
      </c>
      <c r="L129" s="531"/>
      <c r="M129" s="531"/>
      <c r="N129" s="391"/>
      <c r="O129" s="666"/>
      <c r="P129" s="388"/>
      <c r="Q129" s="388"/>
      <c r="R129" s="388"/>
      <c r="S129" s="388"/>
      <c r="T129" s="388"/>
      <c r="U129" s="388"/>
      <c r="V129" s="388"/>
      <c r="W129" s="388"/>
      <c r="X129" s="388"/>
      <c r="Y129" s="388"/>
      <c r="Z129" s="388"/>
    </row>
    <row r="130" spans="3:26">
      <c r="C130" s="11"/>
      <c r="F130" s="793"/>
      <c r="G130" s="672" t="s">
        <v>3008</v>
      </c>
      <c r="H130" s="664">
        <v>-6.4</v>
      </c>
      <c r="I130" s="665">
        <v>-6.4</v>
      </c>
      <c r="J130" s="664">
        <v>-6.4</v>
      </c>
      <c r="K130" s="664">
        <v>-6.4</v>
      </c>
      <c r="L130" s="531"/>
      <c r="M130" s="531"/>
      <c r="N130" s="391"/>
      <c r="O130" s="666"/>
      <c r="P130" s="388"/>
      <c r="Q130" s="388"/>
      <c r="R130" s="388"/>
      <c r="S130" s="388"/>
      <c r="T130" s="388"/>
      <c r="U130" s="388"/>
      <c r="V130" s="388"/>
      <c r="W130" s="388"/>
      <c r="X130" s="388"/>
      <c r="Y130" s="388"/>
      <c r="Z130" s="388"/>
    </row>
    <row r="131" spans="3:26">
      <c r="C131" s="11"/>
      <c r="F131" s="793"/>
      <c r="G131" s="672" t="s">
        <v>3009</v>
      </c>
      <c r="H131" s="664">
        <v>12</v>
      </c>
      <c r="I131" s="665">
        <v>12</v>
      </c>
      <c r="J131" s="664">
        <v>12</v>
      </c>
      <c r="K131" s="664">
        <v>12</v>
      </c>
      <c r="L131" s="531"/>
      <c r="M131" s="531"/>
      <c r="N131" s="391"/>
      <c r="O131" s="666"/>
      <c r="P131" s="388"/>
      <c r="Q131" s="388"/>
      <c r="R131" s="388"/>
      <c r="S131" s="388"/>
      <c r="T131" s="388"/>
      <c r="U131" s="388"/>
      <c r="V131" s="388"/>
      <c r="W131" s="388"/>
      <c r="X131" s="388"/>
      <c r="Y131" s="388"/>
      <c r="Z131" s="388"/>
    </row>
    <row r="132" spans="3:26">
      <c r="C132" s="11"/>
      <c r="F132" s="793"/>
      <c r="G132" s="672" t="s">
        <v>3010</v>
      </c>
      <c r="H132" s="664">
        <v>4</v>
      </c>
      <c r="I132" s="665">
        <v>4</v>
      </c>
      <c r="J132" s="664">
        <v>4</v>
      </c>
      <c r="K132" s="664">
        <v>4</v>
      </c>
      <c r="L132" s="531"/>
      <c r="M132" s="531"/>
      <c r="N132" s="391"/>
      <c r="O132" s="666"/>
      <c r="P132" s="388"/>
      <c r="Q132" s="388"/>
      <c r="R132" s="388"/>
      <c r="S132" s="388"/>
      <c r="T132" s="388"/>
      <c r="U132" s="388"/>
      <c r="V132" s="388"/>
      <c r="W132" s="388"/>
      <c r="X132" s="388"/>
      <c r="Y132" s="388"/>
      <c r="Z132" s="388"/>
    </row>
    <row r="133" spans="3:26">
      <c r="C133" s="11"/>
      <c r="F133" s="794"/>
      <c r="G133" s="673" t="s">
        <v>3011</v>
      </c>
      <c r="H133" s="674">
        <v>999</v>
      </c>
      <c r="I133" s="675">
        <v>999</v>
      </c>
      <c r="J133" s="674">
        <v>999</v>
      </c>
      <c r="K133" s="674">
        <v>999</v>
      </c>
      <c r="L133" s="676"/>
      <c r="M133" s="676"/>
      <c r="N133" s="677"/>
      <c r="O133" s="678"/>
      <c r="P133" s="388"/>
      <c r="Q133" s="388"/>
      <c r="R133" s="388"/>
      <c r="S133" s="388"/>
      <c r="T133" s="388"/>
      <c r="U133" s="388"/>
      <c r="V133" s="388"/>
      <c r="W133" s="388"/>
      <c r="X133" s="388"/>
      <c r="Y133" s="388"/>
      <c r="Z133" s="388"/>
    </row>
    <row r="134" spans="3:26">
      <c r="C134" s="11"/>
      <c r="F134" s="793" t="s">
        <v>3014</v>
      </c>
      <c r="G134" s="672" t="s">
        <v>3001</v>
      </c>
      <c r="H134" s="664">
        <v>999</v>
      </c>
      <c r="I134" s="665">
        <v>999</v>
      </c>
      <c r="J134" s="664">
        <v>999</v>
      </c>
      <c r="K134" s="664">
        <v>999</v>
      </c>
      <c r="L134" s="391"/>
      <c r="M134" s="391"/>
      <c r="N134" s="391"/>
      <c r="O134" s="666"/>
      <c r="P134" s="388"/>
      <c r="Q134" s="388"/>
      <c r="R134" s="388"/>
      <c r="S134" s="388"/>
      <c r="T134" s="388"/>
      <c r="U134" s="388"/>
      <c r="V134" s="388"/>
      <c r="W134" s="388"/>
      <c r="X134" s="388"/>
      <c r="Y134" s="388"/>
      <c r="Z134" s="388"/>
    </row>
    <row r="135" spans="3:26">
      <c r="C135" s="11"/>
      <c r="F135" s="793"/>
      <c r="G135" s="672" t="s">
        <v>3002</v>
      </c>
      <c r="H135" s="664">
        <v>999</v>
      </c>
      <c r="I135" s="665">
        <v>999</v>
      </c>
      <c r="J135" s="664">
        <v>999</v>
      </c>
      <c r="K135" s="664">
        <v>999</v>
      </c>
      <c r="L135" s="391"/>
      <c r="M135" s="391"/>
      <c r="N135" s="391"/>
      <c r="O135" s="666"/>
      <c r="P135" s="388"/>
      <c r="Q135" s="388"/>
      <c r="R135" s="388"/>
      <c r="S135" s="388"/>
      <c r="T135" s="388"/>
      <c r="U135" s="388"/>
      <c r="V135" s="388"/>
      <c r="W135" s="388"/>
      <c r="X135" s="388"/>
      <c r="Y135" s="388"/>
      <c r="Z135" s="388"/>
    </row>
    <row r="136" spans="3:26">
      <c r="C136" s="11"/>
      <c r="F136" s="793"/>
      <c r="G136" s="672" t="s">
        <v>3003</v>
      </c>
      <c r="H136" s="664">
        <v>999</v>
      </c>
      <c r="I136" s="665">
        <v>999</v>
      </c>
      <c r="J136" s="664">
        <v>999</v>
      </c>
      <c r="K136" s="664">
        <v>999</v>
      </c>
      <c r="L136" s="391"/>
      <c r="M136" s="391"/>
      <c r="N136" s="391"/>
      <c r="O136" s="666"/>
      <c r="P136" s="388"/>
      <c r="Q136" s="388"/>
      <c r="R136" s="388"/>
      <c r="S136" s="388"/>
      <c r="T136" s="388"/>
      <c r="U136" s="388"/>
      <c r="V136" s="388"/>
      <c r="W136" s="388"/>
      <c r="X136" s="388"/>
      <c r="Y136" s="388"/>
      <c r="Z136" s="388"/>
    </row>
    <row r="137" spans="3:26">
      <c r="C137" s="11"/>
      <c r="F137" s="793"/>
      <c r="G137" s="672" t="s">
        <v>3004</v>
      </c>
      <c r="H137" s="664">
        <v>999</v>
      </c>
      <c r="I137" s="665">
        <v>999</v>
      </c>
      <c r="J137" s="664">
        <v>999</v>
      </c>
      <c r="K137" s="664">
        <v>999</v>
      </c>
      <c r="L137" s="391"/>
      <c r="M137" s="391"/>
      <c r="N137" s="391"/>
      <c r="O137" s="666"/>
      <c r="P137" s="388"/>
      <c r="Q137" s="388"/>
      <c r="R137" s="388"/>
      <c r="S137" s="388"/>
      <c r="T137" s="388"/>
      <c r="U137" s="388"/>
      <c r="V137" s="388"/>
      <c r="W137" s="388"/>
      <c r="X137" s="388"/>
      <c r="Y137" s="388"/>
      <c r="Z137" s="388"/>
    </row>
    <row r="138" spans="3:26">
      <c r="C138" s="11"/>
      <c r="F138" s="793"/>
      <c r="G138" s="672" t="s">
        <v>3005</v>
      </c>
      <c r="H138" s="664">
        <v>999</v>
      </c>
      <c r="I138" s="665">
        <v>999</v>
      </c>
      <c r="J138" s="664">
        <v>999</v>
      </c>
      <c r="K138" s="664">
        <v>999</v>
      </c>
      <c r="L138" s="391"/>
      <c r="M138" s="391"/>
      <c r="N138" s="391"/>
      <c r="O138" s="666"/>
      <c r="P138" s="388"/>
      <c r="Q138" s="388"/>
      <c r="R138" s="388"/>
      <c r="S138" s="388"/>
      <c r="T138" s="388"/>
      <c r="U138" s="388"/>
      <c r="V138" s="388"/>
      <c r="W138" s="388"/>
      <c r="X138" s="388"/>
      <c r="Y138" s="388"/>
      <c r="Z138" s="388"/>
    </row>
    <row r="139" spans="3:26">
      <c r="C139" s="11"/>
      <c r="F139" s="793"/>
      <c r="G139" s="672" t="s">
        <v>3006</v>
      </c>
      <c r="H139" s="664">
        <v>999</v>
      </c>
      <c r="I139" s="665">
        <v>999</v>
      </c>
      <c r="J139" s="664">
        <v>999</v>
      </c>
      <c r="K139" s="664">
        <v>999</v>
      </c>
      <c r="L139" s="391"/>
      <c r="M139" s="391"/>
      <c r="N139" s="391"/>
      <c r="O139" s="666"/>
      <c r="P139" s="388"/>
      <c r="Q139" s="388"/>
      <c r="R139" s="388"/>
      <c r="S139" s="388"/>
      <c r="T139" s="388"/>
      <c r="U139" s="388"/>
      <c r="V139" s="388"/>
      <c r="W139" s="388"/>
      <c r="X139" s="388"/>
      <c r="Y139" s="388"/>
      <c r="Z139" s="388"/>
    </row>
    <row r="140" spans="3:26">
      <c r="C140" s="11"/>
      <c r="F140" s="793"/>
      <c r="G140" s="672" t="s">
        <v>1384</v>
      </c>
      <c r="H140" s="664">
        <v>0</v>
      </c>
      <c r="I140" s="665">
        <v>0</v>
      </c>
      <c r="J140" s="664">
        <v>0</v>
      </c>
      <c r="K140" s="664">
        <v>0</v>
      </c>
      <c r="L140" s="391"/>
      <c r="M140" s="391"/>
      <c r="N140" s="391"/>
      <c r="O140" s="666"/>
      <c r="P140" s="388"/>
      <c r="Q140" s="388"/>
      <c r="R140" s="388"/>
      <c r="S140" s="388"/>
      <c r="T140" s="388"/>
      <c r="U140" s="388"/>
      <c r="V140" s="388"/>
      <c r="W140" s="388"/>
      <c r="X140" s="388"/>
      <c r="Y140" s="388"/>
      <c r="Z140" s="388"/>
    </row>
    <row r="141" spans="3:26">
      <c r="C141" s="11"/>
      <c r="F141" s="793"/>
      <c r="G141" s="672" t="s">
        <v>1376</v>
      </c>
      <c r="H141" s="664">
        <v>-7.2</v>
      </c>
      <c r="I141" s="665">
        <v>-7.2</v>
      </c>
      <c r="J141" s="664">
        <v>-7.2</v>
      </c>
      <c r="K141" s="664">
        <v>-7.2</v>
      </c>
      <c r="L141" s="391"/>
      <c r="M141" s="391"/>
      <c r="N141" s="391"/>
      <c r="O141" s="666"/>
      <c r="P141" s="388"/>
      <c r="Q141" s="388"/>
      <c r="R141" s="388"/>
      <c r="S141" s="388"/>
      <c r="T141" s="388"/>
      <c r="U141" s="388"/>
      <c r="V141" s="388"/>
      <c r="W141" s="388"/>
      <c r="X141" s="388"/>
      <c r="Y141" s="388"/>
      <c r="Z141" s="388"/>
    </row>
    <row r="142" spans="3:26">
      <c r="C142" s="11"/>
      <c r="F142" s="793"/>
      <c r="G142" s="672" t="s">
        <v>1422</v>
      </c>
      <c r="H142" s="664">
        <v>10.56</v>
      </c>
      <c r="I142" s="665">
        <v>10.56</v>
      </c>
      <c r="J142" s="664">
        <v>10.56</v>
      </c>
      <c r="K142" s="664">
        <v>10.56</v>
      </c>
      <c r="L142" s="391"/>
      <c r="M142" s="391"/>
      <c r="N142" s="391"/>
      <c r="O142" s="666"/>
      <c r="P142" s="388"/>
      <c r="Q142" s="388"/>
      <c r="R142" s="388"/>
      <c r="S142" s="388"/>
      <c r="T142" s="388"/>
      <c r="U142" s="388"/>
      <c r="V142" s="388"/>
      <c r="W142" s="388"/>
      <c r="X142" s="388"/>
      <c r="Y142" s="388"/>
      <c r="Z142" s="388"/>
    </row>
    <row r="143" spans="3:26">
      <c r="C143" s="11"/>
      <c r="F143" s="793"/>
      <c r="G143" s="672" t="s">
        <v>1700</v>
      </c>
      <c r="H143" s="664">
        <v>2.4</v>
      </c>
      <c r="I143" s="665">
        <v>2.4</v>
      </c>
      <c r="J143" s="664">
        <v>2.4</v>
      </c>
      <c r="K143" s="664">
        <v>2.4</v>
      </c>
      <c r="L143" s="391"/>
      <c r="M143" s="391"/>
      <c r="N143" s="391"/>
      <c r="O143" s="666"/>
      <c r="P143" s="388"/>
      <c r="Q143" s="388"/>
      <c r="R143" s="388"/>
      <c r="S143" s="388"/>
      <c r="T143" s="388"/>
      <c r="U143" s="388"/>
      <c r="V143" s="388"/>
      <c r="W143" s="388"/>
      <c r="X143" s="388"/>
      <c r="Y143" s="388"/>
      <c r="Z143" s="388"/>
    </row>
    <row r="144" spans="3:26">
      <c r="C144" s="11"/>
      <c r="F144" s="793"/>
      <c r="G144" s="672" t="s">
        <v>3007</v>
      </c>
      <c r="H144" s="664">
        <v>0</v>
      </c>
      <c r="I144" s="665">
        <v>0</v>
      </c>
      <c r="J144" s="664">
        <v>0</v>
      </c>
      <c r="K144" s="664">
        <v>0</v>
      </c>
      <c r="L144" s="531"/>
      <c r="M144" s="531"/>
      <c r="N144" s="391"/>
      <c r="O144" s="666"/>
      <c r="P144" s="388"/>
      <c r="Q144" s="388"/>
      <c r="R144" s="388"/>
      <c r="S144" s="388"/>
      <c r="T144" s="388"/>
      <c r="U144" s="388"/>
      <c r="V144" s="388"/>
      <c r="W144" s="388"/>
      <c r="X144" s="388"/>
      <c r="Y144" s="388"/>
      <c r="Z144" s="388"/>
    </row>
    <row r="145" spans="1:31">
      <c r="C145" s="11"/>
      <c r="F145" s="793"/>
      <c r="G145" s="672" t="s">
        <v>3008</v>
      </c>
      <c r="H145" s="664">
        <v>-7.2</v>
      </c>
      <c r="I145" s="665">
        <v>-7.2</v>
      </c>
      <c r="J145" s="664">
        <v>-7.2</v>
      </c>
      <c r="K145" s="664">
        <v>-7.2</v>
      </c>
      <c r="L145" s="531"/>
      <c r="M145" s="531"/>
      <c r="N145" s="391"/>
      <c r="O145" s="666"/>
      <c r="P145" s="388"/>
      <c r="Q145" s="388"/>
      <c r="R145" s="388"/>
      <c r="S145" s="388"/>
      <c r="T145" s="388"/>
      <c r="U145" s="388"/>
      <c r="V145" s="388"/>
      <c r="W145" s="388"/>
      <c r="X145" s="388"/>
      <c r="Y145" s="388"/>
      <c r="Z145" s="388"/>
    </row>
    <row r="146" spans="1:31">
      <c r="C146" s="11"/>
      <c r="F146" s="793"/>
      <c r="G146" s="672" t="s">
        <v>3009</v>
      </c>
      <c r="H146" s="664">
        <v>10.56</v>
      </c>
      <c r="I146" s="665">
        <v>10.56</v>
      </c>
      <c r="J146" s="664">
        <v>10.56</v>
      </c>
      <c r="K146" s="664">
        <v>10.56</v>
      </c>
      <c r="L146" s="531"/>
      <c r="M146" s="531"/>
      <c r="N146" s="391"/>
      <c r="O146" s="666"/>
      <c r="P146" s="388"/>
      <c r="Q146" s="388"/>
      <c r="R146" s="388"/>
      <c r="S146" s="388"/>
      <c r="T146" s="388"/>
      <c r="U146" s="388"/>
      <c r="V146" s="388"/>
      <c r="W146" s="388"/>
      <c r="X146" s="388"/>
      <c r="Y146" s="388"/>
      <c r="Z146" s="388"/>
    </row>
    <row r="147" spans="1:31">
      <c r="C147" s="11"/>
      <c r="F147" s="793"/>
      <c r="G147" s="672" t="s">
        <v>3010</v>
      </c>
      <c r="H147" s="664">
        <v>2.4</v>
      </c>
      <c r="I147" s="665">
        <v>2.4</v>
      </c>
      <c r="J147" s="664">
        <v>2.4</v>
      </c>
      <c r="K147" s="664">
        <v>2.4</v>
      </c>
      <c r="L147" s="531"/>
      <c r="M147" s="531"/>
      <c r="N147" s="391"/>
      <c r="O147" s="666"/>
      <c r="P147" s="388"/>
      <c r="Q147" s="388"/>
      <c r="R147" s="388"/>
      <c r="S147" s="388"/>
      <c r="T147" s="388"/>
      <c r="U147" s="388"/>
      <c r="V147" s="388"/>
      <c r="W147" s="388"/>
      <c r="X147" s="388"/>
      <c r="Y147" s="388"/>
      <c r="Z147" s="388"/>
    </row>
    <row r="148" spans="1:31" ht="15.75" thickBot="1">
      <c r="C148" s="11"/>
      <c r="F148" s="820"/>
      <c r="G148" s="679" t="s">
        <v>3011</v>
      </c>
      <c r="H148" s="667">
        <v>999</v>
      </c>
      <c r="I148" s="668">
        <v>999</v>
      </c>
      <c r="J148" s="667">
        <v>999</v>
      </c>
      <c r="K148" s="667">
        <v>999</v>
      </c>
      <c r="L148" s="669"/>
      <c r="M148" s="669"/>
      <c r="N148" s="669"/>
      <c r="O148" s="670"/>
      <c r="P148" s="388"/>
      <c r="Q148" s="388"/>
      <c r="R148" s="388"/>
      <c r="S148" s="388"/>
      <c r="T148" s="388"/>
      <c r="U148" s="388"/>
      <c r="V148" s="388"/>
      <c r="W148" s="388"/>
      <c r="X148" s="388"/>
      <c r="Y148" s="388"/>
      <c r="Z148" s="388"/>
    </row>
    <row r="149" spans="1:31" ht="15.75" thickBot="1">
      <c r="E149" s="388"/>
      <c r="F149" s="388"/>
      <c r="G149" s="662"/>
      <c r="H149" s="663"/>
      <c r="I149" s="662"/>
      <c r="J149" s="662"/>
      <c r="K149" s="388"/>
      <c r="L149" s="388"/>
      <c r="M149" s="388"/>
      <c r="N149" s="388"/>
      <c r="O149" s="388"/>
      <c r="P149" s="388"/>
      <c r="Q149" s="388"/>
      <c r="R149" s="388"/>
      <c r="S149" s="388"/>
      <c r="T149" s="388"/>
      <c r="U149" s="388"/>
      <c r="V149" s="388"/>
      <c r="W149" s="388"/>
      <c r="X149" s="388"/>
      <c r="Y149" s="388"/>
    </row>
    <row r="150" spans="1:31">
      <c r="E150" s="388"/>
      <c r="F150" s="779" t="s">
        <v>3015</v>
      </c>
      <c r="G150" s="815"/>
      <c r="H150" s="815"/>
      <c r="I150" s="815"/>
      <c r="J150" s="815"/>
      <c r="K150" s="815"/>
      <c r="L150" s="815"/>
      <c r="M150" s="815"/>
      <c r="N150" s="815"/>
      <c r="O150" s="816"/>
      <c r="P150" s="388"/>
      <c r="Q150" s="388"/>
      <c r="R150" s="388"/>
      <c r="S150" s="388"/>
      <c r="T150" s="388"/>
      <c r="U150" s="388"/>
      <c r="V150" s="388"/>
      <c r="W150" s="388"/>
      <c r="X150" s="388"/>
      <c r="Y150" s="388"/>
    </row>
    <row r="151" spans="1:31" ht="57.75" customHeight="1">
      <c r="E151" s="388"/>
      <c r="F151" s="817" t="str">
        <f>LE_DECLARE_TABLE("tVehicleColorLE","",F152:O158)</f>
        <v>Declared table TVEHICLECOLORLE</v>
      </c>
      <c r="G151" s="818"/>
      <c r="H151" s="818"/>
      <c r="I151" s="818"/>
      <c r="J151" s="818"/>
      <c r="K151" s="818"/>
      <c r="L151" s="818"/>
      <c r="M151" s="818"/>
      <c r="N151" s="818"/>
      <c r="O151" s="819"/>
      <c r="P151" s="388"/>
      <c r="Q151" s="388"/>
      <c r="R151" s="388"/>
      <c r="S151" s="388"/>
      <c r="T151" s="388"/>
      <c r="U151" s="388"/>
      <c r="V151" s="388"/>
      <c r="W151" s="388"/>
      <c r="X151" s="388"/>
      <c r="Y151" s="388"/>
    </row>
    <row r="152" spans="1:31" s="388" customFormat="1">
      <c r="A152" s="622"/>
      <c r="B152" s="622"/>
      <c r="F152" s="599"/>
      <c r="G152" s="659"/>
      <c r="H152" s="602">
        <v>1</v>
      </c>
      <c r="I152" s="602">
        <v>2</v>
      </c>
      <c r="J152" s="602">
        <v>3</v>
      </c>
      <c r="K152" s="602">
        <v>4</v>
      </c>
      <c r="L152" s="602">
        <v>5</v>
      </c>
      <c r="M152" s="602">
        <v>6</v>
      </c>
      <c r="N152" s="602">
        <v>7</v>
      </c>
      <c r="O152" s="603">
        <v>8</v>
      </c>
      <c r="P152" s="604"/>
      <c r="Q152" s="604"/>
      <c r="R152" s="604"/>
      <c r="S152" s="604"/>
      <c r="T152" s="604"/>
      <c r="U152" s="604"/>
      <c r="V152" s="604"/>
      <c r="W152" s="604"/>
    </row>
    <row r="153" spans="1:31" s="388" customFormat="1">
      <c r="A153" s="622"/>
      <c r="B153" s="622"/>
      <c r="F153" s="813" t="s">
        <v>3012</v>
      </c>
      <c r="G153" s="672" t="s">
        <v>339</v>
      </c>
      <c r="H153" s="664">
        <v>0</v>
      </c>
      <c r="I153" s="665">
        <v>0</v>
      </c>
      <c r="J153" s="664">
        <v>0</v>
      </c>
      <c r="K153" s="664">
        <v>0</v>
      </c>
      <c r="L153" s="391"/>
      <c r="M153" s="391"/>
      <c r="N153" s="391"/>
      <c r="O153" s="666"/>
    </row>
    <row r="154" spans="1:31" s="388" customFormat="1">
      <c r="A154" s="622"/>
      <c r="B154" s="622"/>
      <c r="F154" s="813"/>
      <c r="G154" s="672" t="s">
        <v>1385</v>
      </c>
      <c r="H154" s="664">
        <v>3.2</v>
      </c>
      <c r="I154" s="665">
        <v>3.2</v>
      </c>
      <c r="J154" s="664">
        <v>3.2</v>
      </c>
      <c r="K154" s="664">
        <v>3.2</v>
      </c>
      <c r="L154" s="391"/>
      <c r="M154" s="391"/>
      <c r="N154" s="391"/>
      <c r="O154" s="666"/>
    </row>
    <row r="155" spans="1:31" s="388" customFormat="1">
      <c r="A155" s="622"/>
      <c r="B155" s="622"/>
      <c r="F155" s="821"/>
      <c r="G155" s="673" t="s">
        <v>1447</v>
      </c>
      <c r="H155" s="674">
        <v>-3.2</v>
      </c>
      <c r="I155" s="675">
        <v>-3.2</v>
      </c>
      <c r="J155" s="674">
        <v>-3.2</v>
      </c>
      <c r="K155" s="674">
        <v>-3.2</v>
      </c>
      <c r="L155" s="677"/>
      <c r="M155" s="677"/>
      <c r="N155" s="677"/>
      <c r="O155" s="678"/>
    </row>
    <row r="156" spans="1:31" s="388" customFormat="1">
      <c r="A156" s="622"/>
      <c r="B156" s="622"/>
      <c r="F156" s="813" t="s">
        <v>3016</v>
      </c>
      <c r="G156" s="672" t="s">
        <v>339</v>
      </c>
      <c r="H156" s="664">
        <v>0</v>
      </c>
      <c r="I156" s="665">
        <v>0</v>
      </c>
      <c r="J156" s="664">
        <v>0</v>
      </c>
      <c r="K156" s="664">
        <v>0</v>
      </c>
      <c r="L156" s="391"/>
      <c r="M156" s="391"/>
      <c r="N156" s="391"/>
      <c r="O156" s="666"/>
    </row>
    <row r="157" spans="1:31" s="388" customFormat="1">
      <c r="A157" s="622"/>
      <c r="B157" s="622"/>
      <c r="F157" s="813"/>
      <c r="G157" s="672" t="s">
        <v>1385</v>
      </c>
      <c r="H157" s="664">
        <v>3.2</v>
      </c>
      <c r="I157" s="665">
        <v>3.2</v>
      </c>
      <c r="J157" s="664">
        <v>3.2</v>
      </c>
      <c r="K157" s="664">
        <v>3.2</v>
      </c>
      <c r="L157" s="391"/>
      <c r="M157" s="391"/>
      <c r="N157" s="391"/>
      <c r="O157" s="666"/>
    </row>
    <row r="158" spans="1:31" s="388" customFormat="1" ht="15.75" thickBot="1">
      <c r="A158" s="622"/>
      <c r="B158" s="622"/>
      <c r="F158" s="814"/>
      <c r="G158" s="679" t="s">
        <v>1447</v>
      </c>
      <c r="H158" s="667">
        <v>-3.2</v>
      </c>
      <c r="I158" s="668">
        <v>-3.2</v>
      </c>
      <c r="J158" s="667">
        <v>-3.2</v>
      </c>
      <c r="K158" s="667">
        <v>-3.2</v>
      </c>
      <c r="L158" s="669"/>
      <c r="M158" s="669"/>
      <c r="N158" s="669"/>
      <c r="O158" s="670"/>
    </row>
    <row r="159" spans="1:31" s="388" customFormat="1" ht="15.75" thickBot="1">
      <c r="A159" s="622"/>
      <c r="B159" s="622"/>
      <c r="G159" s="622"/>
      <c r="H159" s="680"/>
      <c r="I159" s="681"/>
      <c r="J159" s="680"/>
      <c r="K159" s="662"/>
    </row>
    <row r="160" spans="1:31">
      <c r="A160" s="622"/>
      <c r="B160" s="622"/>
      <c r="C160" s="682"/>
      <c r="D160" s="682"/>
      <c r="E160" s="682"/>
      <c r="F160" s="822" t="s">
        <v>3017</v>
      </c>
      <c r="G160" s="823"/>
      <c r="H160" s="823"/>
      <c r="I160" s="823"/>
      <c r="J160" s="823"/>
      <c r="K160" s="823"/>
      <c r="L160" s="823"/>
      <c r="M160" s="823"/>
      <c r="N160" s="823"/>
      <c r="O160" s="823"/>
      <c r="P160" s="823"/>
      <c r="Q160" s="823"/>
      <c r="R160" s="823"/>
      <c r="S160" s="823"/>
      <c r="T160" s="823"/>
      <c r="U160" s="823"/>
      <c r="V160" s="823"/>
      <c r="W160" s="823"/>
      <c r="X160" s="823"/>
      <c r="Y160" s="823"/>
      <c r="Z160" s="823"/>
      <c r="AA160" s="823"/>
      <c r="AB160" s="823"/>
      <c r="AC160" s="823"/>
      <c r="AD160" s="823"/>
      <c r="AE160" s="824"/>
    </row>
    <row r="161" spans="2:31" ht="55.5" customHeight="1">
      <c r="C161" s="388"/>
      <c r="D161" s="388"/>
      <c r="E161" s="388"/>
      <c r="F161" s="817" t="str">
        <f>LE_DECLARE_TABLE("tVeh_KM_LE","",F162:AE184)</f>
        <v>Declared table TVEH_KM_LE</v>
      </c>
      <c r="G161" s="825"/>
      <c r="H161" s="825"/>
      <c r="I161" s="825"/>
      <c r="J161" s="825"/>
      <c r="K161" s="825"/>
      <c r="L161" s="825"/>
      <c r="M161" s="825"/>
      <c r="N161" s="825"/>
      <c r="O161" s="825"/>
      <c r="P161" s="825"/>
      <c r="Q161" s="825"/>
      <c r="R161" s="825"/>
      <c r="S161" s="825"/>
      <c r="T161" s="825"/>
      <c r="U161" s="825"/>
      <c r="V161" s="825"/>
      <c r="W161" s="825"/>
      <c r="X161" s="825"/>
      <c r="Y161" s="825"/>
      <c r="Z161" s="825"/>
      <c r="AA161" s="825"/>
      <c r="AB161" s="825"/>
      <c r="AC161" s="825"/>
      <c r="AD161" s="825"/>
      <c r="AE161" s="826"/>
    </row>
    <row r="162" spans="2:31" s="388" customFormat="1">
      <c r="B162" s="622"/>
      <c r="C162" s="622"/>
      <c r="E162" s="683"/>
      <c r="F162" s="684"/>
      <c r="G162" s="685" t="s">
        <v>3018</v>
      </c>
      <c r="H162" s="827" t="s">
        <v>3000</v>
      </c>
      <c r="I162" s="785"/>
      <c r="J162" s="785"/>
      <c r="K162" s="785"/>
      <c r="L162" s="785"/>
      <c r="M162" s="785"/>
      <c r="N162" s="785"/>
      <c r="O162" s="828"/>
      <c r="P162" s="827" t="s">
        <v>3013</v>
      </c>
      <c r="Q162" s="785"/>
      <c r="R162" s="785"/>
      <c r="S162" s="785"/>
      <c r="T162" s="785"/>
      <c r="U162" s="785"/>
      <c r="V162" s="785"/>
      <c r="W162" s="828"/>
      <c r="X162" s="785" t="s">
        <v>3014</v>
      </c>
      <c r="Y162" s="785"/>
      <c r="Z162" s="785"/>
      <c r="AA162" s="785"/>
      <c r="AB162" s="785"/>
      <c r="AC162" s="785"/>
      <c r="AD162" s="785"/>
      <c r="AE162" s="786"/>
    </row>
    <row r="163" spans="2:31" s="388" customFormat="1">
      <c r="B163" s="659"/>
      <c r="C163" s="659"/>
      <c r="D163" s="659"/>
      <c r="E163" s="659"/>
      <c r="F163" s="599"/>
      <c r="G163" s="685" t="s">
        <v>3018</v>
      </c>
      <c r="H163" s="686">
        <v>1</v>
      </c>
      <c r="I163" s="602">
        <v>2</v>
      </c>
      <c r="J163" s="602">
        <v>3</v>
      </c>
      <c r="K163" s="602">
        <v>4</v>
      </c>
      <c r="L163" s="602">
        <v>5</v>
      </c>
      <c r="M163" s="602">
        <v>6</v>
      </c>
      <c r="N163" s="602">
        <v>7</v>
      </c>
      <c r="O163" s="687">
        <v>8</v>
      </c>
      <c r="P163" s="688">
        <v>1</v>
      </c>
      <c r="Q163" s="580">
        <v>2</v>
      </c>
      <c r="R163" s="580">
        <v>3</v>
      </c>
      <c r="S163" s="580">
        <v>4</v>
      </c>
      <c r="T163" s="689">
        <v>5</v>
      </c>
      <c r="U163" s="689">
        <v>6</v>
      </c>
      <c r="V163" s="689">
        <v>7</v>
      </c>
      <c r="W163" s="690">
        <v>8</v>
      </c>
      <c r="X163" s="580">
        <v>1</v>
      </c>
      <c r="Y163" s="580">
        <v>2</v>
      </c>
      <c r="Z163" s="580">
        <v>3</v>
      </c>
      <c r="AA163" s="580">
        <v>4</v>
      </c>
      <c r="AB163" s="689">
        <v>5</v>
      </c>
      <c r="AC163" s="689">
        <v>6</v>
      </c>
      <c r="AD163" s="689">
        <v>7</v>
      </c>
      <c r="AE163" s="691">
        <v>8</v>
      </c>
    </row>
    <row r="164" spans="2:31" s="388" customFormat="1">
      <c r="B164" s="692">
        <v>0</v>
      </c>
      <c r="C164" s="693" t="s">
        <v>3019</v>
      </c>
      <c r="D164" s="694">
        <v>2499</v>
      </c>
      <c r="F164" s="695">
        <v>1</v>
      </c>
      <c r="G164" s="696">
        <v>0</v>
      </c>
      <c r="H164" s="697">
        <v>0</v>
      </c>
      <c r="I164" s="665">
        <v>0</v>
      </c>
      <c r="J164" s="664">
        <v>0</v>
      </c>
      <c r="K164" s="664">
        <v>0</v>
      </c>
      <c r="L164" s="391"/>
      <c r="M164" s="391"/>
      <c r="N164" s="391"/>
      <c r="O164" s="698"/>
      <c r="P164" s="697">
        <v>0</v>
      </c>
      <c r="Q164" s="665">
        <v>0</v>
      </c>
      <c r="R164" s="664">
        <v>0</v>
      </c>
      <c r="S164" s="664">
        <v>0</v>
      </c>
      <c r="T164" s="391"/>
      <c r="U164" s="391"/>
      <c r="V164" s="391"/>
      <c r="W164" s="698"/>
      <c r="X164" s="664">
        <v>0</v>
      </c>
      <c r="Y164" s="665">
        <v>0</v>
      </c>
      <c r="Z164" s="664">
        <v>0</v>
      </c>
      <c r="AA164" s="664">
        <v>0</v>
      </c>
      <c r="AB164" s="391"/>
      <c r="AC164" s="391"/>
      <c r="AD164" s="391"/>
      <c r="AE164" s="666"/>
    </row>
    <row r="165" spans="2:31" s="388" customFormat="1">
      <c r="B165" s="699">
        <v>2500</v>
      </c>
      <c r="C165" s="248" t="s">
        <v>3019</v>
      </c>
      <c r="D165" s="700">
        <v>4999</v>
      </c>
      <c r="F165" s="695">
        <v>2</v>
      </c>
      <c r="G165" s="701">
        <v>10000</v>
      </c>
      <c r="H165" s="697">
        <v>0</v>
      </c>
      <c r="I165" s="665">
        <v>0</v>
      </c>
      <c r="J165" s="664">
        <v>0</v>
      </c>
      <c r="K165" s="664">
        <v>0</v>
      </c>
      <c r="L165" s="391"/>
      <c r="M165" s="391"/>
      <c r="N165" s="391"/>
      <c r="O165" s="698"/>
      <c r="P165" s="697">
        <v>0</v>
      </c>
      <c r="Q165" s="665">
        <v>0</v>
      </c>
      <c r="R165" s="664">
        <v>0</v>
      </c>
      <c r="S165" s="664">
        <v>0</v>
      </c>
      <c r="T165" s="391"/>
      <c r="U165" s="391"/>
      <c r="V165" s="391"/>
      <c r="W165" s="698"/>
      <c r="X165" s="664">
        <v>0</v>
      </c>
      <c r="Y165" s="665">
        <v>0</v>
      </c>
      <c r="Z165" s="664">
        <v>0</v>
      </c>
      <c r="AA165" s="664">
        <v>0</v>
      </c>
      <c r="AB165" s="391"/>
      <c r="AC165" s="391"/>
      <c r="AD165" s="391"/>
      <c r="AE165" s="666"/>
    </row>
    <row r="166" spans="2:31" s="388" customFormat="1">
      <c r="B166" s="699">
        <v>5000</v>
      </c>
      <c r="C166" s="248" t="s">
        <v>3019</v>
      </c>
      <c r="D166" s="700">
        <v>7499</v>
      </c>
      <c r="F166" s="695">
        <v>3</v>
      </c>
      <c r="G166" s="701">
        <v>20000</v>
      </c>
      <c r="H166" s="697">
        <v>0</v>
      </c>
      <c r="I166" s="665">
        <v>0</v>
      </c>
      <c r="J166" s="664">
        <v>0</v>
      </c>
      <c r="K166" s="664">
        <v>0</v>
      </c>
      <c r="L166" s="391"/>
      <c r="M166" s="391"/>
      <c r="N166" s="391"/>
      <c r="O166" s="698"/>
      <c r="P166" s="697">
        <v>0</v>
      </c>
      <c r="Q166" s="665">
        <v>0</v>
      </c>
      <c r="R166" s="664">
        <v>0</v>
      </c>
      <c r="S166" s="664">
        <v>0</v>
      </c>
      <c r="T166" s="391"/>
      <c r="U166" s="391"/>
      <c r="V166" s="391"/>
      <c r="W166" s="698"/>
      <c r="X166" s="664">
        <v>0</v>
      </c>
      <c r="Y166" s="665">
        <v>0</v>
      </c>
      <c r="Z166" s="664">
        <v>0</v>
      </c>
      <c r="AA166" s="664">
        <v>0</v>
      </c>
      <c r="AB166" s="391"/>
      <c r="AC166" s="391"/>
      <c r="AD166" s="391"/>
      <c r="AE166" s="666"/>
    </row>
    <row r="167" spans="2:31" s="388" customFormat="1">
      <c r="B167" s="699">
        <v>7500</v>
      </c>
      <c r="C167" s="248" t="s">
        <v>3019</v>
      </c>
      <c r="D167" s="700">
        <v>9999</v>
      </c>
      <c r="F167" s="695">
        <v>4</v>
      </c>
      <c r="G167" s="701">
        <v>30000</v>
      </c>
      <c r="H167" s="697">
        <v>0</v>
      </c>
      <c r="I167" s="665">
        <v>0</v>
      </c>
      <c r="J167" s="664">
        <v>0</v>
      </c>
      <c r="K167" s="664">
        <v>0</v>
      </c>
      <c r="L167" s="391"/>
      <c r="M167" s="391"/>
      <c r="N167" s="391"/>
      <c r="O167" s="698"/>
      <c r="P167" s="697">
        <v>0</v>
      </c>
      <c r="Q167" s="665">
        <v>0</v>
      </c>
      <c r="R167" s="664">
        <v>0</v>
      </c>
      <c r="S167" s="664">
        <v>0</v>
      </c>
      <c r="T167" s="391"/>
      <c r="U167" s="391"/>
      <c r="V167" s="391"/>
      <c r="W167" s="698"/>
      <c r="X167" s="664">
        <v>0</v>
      </c>
      <c r="Y167" s="665">
        <v>0</v>
      </c>
      <c r="Z167" s="664">
        <v>0</v>
      </c>
      <c r="AA167" s="664">
        <v>0</v>
      </c>
      <c r="AB167" s="391"/>
      <c r="AC167" s="391"/>
      <c r="AD167" s="391"/>
      <c r="AE167" s="666"/>
    </row>
    <row r="168" spans="2:31" s="388" customFormat="1">
      <c r="B168" s="699">
        <v>10000</v>
      </c>
      <c r="C168" s="248" t="s">
        <v>3019</v>
      </c>
      <c r="D168" s="700">
        <v>12499</v>
      </c>
      <c r="F168" s="695">
        <v>5</v>
      </c>
      <c r="G168" s="701">
        <v>40000</v>
      </c>
      <c r="H168" s="697">
        <v>0</v>
      </c>
      <c r="I168" s="665">
        <v>0</v>
      </c>
      <c r="J168" s="664">
        <v>0</v>
      </c>
      <c r="K168" s="664">
        <v>0</v>
      </c>
      <c r="L168" s="391"/>
      <c r="M168" s="391"/>
      <c r="N168" s="391"/>
      <c r="O168" s="698"/>
      <c r="P168" s="697">
        <v>0</v>
      </c>
      <c r="Q168" s="665">
        <v>0</v>
      </c>
      <c r="R168" s="664">
        <v>0</v>
      </c>
      <c r="S168" s="664">
        <v>0</v>
      </c>
      <c r="T168" s="391"/>
      <c r="U168" s="391"/>
      <c r="V168" s="391"/>
      <c r="W168" s="698"/>
      <c r="X168" s="664">
        <v>0</v>
      </c>
      <c r="Y168" s="665">
        <v>0</v>
      </c>
      <c r="Z168" s="664">
        <v>0</v>
      </c>
      <c r="AA168" s="664">
        <v>0</v>
      </c>
      <c r="AB168" s="391"/>
      <c r="AC168" s="391"/>
      <c r="AD168" s="391"/>
      <c r="AE168" s="666"/>
    </row>
    <row r="169" spans="2:31" s="388" customFormat="1">
      <c r="B169" s="699">
        <v>12500</v>
      </c>
      <c r="C169" s="248" t="s">
        <v>3019</v>
      </c>
      <c r="D169" s="700">
        <v>14999</v>
      </c>
      <c r="F169" s="695">
        <v>6</v>
      </c>
      <c r="G169" s="701">
        <v>50000</v>
      </c>
      <c r="H169" s="697">
        <v>0</v>
      </c>
      <c r="I169" s="665">
        <v>0</v>
      </c>
      <c r="J169" s="664">
        <v>0</v>
      </c>
      <c r="K169" s="664">
        <v>0</v>
      </c>
      <c r="L169" s="391"/>
      <c r="M169" s="391"/>
      <c r="N169" s="391"/>
      <c r="O169" s="698"/>
      <c r="P169" s="697">
        <v>0</v>
      </c>
      <c r="Q169" s="665">
        <v>0</v>
      </c>
      <c r="R169" s="664">
        <v>0</v>
      </c>
      <c r="S169" s="664">
        <v>0</v>
      </c>
      <c r="T169" s="391"/>
      <c r="U169" s="391"/>
      <c r="V169" s="391"/>
      <c r="W169" s="698"/>
      <c r="X169" s="664">
        <v>0</v>
      </c>
      <c r="Y169" s="665">
        <v>0</v>
      </c>
      <c r="Z169" s="664">
        <v>0</v>
      </c>
      <c r="AA169" s="664">
        <v>0</v>
      </c>
      <c r="AB169" s="391"/>
      <c r="AC169" s="391"/>
      <c r="AD169" s="391"/>
      <c r="AE169" s="666"/>
    </row>
    <row r="170" spans="2:31" s="388" customFormat="1">
      <c r="B170" s="699">
        <v>15000</v>
      </c>
      <c r="C170" s="248" t="s">
        <v>3019</v>
      </c>
      <c r="D170" s="700">
        <v>17499</v>
      </c>
      <c r="F170" s="695">
        <v>7</v>
      </c>
      <c r="G170" s="701">
        <v>60000</v>
      </c>
      <c r="H170" s="697">
        <v>0</v>
      </c>
      <c r="I170" s="665">
        <v>0</v>
      </c>
      <c r="J170" s="664">
        <v>0</v>
      </c>
      <c r="K170" s="664">
        <v>0</v>
      </c>
      <c r="L170" s="391"/>
      <c r="M170" s="391"/>
      <c r="N170" s="391"/>
      <c r="O170" s="698"/>
      <c r="P170" s="697">
        <v>0</v>
      </c>
      <c r="Q170" s="665">
        <v>0</v>
      </c>
      <c r="R170" s="664">
        <v>0</v>
      </c>
      <c r="S170" s="664">
        <v>0</v>
      </c>
      <c r="T170" s="391"/>
      <c r="U170" s="391"/>
      <c r="V170" s="391"/>
      <c r="W170" s="698"/>
      <c r="X170" s="664">
        <v>0</v>
      </c>
      <c r="Y170" s="665">
        <v>0</v>
      </c>
      <c r="Z170" s="664">
        <v>0</v>
      </c>
      <c r="AA170" s="664">
        <v>0</v>
      </c>
      <c r="AB170" s="391"/>
      <c r="AC170" s="391"/>
      <c r="AD170" s="391"/>
      <c r="AE170" s="666"/>
    </row>
    <row r="171" spans="2:31" s="388" customFormat="1">
      <c r="B171" s="699">
        <v>17500</v>
      </c>
      <c r="C171" s="248" t="s">
        <v>3019</v>
      </c>
      <c r="D171" s="700">
        <v>19999</v>
      </c>
      <c r="F171" s="695">
        <v>8</v>
      </c>
      <c r="G171" s="701">
        <v>70000</v>
      </c>
      <c r="H171" s="697">
        <v>0</v>
      </c>
      <c r="I171" s="665">
        <v>0</v>
      </c>
      <c r="J171" s="664">
        <v>0</v>
      </c>
      <c r="K171" s="664">
        <v>0</v>
      </c>
      <c r="L171" s="391"/>
      <c r="M171" s="391"/>
      <c r="N171" s="391"/>
      <c r="O171" s="698"/>
      <c r="P171" s="697">
        <v>0</v>
      </c>
      <c r="Q171" s="665">
        <v>0</v>
      </c>
      <c r="R171" s="664">
        <v>0</v>
      </c>
      <c r="S171" s="664">
        <v>0</v>
      </c>
      <c r="T171" s="391"/>
      <c r="U171" s="391"/>
      <c r="V171" s="391"/>
      <c r="W171" s="698"/>
      <c r="X171" s="664">
        <v>0</v>
      </c>
      <c r="Y171" s="665">
        <v>0</v>
      </c>
      <c r="Z171" s="664">
        <v>0</v>
      </c>
      <c r="AA171" s="664">
        <v>0</v>
      </c>
      <c r="AB171" s="391"/>
      <c r="AC171" s="391"/>
      <c r="AD171" s="391"/>
      <c r="AE171" s="666"/>
    </row>
    <row r="172" spans="2:31" s="388" customFormat="1">
      <c r="B172" s="699">
        <v>20000</v>
      </c>
      <c r="C172" s="248" t="s">
        <v>3019</v>
      </c>
      <c r="D172" s="700">
        <v>22499</v>
      </c>
      <c r="F172" s="695">
        <v>9</v>
      </c>
      <c r="G172" s="701">
        <v>80000</v>
      </c>
      <c r="H172" s="697">
        <v>0</v>
      </c>
      <c r="I172" s="665">
        <v>0</v>
      </c>
      <c r="J172" s="664">
        <v>0</v>
      </c>
      <c r="K172" s="664">
        <v>0</v>
      </c>
      <c r="L172" s="391"/>
      <c r="M172" s="391"/>
      <c r="N172" s="391"/>
      <c r="O172" s="698"/>
      <c r="P172" s="697">
        <v>0</v>
      </c>
      <c r="Q172" s="665">
        <v>0</v>
      </c>
      <c r="R172" s="664">
        <v>0</v>
      </c>
      <c r="S172" s="664">
        <v>0</v>
      </c>
      <c r="T172" s="391"/>
      <c r="U172" s="391"/>
      <c r="V172" s="391"/>
      <c r="W172" s="698"/>
      <c r="X172" s="664">
        <v>0</v>
      </c>
      <c r="Y172" s="665">
        <v>0</v>
      </c>
      <c r="Z172" s="664">
        <v>0</v>
      </c>
      <c r="AA172" s="664">
        <v>0</v>
      </c>
      <c r="AB172" s="391"/>
      <c r="AC172" s="391"/>
      <c r="AD172" s="391"/>
      <c r="AE172" s="666"/>
    </row>
    <row r="173" spans="2:31" s="388" customFormat="1">
      <c r="B173" s="699">
        <v>22500</v>
      </c>
      <c r="C173" s="248" t="s">
        <v>3019</v>
      </c>
      <c r="D173" s="700">
        <v>24999</v>
      </c>
      <c r="F173" s="695">
        <v>10</v>
      </c>
      <c r="G173" s="701">
        <v>90000</v>
      </c>
      <c r="H173" s="697">
        <v>0</v>
      </c>
      <c r="I173" s="665">
        <v>0</v>
      </c>
      <c r="J173" s="664">
        <v>0</v>
      </c>
      <c r="K173" s="664">
        <v>0</v>
      </c>
      <c r="L173" s="391"/>
      <c r="M173" s="391"/>
      <c r="N173" s="391"/>
      <c r="O173" s="698"/>
      <c r="P173" s="697">
        <v>0</v>
      </c>
      <c r="Q173" s="665">
        <v>0</v>
      </c>
      <c r="R173" s="664">
        <v>0</v>
      </c>
      <c r="S173" s="664">
        <v>0</v>
      </c>
      <c r="T173" s="391"/>
      <c r="U173" s="391"/>
      <c r="V173" s="391"/>
      <c r="W173" s="698"/>
      <c r="X173" s="664">
        <v>0</v>
      </c>
      <c r="Y173" s="665">
        <v>0</v>
      </c>
      <c r="Z173" s="664">
        <v>0</v>
      </c>
      <c r="AA173" s="664">
        <v>0</v>
      </c>
      <c r="AB173" s="391"/>
      <c r="AC173" s="391"/>
      <c r="AD173" s="391"/>
      <c r="AE173" s="666"/>
    </row>
    <row r="174" spans="2:31" s="388" customFormat="1">
      <c r="B174" s="699">
        <v>25000</v>
      </c>
      <c r="C174" s="248" t="s">
        <v>3019</v>
      </c>
      <c r="D174" s="700">
        <v>27499</v>
      </c>
      <c r="F174" s="695">
        <v>11</v>
      </c>
      <c r="G174" s="701">
        <v>100000</v>
      </c>
      <c r="H174" s="697">
        <v>0</v>
      </c>
      <c r="I174" s="665">
        <v>0</v>
      </c>
      <c r="J174" s="664">
        <v>0</v>
      </c>
      <c r="K174" s="664">
        <v>0</v>
      </c>
      <c r="L174" s="391"/>
      <c r="M174" s="391"/>
      <c r="N174" s="391"/>
      <c r="O174" s="698"/>
      <c r="P174" s="697">
        <v>0</v>
      </c>
      <c r="Q174" s="665">
        <v>0</v>
      </c>
      <c r="R174" s="664">
        <v>0</v>
      </c>
      <c r="S174" s="664">
        <v>0</v>
      </c>
      <c r="T174" s="391"/>
      <c r="U174" s="391"/>
      <c r="V174" s="391"/>
      <c r="W174" s="698"/>
      <c r="X174" s="664">
        <v>0</v>
      </c>
      <c r="Y174" s="665">
        <v>0</v>
      </c>
      <c r="Z174" s="664">
        <v>0</v>
      </c>
      <c r="AA174" s="664">
        <v>0</v>
      </c>
      <c r="AB174" s="391"/>
      <c r="AC174" s="391"/>
      <c r="AD174" s="391"/>
      <c r="AE174" s="666"/>
    </row>
    <row r="175" spans="2:31" s="388" customFormat="1">
      <c r="B175" s="699">
        <v>27500</v>
      </c>
      <c r="C175" s="248" t="s">
        <v>3019</v>
      </c>
      <c r="D175" s="700">
        <v>29999</v>
      </c>
      <c r="F175" s="695">
        <v>12</v>
      </c>
      <c r="G175" s="701">
        <v>110000</v>
      </c>
      <c r="H175" s="697">
        <v>0</v>
      </c>
      <c r="I175" s="665">
        <v>0</v>
      </c>
      <c r="J175" s="664">
        <v>0</v>
      </c>
      <c r="K175" s="664">
        <v>0</v>
      </c>
      <c r="L175" s="391"/>
      <c r="M175" s="391"/>
      <c r="N175" s="391"/>
      <c r="O175" s="698"/>
      <c r="P175" s="697">
        <v>0</v>
      </c>
      <c r="Q175" s="665">
        <v>0</v>
      </c>
      <c r="R175" s="664">
        <v>0</v>
      </c>
      <c r="S175" s="664">
        <v>0</v>
      </c>
      <c r="T175" s="391"/>
      <c r="U175" s="391"/>
      <c r="V175" s="391"/>
      <c r="W175" s="698"/>
      <c r="X175" s="664">
        <v>0</v>
      </c>
      <c r="Y175" s="665">
        <v>0</v>
      </c>
      <c r="Z175" s="664">
        <v>0</v>
      </c>
      <c r="AA175" s="664">
        <v>0</v>
      </c>
      <c r="AB175" s="391"/>
      <c r="AC175" s="391"/>
      <c r="AD175" s="391"/>
      <c r="AE175" s="666"/>
    </row>
    <row r="176" spans="2:31" s="388" customFormat="1">
      <c r="B176" s="699">
        <v>30000</v>
      </c>
      <c r="C176" s="248" t="s">
        <v>3019</v>
      </c>
      <c r="D176" s="700">
        <v>32499</v>
      </c>
      <c r="F176" s="695">
        <v>13</v>
      </c>
      <c r="G176" s="701">
        <v>120000</v>
      </c>
      <c r="H176" s="697">
        <v>0</v>
      </c>
      <c r="I176" s="665">
        <v>0</v>
      </c>
      <c r="J176" s="664">
        <v>0</v>
      </c>
      <c r="K176" s="664">
        <v>0</v>
      </c>
      <c r="L176" s="391"/>
      <c r="M176" s="391"/>
      <c r="N176" s="391"/>
      <c r="O176" s="698"/>
      <c r="P176" s="697">
        <v>0</v>
      </c>
      <c r="Q176" s="665">
        <v>0</v>
      </c>
      <c r="R176" s="664">
        <v>0</v>
      </c>
      <c r="S176" s="664">
        <v>0</v>
      </c>
      <c r="T176" s="391"/>
      <c r="U176" s="391"/>
      <c r="V176" s="391"/>
      <c r="W176" s="698"/>
      <c r="X176" s="664">
        <v>0</v>
      </c>
      <c r="Y176" s="665">
        <v>0</v>
      </c>
      <c r="Z176" s="664">
        <v>0</v>
      </c>
      <c r="AA176" s="664">
        <v>0</v>
      </c>
      <c r="AB176" s="391"/>
      <c r="AC176" s="391"/>
      <c r="AD176" s="391"/>
      <c r="AE176" s="666"/>
    </row>
    <row r="177" spans="1:31" s="388" customFormat="1">
      <c r="B177" s="699">
        <v>32500</v>
      </c>
      <c r="C177" s="248" t="s">
        <v>3019</v>
      </c>
      <c r="D177" s="700">
        <v>34999</v>
      </c>
      <c r="F177" s="695">
        <v>14</v>
      </c>
      <c r="G177" s="701">
        <v>130000</v>
      </c>
      <c r="H177" s="697">
        <v>0</v>
      </c>
      <c r="I177" s="665">
        <v>0</v>
      </c>
      <c r="J177" s="664">
        <v>0</v>
      </c>
      <c r="K177" s="664">
        <v>0</v>
      </c>
      <c r="L177" s="391"/>
      <c r="M177" s="391"/>
      <c r="N177" s="391"/>
      <c r="O177" s="698"/>
      <c r="P177" s="697">
        <v>0</v>
      </c>
      <c r="Q177" s="665">
        <v>0</v>
      </c>
      <c r="R177" s="664">
        <v>0</v>
      </c>
      <c r="S177" s="664">
        <v>0</v>
      </c>
      <c r="T177" s="391"/>
      <c r="U177" s="391"/>
      <c r="V177" s="391"/>
      <c r="W177" s="698"/>
      <c r="X177" s="664">
        <v>0</v>
      </c>
      <c r="Y177" s="665">
        <v>0</v>
      </c>
      <c r="Z177" s="664">
        <v>0</v>
      </c>
      <c r="AA177" s="664">
        <v>0</v>
      </c>
      <c r="AB177" s="391"/>
      <c r="AC177" s="391"/>
      <c r="AD177" s="391"/>
      <c r="AE177" s="666"/>
    </row>
    <row r="178" spans="1:31" s="388" customFormat="1">
      <c r="B178" s="699">
        <v>35000</v>
      </c>
      <c r="C178" s="248" t="s">
        <v>3019</v>
      </c>
      <c r="D178" s="700">
        <v>37499</v>
      </c>
      <c r="F178" s="695">
        <v>15</v>
      </c>
      <c r="G178" s="701">
        <v>140000</v>
      </c>
      <c r="H178" s="697">
        <v>0</v>
      </c>
      <c r="I178" s="665">
        <v>0</v>
      </c>
      <c r="J178" s="664">
        <v>0</v>
      </c>
      <c r="K178" s="664">
        <v>0</v>
      </c>
      <c r="L178" s="391"/>
      <c r="M178" s="391"/>
      <c r="N178" s="391"/>
      <c r="O178" s="698"/>
      <c r="P178" s="697">
        <v>0</v>
      </c>
      <c r="Q178" s="665">
        <v>0</v>
      </c>
      <c r="R178" s="664">
        <v>0</v>
      </c>
      <c r="S178" s="664">
        <v>0</v>
      </c>
      <c r="T178" s="391"/>
      <c r="U178" s="391"/>
      <c r="V178" s="391"/>
      <c r="W178" s="698"/>
      <c r="X178" s="664">
        <v>0</v>
      </c>
      <c r="Y178" s="665">
        <v>0</v>
      </c>
      <c r="Z178" s="664">
        <v>0</v>
      </c>
      <c r="AA178" s="664">
        <v>0</v>
      </c>
      <c r="AB178" s="391"/>
      <c r="AC178" s="391"/>
      <c r="AD178" s="391"/>
      <c r="AE178" s="666"/>
    </row>
    <row r="179" spans="1:31" s="388" customFormat="1">
      <c r="B179" s="699">
        <v>37500</v>
      </c>
      <c r="C179" s="248" t="s">
        <v>3019</v>
      </c>
      <c r="D179" s="700">
        <v>39999</v>
      </c>
      <c r="F179" s="695">
        <v>16</v>
      </c>
      <c r="G179" s="701">
        <v>150000</v>
      </c>
      <c r="H179" s="697">
        <v>0</v>
      </c>
      <c r="I179" s="665">
        <v>0</v>
      </c>
      <c r="J179" s="664">
        <v>0</v>
      </c>
      <c r="K179" s="664">
        <v>0</v>
      </c>
      <c r="L179" s="391"/>
      <c r="M179" s="391"/>
      <c r="N179" s="391"/>
      <c r="O179" s="698"/>
      <c r="P179" s="697">
        <v>0</v>
      </c>
      <c r="Q179" s="665">
        <v>0</v>
      </c>
      <c r="R179" s="664">
        <v>0</v>
      </c>
      <c r="S179" s="664">
        <v>0</v>
      </c>
      <c r="T179" s="391"/>
      <c r="U179" s="391"/>
      <c r="V179" s="391"/>
      <c r="W179" s="698"/>
      <c r="X179" s="664">
        <v>0</v>
      </c>
      <c r="Y179" s="665">
        <v>0</v>
      </c>
      <c r="Z179" s="664">
        <v>0</v>
      </c>
      <c r="AA179" s="664">
        <v>0</v>
      </c>
      <c r="AB179" s="391"/>
      <c r="AC179" s="391"/>
      <c r="AD179" s="391"/>
      <c r="AE179" s="666"/>
    </row>
    <row r="180" spans="1:31" s="388" customFormat="1">
      <c r="B180" s="699">
        <v>40000</v>
      </c>
      <c r="C180" s="248" t="s">
        <v>3019</v>
      </c>
      <c r="D180" s="700">
        <v>42499</v>
      </c>
      <c r="F180" s="695">
        <v>17</v>
      </c>
      <c r="G180" s="701">
        <v>160000</v>
      </c>
      <c r="H180" s="697">
        <v>0</v>
      </c>
      <c r="I180" s="665">
        <v>0</v>
      </c>
      <c r="J180" s="664">
        <v>0</v>
      </c>
      <c r="K180" s="664">
        <v>0</v>
      </c>
      <c r="L180" s="391"/>
      <c r="M180" s="391"/>
      <c r="N180" s="391"/>
      <c r="O180" s="698"/>
      <c r="P180" s="697">
        <v>0</v>
      </c>
      <c r="Q180" s="665">
        <v>0</v>
      </c>
      <c r="R180" s="664">
        <v>0</v>
      </c>
      <c r="S180" s="664">
        <v>0</v>
      </c>
      <c r="T180" s="391"/>
      <c r="U180" s="391"/>
      <c r="V180" s="391"/>
      <c r="W180" s="698"/>
      <c r="X180" s="664">
        <v>0</v>
      </c>
      <c r="Y180" s="665">
        <v>0</v>
      </c>
      <c r="Z180" s="664">
        <v>0</v>
      </c>
      <c r="AA180" s="664">
        <v>0</v>
      </c>
      <c r="AB180" s="391"/>
      <c r="AC180" s="391"/>
      <c r="AD180" s="391"/>
      <c r="AE180" s="666"/>
    </row>
    <row r="181" spans="1:31" s="388" customFormat="1">
      <c r="B181" s="699">
        <v>42500</v>
      </c>
      <c r="C181" s="248" t="s">
        <v>3019</v>
      </c>
      <c r="D181" s="700">
        <v>44999</v>
      </c>
      <c r="F181" s="695">
        <v>18</v>
      </c>
      <c r="G181" s="701">
        <v>170000</v>
      </c>
      <c r="H181" s="697">
        <v>0</v>
      </c>
      <c r="I181" s="665">
        <v>0</v>
      </c>
      <c r="J181" s="664">
        <v>0</v>
      </c>
      <c r="K181" s="664">
        <v>0</v>
      </c>
      <c r="L181" s="391"/>
      <c r="M181" s="391"/>
      <c r="N181" s="391"/>
      <c r="O181" s="698"/>
      <c r="P181" s="697">
        <v>0</v>
      </c>
      <c r="Q181" s="665">
        <v>0</v>
      </c>
      <c r="R181" s="664">
        <v>0</v>
      </c>
      <c r="S181" s="664">
        <v>0</v>
      </c>
      <c r="T181" s="391"/>
      <c r="U181" s="391"/>
      <c r="V181" s="391"/>
      <c r="W181" s="698"/>
      <c r="X181" s="664">
        <v>0</v>
      </c>
      <c r="Y181" s="665">
        <v>0</v>
      </c>
      <c r="Z181" s="664">
        <v>0</v>
      </c>
      <c r="AA181" s="664">
        <v>0</v>
      </c>
      <c r="AB181" s="391"/>
      <c r="AC181" s="391"/>
      <c r="AD181" s="391"/>
      <c r="AE181" s="666"/>
    </row>
    <row r="182" spans="1:31" s="388" customFormat="1">
      <c r="B182" s="699">
        <v>45000</v>
      </c>
      <c r="C182" s="248" t="s">
        <v>3019</v>
      </c>
      <c r="D182" s="700">
        <v>47499</v>
      </c>
      <c r="F182" s="695">
        <v>19</v>
      </c>
      <c r="G182" s="701">
        <v>180000</v>
      </c>
      <c r="H182" s="697">
        <v>0</v>
      </c>
      <c r="I182" s="665">
        <v>0</v>
      </c>
      <c r="J182" s="664">
        <v>0</v>
      </c>
      <c r="K182" s="664">
        <v>0</v>
      </c>
      <c r="L182" s="391"/>
      <c r="M182" s="391"/>
      <c r="N182" s="391"/>
      <c r="O182" s="698"/>
      <c r="P182" s="697">
        <v>0</v>
      </c>
      <c r="Q182" s="665">
        <v>0</v>
      </c>
      <c r="R182" s="664">
        <v>0</v>
      </c>
      <c r="S182" s="664">
        <v>0</v>
      </c>
      <c r="T182" s="391"/>
      <c r="U182" s="391"/>
      <c r="V182" s="391"/>
      <c r="W182" s="698"/>
      <c r="X182" s="664">
        <v>0</v>
      </c>
      <c r="Y182" s="665">
        <v>0</v>
      </c>
      <c r="Z182" s="664">
        <v>0</v>
      </c>
      <c r="AA182" s="664">
        <v>0</v>
      </c>
      <c r="AB182" s="391"/>
      <c r="AC182" s="391"/>
      <c r="AD182" s="391"/>
      <c r="AE182" s="666"/>
    </row>
    <row r="183" spans="1:31" s="388" customFormat="1">
      <c r="B183" s="699">
        <v>47500</v>
      </c>
      <c r="C183" s="248" t="s">
        <v>3019</v>
      </c>
      <c r="D183" s="700">
        <v>49999</v>
      </c>
      <c r="F183" s="695">
        <v>20</v>
      </c>
      <c r="G183" s="701">
        <v>190000</v>
      </c>
      <c r="H183" s="697">
        <v>0</v>
      </c>
      <c r="I183" s="665">
        <v>0</v>
      </c>
      <c r="J183" s="664">
        <v>0</v>
      </c>
      <c r="K183" s="664">
        <v>0</v>
      </c>
      <c r="L183" s="391"/>
      <c r="M183" s="391"/>
      <c r="N183" s="391"/>
      <c r="O183" s="698"/>
      <c r="P183" s="697">
        <v>0</v>
      </c>
      <c r="Q183" s="665">
        <v>0</v>
      </c>
      <c r="R183" s="664">
        <v>0</v>
      </c>
      <c r="S183" s="664">
        <v>0</v>
      </c>
      <c r="T183" s="391"/>
      <c r="U183" s="391"/>
      <c r="V183" s="391"/>
      <c r="W183" s="698"/>
      <c r="X183" s="664">
        <v>0</v>
      </c>
      <c r="Y183" s="665">
        <v>0</v>
      </c>
      <c r="Z183" s="664">
        <v>0</v>
      </c>
      <c r="AA183" s="664">
        <v>0</v>
      </c>
      <c r="AB183" s="391"/>
      <c r="AC183" s="391"/>
      <c r="AD183" s="391"/>
      <c r="AE183" s="666"/>
    </row>
    <row r="184" spans="1:31" s="388" customFormat="1" ht="15.75" thickBot="1">
      <c r="B184" s="702">
        <v>50000</v>
      </c>
      <c r="C184" s="703" t="s">
        <v>3019</v>
      </c>
      <c r="D184" s="704">
        <v>99999999</v>
      </c>
      <c r="F184" s="705">
        <v>21</v>
      </c>
      <c r="G184" s="706">
        <v>200000</v>
      </c>
      <c r="H184" s="707">
        <v>0</v>
      </c>
      <c r="I184" s="668">
        <v>0</v>
      </c>
      <c r="J184" s="667">
        <v>0</v>
      </c>
      <c r="K184" s="667">
        <v>0</v>
      </c>
      <c r="L184" s="669"/>
      <c r="M184" s="669"/>
      <c r="N184" s="669"/>
      <c r="O184" s="708"/>
      <c r="P184" s="707">
        <v>0</v>
      </c>
      <c r="Q184" s="668">
        <v>0</v>
      </c>
      <c r="R184" s="667">
        <v>0</v>
      </c>
      <c r="S184" s="667">
        <v>0</v>
      </c>
      <c r="T184" s="669"/>
      <c r="U184" s="669"/>
      <c r="V184" s="669"/>
      <c r="W184" s="708"/>
      <c r="X184" s="667">
        <v>0</v>
      </c>
      <c r="Y184" s="668">
        <v>0</v>
      </c>
      <c r="Z184" s="667">
        <v>0</v>
      </c>
      <c r="AA184" s="667">
        <v>0</v>
      </c>
      <c r="AB184" s="669"/>
      <c r="AC184" s="709"/>
      <c r="AD184" s="709"/>
      <c r="AE184" s="710"/>
    </row>
    <row r="185" spans="1:31" s="388" customFormat="1">
      <c r="B185" s="622"/>
      <c r="C185" s="622"/>
      <c r="H185" s="662"/>
      <c r="I185" s="663"/>
      <c r="J185" s="662"/>
      <c r="K185" s="662"/>
    </row>
    <row r="187" spans="1:31" ht="15.75" thickBot="1"/>
    <row r="188" spans="1:31">
      <c r="F188" s="779" t="s">
        <v>3020</v>
      </c>
      <c r="G188" s="815"/>
      <c r="H188" s="815"/>
      <c r="I188" s="815"/>
      <c r="J188" s="815"/>
      <c r="K188" s="815"/>
      <c r="L188" s="815"/>
      <c r="M188" s="815"/>
      <c r="N188" s="815"/>
      <c r="O188" s="816"/>
    </row>
    <row r="189" spans="1:31" s="388" customFormat="1" ht="44.25" customHeight="1">
      <c r="A189" s="622"/>
      <c r="B189" s="622"/>
      <c r="F189" s="817" t="str">
        <f>LE_DECLARE_TABLE("tVehParkLE","",F190:O222)</f>
        <v>Declared table TVEHPARKLE</v>
      </c>
      <c r="G189" s="818"/>
      <c r="H189" s="818" t="s">
        <v>3021</v>
      </c>
      <c r="I189" s="818"/>
      <c r="J189" s="818"/>
      <c r="K189" s="818"/>
      <c r="L189" s="818"/>
      <c r="M189" s="818"/>
      <c r="N189" s="818"/>
      <c r="O189" s="819"/>
    </row>
    <row r="190" spans="1:31" s="388" customFormat="1">
      <c r="A190" s="622"/>
      <c r="B190" s="622"/>
      <c r="F190" s="599"/>
      <c r="G190" s="659"/>
      <c r="H190" s="580">
        <v>1</v>
      </c>
      <c r="I190" s="580">
        <v>2</v>
      </c>
      <c r="J190" s="580">
        <v>3</v>
      </c>
      <c r="K190" s="580">
        <v>4</v>
      </c>
      <c r="L190" s="689">
        <v>5</v>
      </c>
      <c r="M190" s="689">
        <v>6</v>
      </c>
      <c r="N190" s="689">
        <v>7</v>
      </c>
      <c r="O190" s="711">
        <v>8</v>
      </c>
      <c r="P190" s="604"/>
      <c r="Q190" s="604"/>
      <c r="R190" s="604"/>
      <c r="S190" s="604"/>
      <c r="T190" s="604"/>
      <c r="U190" s="604"/>
    </row>
    <row r="191" spans="1:31" s="388" customFormat="1">
      <c r="A191" s="622"/>
      <c r="B191" s="622"/>
      <c r="F191" s="829" t="s">
        <v>3013</v>
      </c>
      <c r="G191" s="672" t="s">
        <v>1382</v>
      </c>
      <c r="H191" s="664">
        <v>4.32</v>
      </c>
      <c r="I191" s="665">
        <v>4.32</v>
      </c>
      <c r="J191" s="664">
        <v>4.32</v>
      </c>
      <c r="K191" s="664">
        <v>4.32</v>
      </c>
      <c r="L191" s="391"/>
      <c r="M191" s="391"/>
      <c r="N191" s="391"/>
      <c r="O191" s="712"/>
    </row>
    <row r="192" spans="1:31" s="388" customFormat="1">
      <c r="A192" s="622"/>
      <c r="B192" s="622"/>
      <c r="F192" s="793"/>
      <c r="G192" s="672" t="s">
        <v>1399</v>
      </c>
      <c r="H192" s="664">
        <v>0</v>
      </c>
      <c r="I192" s="665">
        <v>0</v>
      </c>
      <c r="J192" s="664">
        <v>0</v>
      </c>
      <c r="K192" s="664">
        <v>0</v>
      </c>
      <c r="L192" s="391"/>
      <c r="M192" s="391"/>
      <c r="N192" s="391"/>
      <c r="O192" s="712"/>
    </row>
    <row r="193" spans="1:15" s="388" customFormat="1">
      <c r="A193" s="622"/>
      <c r="B193" s="622"/>
      <c r="F193" s="793"/>
      <c r="G193" s="672" t="s">
        <v>1442</v>
      </c>
      <c r="H193" s="664">
        <v>6.48</v>
      </c>
      <c r="I193" s="665">
        <v>6.48</v>
      </c>
      <c r="J193" s="664">
        <v>6.48</v>
      </c>
      <c r="K193" s="664">
        <v>6.48</v>
      </c>
      <c r="L193" s="391"/>
      <c r="M193" s="391"/>
      <c r="N193" s="391"/>
      <c r="O193" s="712"/>
    </row>
    <row r="194" spans="1:15" s="388" customFormat="1">
      <c r="A194" s="622"/>
      <c r="B194" s="622"/>
      <c r="F194" s="793"/>
      <c r="G194" s="672" t="s">
        <v>1375</v>
      </c>
      <c r="H194" s="664">
        <v>-18</v>
      </c>
      <c r="I194" s="665">
        <v>-18</v>
      </c>
      <c r="J194" s="664">
        <v>-18</v>
      </c>
      <c r="K194" s="664">
        <v>-18</v>
      </c>
      <c r="L194" s="391"/>
      <c r="M194" s="391"/>
      <c r="N194" s="391"/>
      <c r="O194" s="712"/>
    </row>
    <row r="195" spans="1:15" s="388" customFormat="1">
      <c r="A195" s="622"/>
      <c r="B195" s="622"/>
      <c r="F195" s="793"/>
      <c r="G195" s="672" t="s">
        <v>1403</v>
      </c>
      <c r="H195" s="664">
        <v>-14.4</v>
      </c>
      <c r="I195" s="665">
        <v>-14.4</v>
      </c>
      <c r="J195" s="664">
        <v>-14.4</v>
      </c>
      <c r="K195" s="664">
        <v>-14.4</v>
      </c>
      <c r="L195" s="391"/>
      <c r="M195" s="391"/>
      <c r="N195" s="391"/>
      <c r="O195" s="712"/>
    </row>
    <row r="196" spans="1:15" s="388" customFormat="1">
      <c r="A196" s="622"/>
      <c r="B196" s="622"/>
      <c r="F196" s="793"/>
      <c r="G196" s="672" t="s">
        <v>1522</v>
      </c>
      <c r="H196" s="664">
        <v>-10.8</v>
      </c>
      <c r="I196" s="665">
        <v>-10.8</v>
      </c>
      <c r="J196" s="664">
        <v>-10.8</v>
      </c>
      <c r="K196" s="664">
        <v>-10.8</v>
      </c>
      <c r="L196" s="391"/>
      <c r="M196" s="391"/>
      <c r="N196" s="391"/>
      <c r="O196" s="712"/>
    </row>
    <row r="197" spans="1:15" s="388" customFormat="1">
      <c r="A197" s="622"/>
      <c r="B197" s="622"/>
      <c r="F197" s="793"/>
      <c r="G197" s="672" t="s">
        <v>1510</v>
      </c>
      <c r="H197" s="664">
        <v>4.32</v>
      </c>
      <c r="I197" s="665">
        <v>4.32</v>
      </c>
      <c r="J197" s="664">
        <v>4.32</v>
      </c>
      <c r="K197" s="664">
        <v>4.32</v>
      </c>
      <c r="L197" s="391"/>
      <c r="M197" s="391"/>
      <c r="N197" s="391"/>
      <c r="O197" s="712"/>
    </row>
    <row r="198" spans="1:15" s="388" customFormat="1">
      <c r="A198" s="622"/>
      <c r="B198" s="622"/>
      <c r="F198" s="793"/>
      <c r="G198" s="672" t="s">
        <v>3022</v>
      </c>
      <c r="H198" s="664">
        <v>-14.4</v>
      </c>
      <c r="I198" s="665">
        <v>-14.4</v>
      </c>
      <c r="J198" s="664">
        <v>-14.4</v>
      </c>
      <c r="K198" s="664">
        <v>-14.4</v>
      </c>
      <c r="L198" s="391"/>
      <c r="M198" s="391"/>
      <c r="N198" s="391"/>
      <c r="O198" s="712"/>
    </row>
    <row r="199" spans="1:15" s="388" customFormat="1">
      <c r="A199" s="622"/>
      <c r="B199" s="622"/>
      <c r="F199" s="793"/>
      <c r="G199" s="672" t="s">
        <v>3023</v>
      </c>
      <c r="H199" s="664">
        <v>-10.8</v>
      </c>
      <c r="I199" s="665">
        <v>-10.8</v>
      </c>
      <c r="J199" s="664">
        <v>-10.8</v>
      </c>
      <c r="K199" s="664">
        <v>-10.8</v>
      </c>
      <c r="L199" s="391"/>
      <c r="M199" s="391"/>
      <c r="N199" s="391"/>
      <c r="O199" s="712"/>
    </row>
    <row r="200" spans="1:15" s="388" customFormat="1">
      <c r="A200" s="622"/>
      <c r="B200" s="622"/>
      <c r="F200" s="793"/>
      <c r="G200" s="672" t="s">
        <v>3024</v>
      </c>
      <c r="H200" s="664">
        <v>4.32</v>
      </c>
      <c r="I200" s="665">
        <v>4.32</v>
      </c>
      <c r="J200" s="664">
        <v>4.32</v>
      </c>
      <c r="K200" s="664">
        <v>4.32</v>
      </c>
      <c r="L200" s="391"/>
      <c r="M200" s="391"/>
      <c r="N200" s="391"/>
      <c r="O200" s="712"/>
    </row>
    <row r="201" spans="1:15" s="388" customFormat="1">
      <c r="A201" s="622"/>
      <c r="B201" s="622"/>
      <c r="F201" s="794"/>
      <c r="G201" s="673" t="s">
        <v>1433</v>
      </c>
      <c r="H201" s="674">
        <v>7.2</v>
      </c>
      <c r="I201" s="675">
        <v>7.2</v>
      </c>
      <c r="J201" s="674">
        <v>7.2</v>
      </c>
      <c r="K201" s="674">
        <v>7.2</v>
      </c>
      <c r="L201" s="677"/>
      <c r="M201" s="677"/>
      <c r="N201" s="677"/>
      <c r="O201" s="713"/>
    </row>
    <row r="202" spans="1:15" s="388" customFormat="1">
      <c r="A202" s="622"/>
      <c r="B202" s="622"/>
      <c r="F202" s="829" t="s">
        <v>3014</v>
      </c>
      <c r="G202" s="714" t="s">
        <v>1382</v>
      </c>
      <c r="H202" s="715">
        <v>-6</v>
      </c>
      <c r="I202" s="716">
        <v>-6</v>
      </c>
      <c r="J202" s="715">
        <v>-6</v>
      </c>
      <c r="K202" s="715">
        <v>-6</v>
      </c>
      <c r="L202" s="717"/>
      <c r="M202" s="717"/>
      <c r="N202" s="717"/>
      <c r="O202" s="718"/>
    </row>
    <row r="203" spans="1:15" s="388" customFormat="1">
      <c r="A203" s="622"/>
      <c r="B203" s="622"/>
      <c r="F203" s="793"/>
      <c r="G203" s="672" t="s">
        <v>1399</v>
      </c>
      <c r="H203" s="664">
        <v>-2.4</v>
      </c>
      <c r="I203" s="665">
        <v>-2.4</v>
      </c>
      <c r="J203" s="664">
        <v>-2.4</v>
      </c>
      <c r="K203" s="664">
        <v>-2.4</v>
      </c>
      <c r="L203" s="391"/>
      <c r="M203" s="391"/>
      <c r="N203" s="391"/>
      <c r="O203" s="712"/>
    </row>
    <row r="204" spans="1:15" s="388" customFormat="1">
      <c r="A204" s="622"/>
      <c r="B204" s="622"/>
      <c r="F204" s="793"/>
      <c r="G204" s="672" t="s">
        <v>1442</v>
      </c>
      <c r="H204" s="664">
        <v>12</v>
      </c>
      <c r="I204" s="665">
        <v>12</v>
      </c>
      <c r="J204" s="664">
        <v>12</v>
      </c>
      <c r="K204" s="664">
        <v>12</v>
      </c>
      <c r="L204" s="391"/>
      <c r="M204" s="391"/>
      <c r="N204" s="391"/>
      <c r="O204" s="712"/>
    </row>
    <row r="205" spans="1:15" s="388" customFormat="1">
      <c r="A205" s="622"/>
      <c r="B205" s="622"/>
      <c r="F205" s="793"/>
      <c r="G205" s="672" t="s">
        <v>1375</v>
      </c>
      <c r="H205" s="664">
        <v>-12</v>
      </c>
      <c r="I205" s="665">
        <v>-12</v>
      </c>
      <c r="J205" s="664">
        <v>-12</v>
      </c>
      <c r="K205" s="664">
        <v>-12</v>
      </c>
      <c r="L205" s="391"/>
      <c r="M205" s="391"/>
      <c r="N205" s="391"/>
      <c r="O205" s="712"/>
    </row>
    <row r="206" spans="1:15" s="388" customFormat="1">
      <c r="A206" s="622"/>
      <c r="B206" s="622"/>
      <c r="F206" s="793"/>
      <c r="G206" s="672" t="s">
        <v>1403</v>
      </c>
      <c r="H206" s="664">
        <v>-12</v>
      </c>
      <c r="I206" s="665">
        <v>-12</v>
      </c>
      <c r="J206" s="664">
        <v>-12</v>
      </c>
      <c r="K206" s="664">
        <v>-12</v>
      </c>
      <c r="L206" s="391"/>
      <c r="M206" s="391"/>
      <c r="N206" s="391"/>
      <c r="O206" s="712"/>
    </row>
    <row r="207" spans="1:15" s="388" customFormat="1">
      <c r="A207" s="622"/>
      <c r="B207" s="622"/>
      <c r="F207" s="793"/>
      <c r="G207" s="672" t="s">
        <v>1522</v>
      </c>
      <c r="H207" s="664">
        <v>12</v>
      </c>
      <c r="I207" s="665">
        <v>12</v>
      </c>
      <c r="J207" s="664">
        <v>12</v>
      </c>
      <c r="K207" s="664">
        <v>12</v>
      </c>
      <c r="L207" s="391"/>
      <c r="M207" s="391"/>
      <c r="N207" s="391"/>
      <c r="O207" s="712"/>
    </row>
    <row r="208" spans="1:15" s="388" customFormat="1">
      <c r="A208" s="622"/>
      <c r="B208" s="622"/>
      <c r="F208" s="793"/>
      <c r="G208" s="672" t="s">
        <v>1510</v>
      </c>
      <c r="H208" s="664">
        <v>12</v>
      </c>
      <c r="I208" s="665">
        <v>12</v>
      </c>
      <c r="J208" s="664">
        <v>12</v>
      </c>
      <c r="K208" s="664">
        <v>12</v>
      </c>
      <c r="L208" s="391"/>
      <c r="M208" s="391"/>
      <c r="N208" s="391"/>
      <c r="O208" s="712"/>
    </row>
    <row r="209" spans="1:15" s="388" customFormat="1">
      <c r="A209" s="622"/>
      <c r="B209" s="622"/>
      <c r="F209" s="793"/>
      <c r="G209" s="672" t="s">
        <v>3022</v>
      </c>
      <c r="H209" s="664">
        <v>-12</v>
      </c>
      <c r="I209" s="665">
        <v>-12</v>
      </c>
      <c r="J209" s="664">
        <v>-12</v>
      </c>
      <c r="K209" s="664">
        <v>-12</v>
      </c>
      <c r="L209" s="391"/>
      <c r="M209" s="391"/>
      <c r="N209" s="391"/>
      <c r="O209" s="712"/>
    </row>
    <row r="210" spans="1:15" s="388" customFormat="1">
      <c r="A210" s="622"/>
      <c r="B210" s="622"/>
      <c r="F210" s="793"/>
      <c r="G210" s="672" t="s">
        <v>3023</v>
      </c>
      <c r="H210" s="664">
        <v>12</v>
      </c>
      <c r="I210" s="665">
        <v>12</v>
      </c>
      <c r="J210" s="664">
        <v>12</v>
      </c>
      <c r="K210" s="664">
        <v>12</v>
      </c>
      <c r="L210" s="391"/>
      <c r="M210" s="391"/>
      <c r="N210" s="391"/>
      <c r="O210" s="712"/>
    </row>
    <row r="211" spans="1:15" s="388" customFormat="1">
      <c r="A211" s="622"/>
      <c r="B211" s="622"/>
      <c r="F211" s="793"/>
      <c r="G211" s="672" t="s">
        <v>3024</v>
      </c>
      <c r="H211" s="664">
        <v>12</v>
      </c>
      <c r="I211" s="665">
        <v>12</v>
      </c>
      <c r="J211" s="664">
        <v>12</v>
      </c>
      <c r="K211" s="664">
        <v>12</v>
      </c>
      <c r="L211" s="391"/>
      <c r="M211" s="391"/>
      <c r="N211" s="391"/>
      <c r="O211" s="712"/>
    </row>
    <row r="212" spans="1:15" s="388" customFormat="1">
      <c r="A212" s="622"/>
      <c r="B212" s="622"/>
      <c r="F212" s="794"/>
      <c r="G212" s="673" t="s">
        <v>1433</v>
      </c>
      <c r="H212" s="674">
        <v>12</v>
      </c>
      <c r="I212" s="675">
        <v>12</v>
      </c>
      <c r="J212" s="674">
        <v>12</v>
      </c>
      <c r="K212" s="674">
        <v>12</v>
      </c>
      <c r="L212" s="677"/>
      <c r="M212" s="677"/>
      <c r="N212" s="677"/>
      <c r="O212" s="713"/>
    </row>
    <row r="213" spans="1:15" s="388" customFormat="1">
      <c r="A213" s="622"/>
      <c r="B213" s="622"/>
      <c r="F213" s="793" t="s">
        <v>3025</v>
      </c>
      <c r="G213" s="672" t="s">
        <v>1688</v>
      </c>
      <c r="H213" s="664">
        <v>-4.2</v>
      </c>
      <c r="I213" s="665">
        <v>-4.2</v>
      </c>
      <c r="J213" s="664">
        <v>-4.2</v>
      </c>
      <c r="K213" s="664">
        <v>-4.2</v>
      </c>
      <c r="L213" s="391"/>
      <c r="M213" s="391"/>
      <c r="N213" s="391"/>
      <c r="O213" s="712"/>
    </row>
    <row r="214" spans="1:15" s="388" customFormat="1">
      <c r="A214" s="622"/>
      <c r="B214" s="622"/>
      <c r="F214" s="793"/>
      <c r="G214" s="719" t="s">
        <v>1377</v>
      </c>
      <c r="H214" s="664">
        <v>-12.6</v>
      </c>
      <c r="I214" s="665">
        <v>-12.6</v>
      </c>
      <c r="J214" s="664">
        <v>-12.6</v>
      </c>
      <c r="K214" s="664">
        <v>-12.6</v>
      </c>
      <c r="L214" s="391"/>
      <c r="M214" s="391"/>
      <c r="N214" s="391"/>
      <c r="O214" s="720"/>
    </row>
    <row r="215" spans="1:15" s="388" customFormat="1">
      <c r="A215" s="622"/>
      <c r="B215" s="622"/>
      <c r="F215" s="793"/>
      <c r="G215" s="672" t="s">
        <v>1386</v>
      </c>
      <c r="H215" s="664">
        <v>-8.4</v>
      </c>
      <c r="I215" s="665">
        <v>-8.4</v>
      </c>
      <c r="J215" s="664">
        <v>-8.4</v>
      </c>
      <c r="K215" s="664">
        <v>-8.4</v>
      </c>
      <c r="L215" s="391"/>
      <c r="M215" s="391"/>
      <c r="N215" s="391"/>
      <c r="O215" s="712"/>
    </row>
    <row r="216" spans="1:15" s="388" customFormat="1">
      <c r="A216" s="622"/>
      <c r="B216" s="622"/>
      <c r="F216" s="793"/>
      <c r="G216" s="672" t="s">
        <v>3026</v>
      </c>
      <c r="H216" s="664">
        <v>-4</v>
      </c>
      <c r="I216" s="664">
        <v>-4</v>
      </c>
      <c r="J216" s="664">
        <v>-4</v>
      </c>
      <c r="K216" s="664">
        <v>-4</v>
      </c>
      <c r="L216" s="391"/>
      <c r="M216" s="391"/>
      <c r="N216" s="391"/>
      <c r="O216" s="712"/>
    </row>
    <row r="217" spans="1:15" s="388" customFormat="1">
      <c r="A217" s="622"/>
      <c r="B217" s="622"/>
      <c r="F217" s="793"/>
      <c r="G217" s="672" t="s">
        <v>1553</v>
      </c>
      <c r="H217" s="664">
        <v>-4</v>
      </c>
      <c r="I217" s="664">
        <v>-4</v>
      </c>
      <c r="J217" s="664">
        <v>-4</v>
      </c>
      <c r="K217" s="664">
        <v>-4</v>
      </c>
      <c r="L217" s="391"/>
      <c r="M217" s="391"/>
      <c r="N217" s="391"/>
      <c r="O217" s="712"/>
    </row>
    <row r="218" spans="1:15" s="388" customFormat="1">
      <c r="A218" s="622"/>
      <c r="B218" s="622"/>
      <c r="F218" s="793"/>
      <c r="G218" s="672" t="s">
        <v>3027</v>
      </c>
      <c r="H218" s="664">
        <v>0</v>
      </c>
      <c r="I218" s="665">
        <v>0</v>
      </c>
      <c r="J218" s="664">
        <v>0</v>
      </c>
      <c r="K218" s="664">
        <v>0</v>
      </c>
      <c r="L218" s="391"/>
      <c r="M218" s="391"/>
      <c r="N218" s="391"/>
      <c r="O218" s="712"/>
    </row>
    <row r="219" spans="1:15" s="388" customFormat="1">
      <c r="A219" s="622"/>
      <c r="B219" s="622"/>
      <c r="F219" s="793"/>
      <c r="G219" s="672" t="s">
        <v>3028</v>
      </c>
      <c r="H219" s="664">
        <v>-7.5</v>
      </c>
      <c r="I219" s="665">
        <v>-7.5</v>
      </c>
      <c r="J219" s="664">
        <v>-7.5</v>
      </c>
      <c r="K219" s="664">
        <v>-7.5</v>
      </c>
      <c r="L219" s="391"/>
      <c r="M219" s="391"/>
      <c r="N219" s="391"/>
      <c r="O219" s="712"/>
    </row>
    <row r="220" spans="1:15" s="388" customFormat="1">
      <c r="A220" s="622"/>
      <c r="B220" s="622"/>
      <c r="F220" s="793"/>
      <c r="G220" s="672" t="s">
        <v>1462</v>
      </c>
      <c r="H220" s="664">
        <v>0</v>
      </c>
      <c r="I220" s="665">
        <v>0</v>
      </c>
      <c r="J220" s="664">
        <v>0</v>
      </c>
      <c r="K220" s="664">
        <v>0</v>
      </c>
      <c r="L220" s="391"/>
      <c r="M220" s="391"/>
      <c r="N220" s="391"/>
      <c r="O220" s="712"/>
    </row>
    <row r="221" spans="1:15" s="388" customFormat="1">
      <c r="A221" s="622"/>
      <c r="B221" s="622"/>
      <c r="F221" s="793"/>
      <c r="G221" s="672" t="s">
        <v>1526</v>
      </c>
      <c r="H221" s="664">
        <v>-7.5</v>
      </c>
      <c r="I221" s="665">
        <v>-7.5</v>
      </c>
      <c r="J221" s="664">
        <v>-7.5</v>
      </c>
      <c r="K221" s="664">
        <v>-7.5</v>
      </c>
      <c r="L221" s="391"/>
      <c r="M221" s="391"/>
      <c r="N221" s="391"/>
      <c r="O221" s="712"/>
    </row>
    <row r="222" spans="1:15" s="388" customFormat="1" ht="15.75" thickBot="1">
      <c r="A222" s="622"/>
      <c r="B222" s="622"/>
      <c r="F222" s="820"/>
      <c r="G222" s="679" t="s">
        <v>1443</v>
      </c>
      <c r="H222" s="667">
        <v>9</v>
      </c>
      <c r="I222" s="668">
        <v>9</v>
      </c>
      <c r="J222" s="667">
        <v>9</v>
      </c>
      <c r="K222" s="667">
        <v>9</v>
      </c>
      <c r="L222" s="669"/>
      <c r="M222" s="669"/>
      <c r="N222" s="669"/>
      <c r="O222" s="721"/>
    </row>
    <row r="223" spans="1:15" s="388" customFormat="1" ht="15.75" thickBot="1">
      <c r="A223" s="622"/>
      <c r="B223" s="622"/>
      <c r="G223" s="622"/>
      <c r="H223" s="662"/>
      <c r="I223" s="663"/>
      <c r="J223" s="662"/>
      <c r="K223" s="662"/>
    </row>
    <row r="224" spans="1:15" ht="15.75" customHeight="1">
      <c r="G224" s="779" t="s">
        <v>3029</v>
      </c>
      <c r="H224" s="780"/>
      <c r="I224" s="780"/>
      <c r="J224" s="780"/>
      <c r="K224" s="780"/>
      <c r="L224" s="780"/>
      <c r="M224" s="780"/>
      <c r="N224" s="780"/>
      <c r="O224" s="781"/>
    </row>
    <row r="225" spans="1:24" ht="53.25" customHeight="1">
      <c r="G225" s="790" t="str">
        <f>LE_DECLARE_TABLE("tHire_SevLE","",G226:O229)</f>
        <v>Declared table THIRE_SEVLE</v>
      </c>
      <c r="H225" s="791"/>
      <c r="I225" s="791"/>
      <c r="J225" s="791"/>
      <c r="K225" s="791"/>
      <c r="L225" s="791"/>
      <c r="M225" s="791"/>
      <c r="N225" s="791"/>
      <c r="O225" s="792"/>
    </row>
    <row r="226" spans="1:24" s="388" customFormat="1">
      <c r="A226" s="622"/>
      <c r="B226" s="622"/>
      <c r="G226" s="637"/>
      <c r="H226" s="580">
        <v>1</v>
      </c>
      <c r="I226" s="580">
        <v>2</v>
      </c>
      <c r="J226" s="580">
        <v>3</v>
      </c>
      <c r="K226" s="580">
        <v>4</v>
      </c>
      <c r="L226" s="580">
        <v>5</v>
      </c>
      <c r="M226" s="580">
        <v>6</v>
      </c>
      <c r="N226" s="689">
        <v>7</v>
      </c>
      <c r="O226" s="711">
        <v>8</v>
      </c>
      <c r="P226" s="604"/>
      <c r="Q226" s="604"/>
      <c r="R226" s="604"/>
      <c r="S226" s="604"/>
      <c r="T226" s="604"/>
      <c r="U226" s="604"/>
      <c r="V226" s="604"/>
      <c r="W226" s="604"/>
      <c r="X226" s="604"/>
    </row>
    <row r="227" spans="1:24" s="388" customFormat="1">
      <c r="A227" s="622"/>
      <c r="B227" s="622"/>
      <c r="G227" s="722">
        <v>0</v>
      </c>
      <c r="H227" s="664">
        <v>0</v>
      </c>
      <c r="I227" s="665">
        <v>0</v>
      </c>
      <c r="J227" s="664">
        <v>0</v>
      </c>
      <c r="K227" s="664">
        <v>0</v>
      </c>
      <c r="L227" s="391"/>
      <c r="M227" s="391"/>
      <c r="N227" s="391"/>
      <c r="O227" s="720"/>
    </row>
    <row r="228" spans="1:24" s="388" customFormat="1">
      <c r="A228" s="622"/>
      <c r="B228" s="622"/>
      <c r="G228" s="722">
        <v>1</v>
      </c>
      <c r="H228" s="664">
        <v>750</v>
      </c>
      <c r="I228" s="665">
        <v>750</v>
      </c>
      <c r="J228" s="664">
        <v>750</v>
      </c>
      <c r="K228" s="664">
        <v>750</v>
      </c>
      <c r="L228" s="391"/>
      <c r="M228" s="391"/>
      <c r="N228" s="391"/>
      <c r="O228" s="720"/>
    </row>
    <row r="229" spans="1:24" s="388" customFormat="1" ht="15.75" thickBot="1">
      <c r="A229" s="622"/>
      <c r="B229" s="622"/>
      <c r="G229" s="723">
        <v>2</v>
      </c>
      <c r="H229" s="667">
        <v>1500</v>
      </c>
      <c r="I229" s="668">
        <v>1500</v>
      </c>
      <c r="J229" s="667">
        <v>1500</v>
      </c>
      <c r="K229" s="667">
        <v>1500</v>
      </c>
      <c r="L229" s="669"/>
      <c r="M229" s="669"/>
      <c r="N229" s="669"/>
      <c r="O229" s="710"/>
    </row>
    <row r="230" spans="1:24" s="388" customFormat="1">
      <c r="A230" s="622"/>
      <c r="B230" s="622"/>
      <c r="G230" s="622"/>
      <c r="H230" s="662"/>
      <c r="I230" s="663"/>
      <c r="J230" s="662"/>
      <c r="K230" s="662"/>
    </row>
    <row r="231" spans="1:24" ht="15.75" thickBot="1">
      <c r="G231" s="11"/>
      <c r="H231" s="422"/>
      <c r="I231" s="597"/>
      <c r="K231" s="422"/>
    </row>
    <row r="232" spans="1:24">
      <c r="F232" s="779" t="s">
        <v>3030</v>
      </c>
      <c r="G232" s="815"/>
      <c r="H232" s="815"/>
      <c r="I232" s="815"/>
      <c r="J232" s="815"/>
      <c r="K232" s="815"/>
      <c r="L232" s="815"/>
      <c r="M232" s="815"/>
      <c r="N232" s="815"/>
      <c r="O232" s="816"/>
    </row>
    <row r="233" spans="1:24" s="388" customFormat="1" ht="50.25" customHeight="1">
      <c r="A233" s="622"/>
      <c r="B233" s="622"/>
      <c r="F233" s="817" t="str">
        <f>LE_DECLARE_TABLE("tRef_CommLE","",F234:O258)</f>
        <v>Declared table TREF_COMMLE</v>
      </c>
      <c r="G233" s="818"/>
      <c r="H233" s="818"/>
      <c r="I233" s="818"/>
      <c r="J233" s="818"/>
      <c r="K233" s="818"/>
      <c r="L233" s="818"/>
      <c r="M233" s="818"/>
      <c r="N233" s="818"/>
      <c r="O233" s="819"/>
    </row>
    <row r="234" spans="1:24" s="388" customFormat="1">
      <c r="A234" s="622"/>
      <c r="B234" s="622"/>
      <c r="F234" s="599"/>
      <c r="G234" s="659"/>
      <c r="H234" s="724">
        <v>1</v>
      </c>
      <c r="I234" s="724">
        <v>2</v>
      </c>
      <c r="J234" s="724">
        <v>3</v>
      </c>
      <c r="K234" s="724">
        <v>4</v>
      </c>
      <c r="L234" s="719">
        <v>5</v>
      </c>
      <c r="M234" s="719">
        <v>6</v>
      </c>
      <c r="N234" s="719">
        <v>7</v>
      </c>
      <c r="O234" s="725">
        <v>8</v>
      </c>
      <c r="P234" s="604"/>
      <c r="Q234" s="604"/>
      <c r="R234" s="604"/>
      <c r="S234" s="604"/>
      <c r="T234" s="604"/>
      <c r="U234" s="604"/>
      <c r="V234" s="604"/>
      <c r="W234" s="604"/>
      <c r="X234" s="604"/>
    </row>
    <row r="235" spans="1:24" s="388" customFormat="1">
      <c r="A235" s="622"/>
      <c r="B235" s="622"/>
      <c r="F235" s="830" t="s">
        <v>3031</v>
      </c>
      <c r="G235" s="672" t="s">
        <v>3032</v>
      </c>
      <c r="H235" s="726">
        <v>7.0000000000000007E-2</v>
      </c>
      <c r="I235" s="727">
        <v>7.0000000000000007E-2</v>
      </c>
      <c r="J235" s="726">
        <v>7.0000000000000007E-2</v>
      </c>
      <c r="K235" s="726">
        <v>7.0000000000000007E-2</v>
      </c>
      <c r="L235" s="728"/>
      <c r="M235" s="728"/>
      <c r="N235" s="728"/>
      <c r="O235" s="729"/>
      <c r="P235" s="728"/>
      <c r="Q235" s="728"/>
      <c r="R235" s="728"/>
      <c r="S235" s="728"/>
      <c r="T235" s="728"/>
      <c r="U235" s="728"/>
      <c r="V235" s="728"/>
      <c r="W235" s="728"/>
      <c r="X235" s="728"/>
    </row>
    <row r="236" spans="1:24" s="388" customFormat="1">
      <c r="A236" s="622"/>
      <c r="B236" s="622"/>
      <c r="F236" s="830"/>
      <c r="G236" s="672" t="s">
        <v>3033</v>
      </c>
      <c r="H236" s="726">
        <v>0.15</v>
      </c>
      <c r="I236" s="727">
        <v>0.15</v>
      </c>
      <c r="J236" s="726">
        <v>0.15</v>
      </c>
      <c r="K236" s="726">
        <v>0.15</v>
      </c>
      <c r="L236" s="728"/>
      <c r="M236" s="728"/>
      <c r="N236" s="728"/>
      <c r="O236" s="729"/>
      <c r="P236" s="728"/>
      <c r="Q236" s="728"/>
      <c r="R236" s="728"/>
      <c r="S236" s="728"/>
      <c r="T236" s="728"/>
      <c r="U236" s="728"/>
      <c r="V236" s="728"/>
      <c r="W236" s="728"/>
      <c r="X236" s="728"/>
    </row>
    <row r="237" spans="1:24" s="388" customFormat="1">
      <c r="A237" s="622"/>
      <c r="B237" s="622"/>
      <c r="F237" s="830"/>
      <c r="G237" s="672" t="s">
        <v>3034</v>
      </c>
      <c r="H237" s="726">
        <v>0.05</v>
      </c>
      <c r="I237" s="727">
        <v>0.05</v>
      </c>
      <c r="J237" s="726">
        <v>0.05</v>
      </c>
      <c r="K237" s="726">
        <v>0.05</v>
      </c>
      <c r="L237" s="728"/>
      <c r="M237" s="728"/>
      <c r="N237" s="728"/>
      <c r="O237" s="729"/>
      <c r="P237" s="728"/>
      <c r="Q237" s="728"/>
      <c r="R237" s="728"/>
      <c r="S237" s="728"/>
      <c r="T237" s="728"/>
      <c r="U237" s="728"/>
      <c r="V237" s="728"/>
      <c r="W237" s="728"/>
      <c r="X237" s="728"/>
    </row>
    <row r="238" spans="1:24" s="388" customFormat="1">
      <c r="A238" s="622"/>
      <c r="B238" s="622"/>
      <c r="F238" s="830"/>
      <c r="G238" s="672" t="s">
        <v>3035</v>
      </c>
      <c r="H238" s="726">
        <v>0</v>
      </c>
      <c r="I238" s="727">
        <v>0</v>
      </c>
      <c r="J238" s="726">
        <v>0</v>
      </c>
      <c r="K238" s="726">
        <v>0</v>
      </c>
      <c r="L238" s="728"/>
      <c r="M238" s="728"/>
      <c r="N238" s="728"/>
      <c r="O238" s="729"/>
      <c r="P238" s="728"/>
      <c r="Q238" s="728"/>
      <c r="R238" s="728"/>
      <c r="S238" s="728"/>
      <c r="T238" s="728"/>
      <c r="U238" s="728"/>
      <c r="V238" s="728"/>
      <c r="W238" s="728"/>
      <c r="X238" s="728"/>
    </row>
    <row r="239" spans="1:24" s="388" customFormat="1">
      <c r="A239" s="622"/>
      <c r="B239" s="622"/>
      <c r="F239" s="830"/>
      <c r="G239" s="672" t="s">
        <v>1378</v>
      </c>
      <c r="H239" s="726">
        <v>0</v>
      </c>
      <c r="I239" s="727">
        <v>0</v>
      </c>
      <c r="J239" s="726">
        <v>0</v>
      </c>
      <c r="K239" s="726">
        <v>0</v>
      </c>
      <c r="L239" s="728"/>
      <c r="M239" s="728"/>
      <c r="N239" s="728"/>
      <c r="O239" s="729"/>
      <c r="P239" s="728"/>
      <c r="Q239" s="728"/>
      <c r="R239" s="728"/>
      <c r="S239" s="728"/>
      <c r="T239" s="728"/>
      <c r="U239" s="728"/>
      <c r="V239" s="728"/>
      <c r="W239" s="728"/>
      <c r="X239" s="728"/>
    </row>
    <row r="240" spans="1:24" s="388" customFormat="1">
      <c r="A240" s="622"/>
      <c r="B240" s="622"/>
      <c r="F240" s="830"/>
      <c r="G240" s="672" t="s">
        <v>3036</v>
      </c>
      <c r="H240" s="726">
        <v>0</v>
      </c>
      <c r="I240" s="727">
        <v>0</v>
      </c>
      <c r="J240" s="726">
        <v>0</v>
      </c>
      <c r="K240" s="726">
        <v>0</v>
      </c>
      <c r="L240" s="728"/>
      <c r="M240" s="728"/>
      <c r="N240" s="728"/>
      <c r="O240" s="729"/>
      <c r="P240" s="728"/>
      <c r="Q240" s="728"/>
      <c r="R240" s="728"/>
      <c r="S240" s="728"/>
      <c r="T240" s="728"/>
      <c r="U240" s="728"/>
      <c r="V240" s="728"/>
      <c r="W240" s="728"/>
      <c r="X240" s="728"/>
    </row>
    <row r="241" spans="1:24" s="388" customFormat="1">
      <c r="A241" s="622"/>
      <c r="B241" s="622"/>
      <c r="F241" s="830"/>
      <c r="G241" s="672" t="s">
        <v>3037</v>
      </c>
      <c r="H241" s="726">
        <v>0</v>
      </c>
      <c r="I241" s="727">
        <v>0</v>
      </c>
      <c r="J241" s="726">
        <v>0</v>
      </c>
      <c r="K241" s="726">
        <v>0</v>
      </c>
      <c r="L241" s="728"/>
      <c r="M241" s="728"/>
      <c r="N241" s="728"/>
      <c r="O241" s="729"/>
      <c r="P241" s="728"/>
      <c r="Q241" s="728"/>
      <c r="R241" s="728"/>
      <c r="S241" s="728"/>
      <c r="T241" s="728"/>
      <c r="U241" s="728"/>
      <c r="V241" s="728"/>
      <c r="W241" s="728"/>
      <c r="X241" s="728"/>
    </row>
    <row r="242" spans="1:24" s="388" customFormat="1">
      <c r="A242" s="622"/>
      <c r="B242" s="622"/>
      <c r="F242" s="831"/>
      <c r="G242" s="673" t="s">
        <v>864</v>
      </c>
      <c r="H242" s="730">
        <v>0.12</v>
      </c>
      <c r="I242" s="731">
        <v>0.12</v>
      </c>
      <c r="J242" s="730">
        <v>0.12</v>
      </c>
      <c r="K242" s="730">
        <v>0.12</v>
      </c>
      <c r="L242" s="732"/>
      <c r="M242" s="732"/>
      <c r="N242" s="732"/>
      <c r="O242" s="733"/>
      <c r="P242" s="728"/>
      <c r="Q242" s="728"/>
      <c r="R242" s="728"/>
      <c r="S242" s="728"/>
      <c r="T242" s="728"/>
      <c r="U242" s="728"/>
      <c r="V242" s="728"/>
      <c r="W242" s="728"/>
      <c r="X242" s="728"/>
    </row>
    <row r="243" spans="1:24" s="388" customFormat="1">
      <c r="A243" s="622"/>
      <c r="B243" s="622"/>
      <c r="F243" s="832" t="s">
        <v>3038</v>
      </c>
      <c r="G243" s="714" t="s">
        <v>3032</v>
      </c>
      <c r="H243" s="734">
        <v>0</v>
      </c>
      <c r="I243" s="735">
        <v>0</v>
      </c>
      <c r="J243" s="734">
        <v>0</v>
      </c>
      <c r="K243" s="734">
        <v>0</v>
      </c>
      <c r="L243" s="736"/>
      <c r="M243" s="736"/>
      <c r="N243" s="736"/>
      <c r="O243" s="737"/>
      <c r="P243" s="738"/>
      <c r="Q243" s="738"/>
      <c r="R243" s="738"/>
      <c r="S243" s="738"/>
      <c r="T243" s="738"/>
      <c r="U243" s="738"/>
      <c r="V243" s="738"/>
      <c r="W243" s="738"/>
      <c r="X243" s="738"/>
    </row>
    <row r="244" spans="1:24" s="388" customFormat="1">
      <c r="A244" s="622"/>
      <c r="B244" s="622"/>
      <c r="F244" s="830"/>
      <c r="G244" s="672" t="s">
        <v>3033</v>
      </c>
      <c r="H244" s="726">
        <v>0</v>
      </c>
      <c r="I244" s="727">
        <v>0</v>
      </c>
      <c r="J244" s="726">
        <v>0</v>
      </c>
      <c r="K244" s="726">
        <v>0</v>
      </c>
      <c r="L244" s="738"/>
      <c r="M244" s="738"/>
      <c r="N244" s="738"/>
      <c r="O244" s="739"/>
      <c r="P244" s="738"/>
      <c r="Q244" s="738"/>
      <c r="R244" s="738"/>
      <c r="S244" s="738"/>
      <c r="T244" s="738"/>
      <c r="U244" s="738"/>
      <c r="V244" s="738"/>
      <c r="W244" s="738"/>
      <c r="X244" s="738"/>
    </row>
    <row r="245" spans="1:24" s="388" customFormat="1">
      <c r="A245" s="622"/>
      <c r="B245" s="622"/>
      <c r="F245" s="830"/>
      <c r="G245" s="672" t="s">
        <v>3034</v>
      </c>
      <c r="H245" s="726">
        <v>0</v>
      </c>
      <c r="I245" s="727">
        <v>0</v>
      </c>
      <c r="J245" s="726">
        <v>0</v>
      </c>
      <c r="K245" s="726">
        <v>0</v>
      </c>
      <c r="L245" s="738"/>
      <c r="M245" s="738"/>
      <c r="N245" s="738"/>
      <c r="O245" s="739"/>
      <c r="P245" s="738"/>
      <c r="Q245" s="738"/>
      <c r="R245" s="738"/>
      <c r="S245" s="738"/>
      <c r="T245" s="738"/>
      <c r="U245" s="738"/>
      <c r="V245" s="738"/>
      <c r="W245" s="738"/>
      <c r="X245" s="738"/>
    </row>
    <row r="246" spans="1:24" s="388" customFormat="1">
      <c r="A246" s="622"/>
      <c r="B246" s="622"/>
      <c r="F246" s="830"/>
      <c r="G246" s="672" t="s">
        <v>3035</v>
      </c>
      <c r="H246" s="726">
        <v>120</v>
      </c>
      <c r="I246" s="727">
        <v>120</v>
      </c>
      <c r="J246" s="726">
        <v>120</v>
      </c>
      <c r="K246" s="726">
        <v>120</v>
      </c>
      <c r="L246" s="738"/>
      <c r="M246" s="738"/>
      <c r="N246" s="738"/>
      <c r="O246" s="739"/>
      <c r="P246" s="738"/>
      <c r="Q246" s="738"/>
      <c r="R246" s="738"/>
      <c r="S246" s="738"/>
      <c r="T246" s="738"/>
      <c r="U246" s="738"/>
      <c r="V246" s="738"/>
      <c r="W246" s="738"/>
      <c r="X246" s="738"/>
    </row>
    <row r="247" spans="1:24" s="388" customFormat="1">
      <c r="A247" s="622"/>
      <c r="B247" s="622"/>
      <c r="F247" s="830"/>
      <c r="G247" s="672" t="s">
        <v>1378</v>
      </c>
      <c r="H247" s="726">
        <v>0</v>
      </c>
      <c r="I247" s="727">
        <v>0</v>
      </c>
      <c r="J247" s="726">
        <v>0</v>
      </c>
      <c r="K247" s="726">
        <v>0</v>
      </c>
      <c r="L247" s="738"/>
      <c r="M247" s="738"/>
      <c r="N247" s="738"/>
      <c r="O247" s="739"/>
      <c r="P247" s="738"/>
      <c r="Q247" s="738"/>
      <c r="R247" s="738"/>
      <c r="S247" s="738"/>
      <c r="T247" s="738"/>
      <c r="U247" s="738"/>
      <c r="V247" s="738"/>
      <c r="W247" s="738"/>
      <c r="X247" s="738"/>
    </row>
    <row r="248" spans="1:24" s="388" customFormat="1">
      <c r="A248" s="622"/>
      <c r="B248" s="622"/>
      <c r="F248" s="830"/>
      <c r="G248" s="672" t="s">
        <v>3036</v>
      </c>
      <c r="H248" s="726">
        <v>0</v>
      </c>
      <c r="I248" s="727">
        <v>0</v>
      </c>
      <c r="J248" s="726">
        <v>0</v>
      </c>
      <c r="K248" s="726">
        <v>0</v>
      </c>
      <c r="L248" s="738"/>
      <c r="M248" s="738"/>
      <c r="N248" s="738"/>
      <c r="O248" s="739"/>
      <c r="P248" s="738"/>
      <c r="Q248" s="738"/>
      <c r="R248" s="738"/>
      <c r="S248" s="738"/>
      <c r="T248" s="738"/>
      <c r="U248" s="738"/>
      <c r="V248" s="738"/>
      <c r="W248" s="738"/>
      <c r="X248" s="738"/>
    </row>
    <row r="249" spans="1:24" s="388" customFormat="1">
      <c r="A249" s="622"/>
      <c r="B249" s="622"/>
      <c r="F249" s="830"/>
      <c r="G249" s="672" t="s">
        <v>3037</v>
      </c>
      <c r="H249" s="726">
        <v>0</v>
      </c>
      <c r="I249" s="727">
        <v>0</v>
      </c>
      <c r="J249" s="726">
        <v>0</v>
      </c>
      <c r="K249" s="726">
        <v>0</v>
      </c>
      <c r="L249" s="738"/>
      <c r="M249" s="738"/>
      <c r="N249" s="738"/>
      <c r="O249" s="739"/>
      <c r="P249" s="738"/>
      <c r="Q249" s="738"/>
      <c r="R249" s="738"/>
      <c r="S249" s="738"/>
      <c r="T249" s="738"/>
      <c r="U249" s="738"/>
      <c r="V249" s="738"/>
      <c r="W249" s="738"/>
      <c r="X249" s="738"/>
    </row>
    <row r="250" spans="1:24" s="388" customFormat="1">
      <c r="A250" s="622"/>
      <c r="B250" s="622"/>
      <c r="F250" s="831"/>
      <c r="G250" s="673" t="s">
        <v>864</v>
      </c>
      <c r="H250" s="730">
        <v>0</v>
      </c>
      <c r="I250" s="731">
        <v>0</v>
      </c>
      <c r="J250" s="730">
        <v>0</v>
      </c>
      <c r="K250" s="730">
        <v>0</v>
      </c>
      <c r="L250" s="740"/>
      <c r="M250" s="740"/>
      <c r="N250" s="740"/>
      <c r="O250" s="741"/>
      <c r="P250" s="738"/>
      <c r="Q250" s="738"/>
      <c r="R250" s="738"/>
      <c r="S250" s="738"/>
      <c r="T250" s="738"/>
      <c r="U250" s="738"/>
      <c r="V250" s="738"/>
      <c r="W250" s="738"/>
      <c r="X250" s="738"/>
    </row>
    <row r="251" spans="1:24" s="388" customFormat="1">
      <c r="A251" s="622"/>
      <c r="B251" s="622"/>
      <c r="F251" s="830" t="s">
        <v>3039</v>
      </c>
      <c r="G251" s="672" t="s">
        <v>3032</v>
      </c>
      <c r="H251" s="726">
        <v>0</v>
      </c>
      <c r="I251" s="726">
        <v>0</v>
      </c>
      <c r="J251" s="726">
        <v>0</v>
      </c>
      <c r="K251" s="726">
        <v>0</v>
      </c>
      <c r="L251" s="738"/>
      <c r="M251" s="738"/>
      <c r="N251" s="738"/>
      <c r="O251" s="739"/>
      <c r="P251" s="738"/>
      <c r="Q251" s="738"/>
      <c r="R251" s="738"/>
      <c r="S251" s="738"/>
      <c r="T251" s="738"/>
      <c r="U251" s="738"/>
      <c r="V251" s="738"/>
      <c r="W251" s="738"/>
      <c r="X251" s="738"/>
    </row>
    <row r="252" spans="1:24" s="388" customFormat="1">
      <c r="A252" s="622"/>
      <c r="B252" s="622"/>
      <c r="F252" s="830"/>
      <c r="G252" s="672" t="s">
        <v>3033</v>
      </c>
      <c r="H252" s="726">
        <v>0</v>
      </c>
      <c r="I252" s="726">
        <v>0</v>
      </c>
      <c r="J252" s="726">
        <v>0</v>
      </c>
      <c r="K252" s="726">
        <v>0</v>
      </c>
      <c r="L252" s="738"/>
      <c r="M252" s="738"/>
      <c r="N252" s="738"/>
      <c r="O252" s="739"/>
      <c r="P252" s="738"/>
      <c r="Q252" s="738"/>
      <c r="R252" s="738"/>
      <c r="S252" s="738"/>
      <c r="T252" s="738"/>
      <c r="U252" s="738"/>
      <c r="V252" s="738"/>
      <c r="W252" s="738"/>
      <c r="X252" s="738"/>
    </row>
    <row r="253" spans="1:24" s="388" customFormat="1">
      <c r="A253" s="622"/>
      <c r="B253" s="622"/>
      <c r="F253" s="830"/>
      <c r="G253" s="672" t="s">
        <v>3034</v>
      </c>
      <c r="H253" s="726">
        <v>100</v>
      </c>
      <c r="I253" s="726">
        <v>100</v>
      </c>
      <c r="J253" s="726">
        <v>100</v>
      </c>
      <c r="K253" s="726">
        <v>100</v>
      </c>
      <c r="L253" s="738"/>
      <c r="M253" s="738"/>
      <c r="N253" s="738"/>
      <c r="O253" s="739"/>
      <c r="P253" s="738"/>
      <c r="Q253" s="738"/>
      <c r="R253" s="738"/>
      <c r="S253" s="738"/>
      <c r="T253" s="738"/>
      <c r="U253" s="738"/>
      <c r="V253" s="738"/>
      <c r="W253" s="738"/>
      <c r="X253" s="738"/>
    </row>
    <row r="254" spans="1:24" s="388" customFormat="1">
      <c r="A254" s="622"/>
      <c r="B254" s="622"/>
      <c r="F254" s="830"/>
      <c r="G254" s="672" t="s">
        <v>3035</v>
      </c>
      <c r="H254" s="726">
        <v>0</v>
      </c>
      <c r="I254" s="726">
        <v>0</v>
      </c>
      <c r="J254" s="726">
        <v>0</v>
      </c>
      <c r="K254" s="726">
        <v>0</v>
      </c>
      <c r="L254" s="738"/>
      <c r="M254" s="738"/>
      <c r="N254" s="738"/>
      <c r="O254" s="739"/>
      <c r="P254" s="738"/>
      <c r="Q254" s="738"/>
      <c r="R254" s="738"/>
      <c r="S254" s="738"/>
      <c r="T254" s="738"/>
      <c r="U254" s="738"/>
      <c r="V254" s="738"/>
      <c r="W254" s="738"/>
      <c r="X254" s="738"/>
    </row>
    <row r="255" spans="1:24" s="388" customFormat="1">
      <c r="A255" s="622"/>
      <c r="B255" s="622"/>
      <c r="F255" s="830"/>
      <c r="G255" s="672" t="s">
        <v>1378</v>
      </c>
      <c r="H255" s="726">
        <v>200</v>
      </c>
      <c r="I255" s="726">
        <v>200</v>
      </c>
      <c r="J255" s="726">
        <v>200</v>
      </c>
      <c r="K255" s="726">
        <v>200</v>
      </c>
      <c r="L255" s="738"/>
      <c r="M255" s="738"/>
      <c r="N255" s="738"/>
      <c r="O255" s="739"/>
      <c r="P255" s="738"/>
      <c r="Q255" s="738"/>
      <c r="R255" s="738"/>
      <c r="S255" s="738"/>
      <c r="T255" s="738"/>
      <c r="U255" s="738"/>
      <c r="V255" s="738"/>
      <c r="W255" s="738"/>
      <c r="X255" s="738"/>
    </row>
    <row r="256" spans="1:24" s="388" customFormat="1">
      <c r="A256" s="622"/>
      <c r="B256" s="622"/>
      <c r="F256" s="830"/>
      <c r="G256" s="672" t="s">
        <v>3036</v>
      </c>
      <c r="H256" s="726">
        <v>200</v>
      </c>
      <c r="I256" s="726">
        <v>200</v>
      </c>
      <c r="J256" s="726">
        <v>200</v>
      </c>
      <c r="K256" s="726">
        <v>200</v>
      </c>
      <c r="L256" s="738"/>
      <c r="M256" s="738"/>
      <c r="N256" s="738"/>
      <c r="O256" s="739"/>
      <c r="P256" s="738"/>
      <c r="Q256" s="738"/>
      <c r="R256" s="738"/>
      <c r="S256" s="738"/>
      <c r="T256" s="738"/>
      <c r="U256" s="738"/>
      <c r="V256" s="738"/>
      <c r="W256" s="738"/>
      <c r="X256" s="738"/>
    </row>
    <row r="257" spans="1:24" s="388" customFormat="1">
      <c r="A257" s="622"/>
      <c r="B257" s="622"/>
      <c r="F257" s="830"/>
      <c r="G257" s="672" t="s">
        <v>3037</v>
      </c>
      <c r="H257" s="726">
        <v>200</v>
      </c>
      <c r="I257" s="726">
        <v>200</v>
      </c>
      <c r="J257" s="726">
        <v>200</v>
      </c>
      <c r="K257" s="726">
        <v>200</v>
      </c>
      <c r="L257" s="738"/>
      <c r="M257" s="738"/>
      <c r="N257" s="738"/>
      <c r="O257" s="739"/>
      <c r="P257" s="738"/>
      <c r="Q257" s="738"/>
      <c r="R257" s="738"/>
      <c r="S257" s="738"/>
      <c r="T257" s="738"/>
      <c r="U257" s="738"/>
      <c r="V257" s="738"/>
      <c r="W257" s="738"/>
      <c r="X257" s="738"/>
    </row>
    <row r="258" spans="1:24" s="388" customFormat="1" ht="15.75" thickBot="1">
      <c r="A258" s="622"/>
      <c r="B258" s="622"/>
      <c r="F258" s="833"/>
      <c r="G258" s="679" t="s">
        <v>864</v>
      </c>
      <c r="H258" s="742">
        <v>0</v>
      </c>
      <c r="I258" s="742">
        <v>0</v>
      </c>
      <c r="J258" s="742">
        <v>0</v>
      </c>
      <c r="K258" s="742">
        <v>0</v>
      </c>
      <c r="L258" s="743"/>
      <c r="M258" s="743"/>
      <c r="N258" s="743"/>
      <c r="O258" s="744"/>
      <c r="P258" s="738"/>
      <c r="Q258" s="738"/>
      <c r="R258" s="738"/>
      <c r="S258" s="738"/>
      <c r="T258" s="738"/>
      <c r="U258" s="738"/>
      <c r="V258" s="738"/>
      <c r="W258" s="738"/>
      <c r="X258" s="738"/>
    </row>
    <row r="259" spans="1:24" s="388" customFormat="1">
      <c r="A259" s="622"/>
      <c r="B259" s="622"/>
      <c r="G259" s="622"/>
      <c r="H259" s="662"/>
      <c r="I259" s="663"/>
      <c r="J259" s="662"/>
      <c r="K259" s="662"/>
    </row>
    <row r="260" spans="1:24" s="388" customFormat="1">
      <c r="A260" s="622"/>
      <c r="B260" s="622"/>
      <c r="H260" s="662"/>
      <c r="I260" s="663"/>
      <c r="J260" s="662"/>
      <c r="K260" s="662"/>
    </row>
    <row r="261" spans="1:24" ht="15.75" thickBot="1">
      <c r="G261" s="384"/>
      <c r="H261" s="422"/>
      <c r="I261" s="597"/>
      <c r="K261" s="422"/>
    </row>
    <row r="262" spans="1:24">
      <c r="G262" s="779" t="s">
        <v>3040</v>
      </c>
      <c r="H262" s="780" t="s">
        <v>3041</v>
      </c>
      <c r="I262" s="780"/>
      <c r="J262" s="780"/>
      <c r="K262" s="780"/>
      <c r="L262" s="780"/>
      <c r="M262" s="780"/>
      <c r="N262" s="780"/>
      <c r="O262" s="781"/>
    </row>
    <row r="263" spans="1:24" ht="50.25" customHeight="1">
      <c r="G263" s="801" t="str">
        <f>LE_DECLARE_TABLE("tMV_VehicleYearLE","",G264:O275)</f>
        <v>Declared table TMV_VEHICLEYEARLE</v>
      </c>
      <c r="H263" s="802"/>
      <c r="I263" s="802"/>
      <c r="J263" s="802"/>
      <c r="K263" s="802"/>
      <c r="L263" s="802"/>
      <c r="M263" s="802"/>
      <c r="N263" s="802"/>
      <c r="O263" s="803"/>
    </row>
    <row r="264" spans="1:24" s="388" customFormat="1">
      <c r="A264" s="622"/>
      <c r="B264" s="622"/>
      <c r="E264" s="50"/>
      <c r="F264" s="50"/>
      <c r="G264" s="413"/>
      <c r="H264" s="580">
        <v>1</v>
      </c>
      <c r="I264" s="580">
        <v>2</v>
      </c>
      <c r="J264" s="580">
        <v>3</v>
      </c>
      <c r="K264" s="580">
        <v>4</v>
      </c>
      <c r="L264" s="580">
        <v>5</v>
      </c>
      <c r="M264" s="580">
        <v>6</v>
      </c>
      <c r="N264" s="689">
        <v>7</v>
      </c>
      <c r="O264" s="581">
        <v>8</v>
      </c>
    </row>
    <row r="265" spans="1:24" s="388" customFormat="1">
      <c r="A265" s="622"/>
      <c r="B265" s="622"/>
      <c r="E265" s="50"/>
      <c r="F265" s="50"/>
      <c r="G265" s="745">
        <v>0</v>
      </c>
      <c r="H265" s="746">
        <v>0</v>
      </c>
      <c r="I265" s="664">
        <v>0</v>
      </c>
      <c r="J265" s="664">
        <v>0</v>
      </c>
      <c r="K265" s="664">
        <v>0</v>
      </c>
      <c r="L265" s="391"/>
      <c r="M265" s="391"/>
      <c r="N265" s="391"/>
      <c r="O265" s="747"/>
    </row>
    <row r="266" spans="1:24" s="388" customFormat="1">
      <c r="A266" s="622"/>
      <c r="B266" s="622"/>
      <c r="E266" s="50"/>
      <c r="F266" s="50"/>
      <c r="G266" s="745">
        <v>5</v>
      </c>
      <c r="H266" s="746">
        <v>15.749999999999998</v>
      </c>
      <c r="I266" s="664">
        <v>15.749999999999998</v>
      </c>
      <c r="J266" s="664">
        <v>15.749999999999998</v>
      </c>
      <c r="K266" s="664">
        <v>15.749999999999998</v>
      </c>
      <c r="L266" s="391"/>
      <c r="M266" s="391"/>
      <c r="N266" s="391"/>
      <c r="O266" s="747"/>
    </row>
    <row r="267" spans="1:24" s="388" customFormat="1">
      <c r="A267" s="622"/>
      <c r="B267" s="622"/>
      <c r="E267" s="50"/>
      <c r="F267" s="50"/>
      <c r="G267" s="745">
        <v>10</v>
      </c>
      <c r="H267" s="746">
        <v>31.499999999999996</v>
      </c>
      <c r="I267" s="664">
        <v>31.499999999999996</v>
      </c>
      <c r="J267" s="664">
        <v>31.499999999999996</v>
      </c>
      <c r="K267" s="664">
        <v>31.499999999999996</v>
      </c>
      <c r="L267" s="391"/>
      <c r="M267" s="391"/>
      <c r="N267" s="391"/>
      <c r="O267" s="747"/>
    </row>
    <row r="268" spans="1:24" s="388" customFormat="1">
      <c r="A268" s="622"/>
      <c r="B268" s="622"/>
      <c r="E268" s="50"/>
      <c r="F268" s="50"/>
      <c r="G268" s="745">
        <v>15</v>
      </c>
      <c r="H268" s="746">
        <v>47.25</v>
      </c>
      <c r="I268" s="664">
        <v>47.25</v>
      </c>
      <c r="J268" s="664">
        <v>47.25</v>
      </c>
      <c r="K268" s="664">
        <v>47.25</v>
      </c>
      <c r="L268" s="391"/>
      <c r="M268" s="391"/>
      <c r="N268" s="391"/>
      <c r="O268" s="747"/>
    </row>
    <row r="269" spans="1:24" s="388" customFormat="1">
      <c r="A269" s="622"/>
      <c r="B269" s="622"/>
      <c r="E269" s="50"/>
      <c r="F269" s="50"/>
      <c r="G269" s="745">
        <v>20</v>
      </c>
      <c r="H269" s="746">
        <v>47.25</v>
      </c>
      <c r="I269" s="664">
        <v>47.25</v>
      </c>
      <c r="J269" s="664">
        <v>47.25</v>
      </c>
      <c r="K269" s="664">
        <v>47.25</v>
      </c>
      <c r="L269" s="391"/>
      <c r="M269" s="391"/>
      <c r="N269" s="391"/>
      <c r="O269" s="747"/>
    </row>
    <row r="270" spans="1:24" s="388" customFormat="1">
      <c r="A270" s="622"/>
      <c r="B270" s="622"/>
      <c r="E270" s="50"/>
      <c r="F270" s="50"/>
      <c r="G270" s="745">
        <v>25</v>
      </c>
      <c r="H270" s="746">
        <v>47.25</v>
      </c>
      <c r="I270" s="664">
        <v>47.25</v>
      </c>
      <c r="J270" s="664">
        <v>47.25</v>
      </c>
      <c r="K270" s="664">
        <v>47.25</v>
      </c>
      <c r="L270" s="391"/>
      <c r="M270" s="391"/>
      <c r="N270" s="391"/>
      <c r="O270" s="747"/>
    </row>
    <row r="271" spans="1:24" s="388" customFormat="1">
      <c r="A271" s="622"/>
      <c r="B271" s="622"/>
      <c r="E271" s="50"/>
      <c r="F271" s="50"/>
      <c r="G271" s="745">
        <v>30</v>
      </c>
      <c r="H271" s="746">
        <v>47.25</v>
      </c>
      <c r="I271" s="664">
        <v>47.25</v>
      </c>
      <c r="J271" s="664">
        <v>47.25</v>
      </c>
      <c r="K271" s="664">
        <v>47.25</v>
      </c>
      <c r="L271" s="391"/>
      <c r="M271" s="391"/>
      <c r="N271" s="391"/>
      <c r="O271" s="747"/>
    </row>
    <row r="272" spans="1:24" s="388" customFormat="1">
      <c r="A272" s="622"/>
      <c r="B272" s="622"/>
      <c r="E272" s="50"/>
      <c r="F272" s="50"/>
      <c r="G272" s="745">
        <v>35</v>
      </c>
      <c r="H272" s="746">
        <v>47.25</v>
      </c>
      <c r="I272" s="664">
        <v>47.25</v>
      </c>
      <c r="J272" s="664">
        <v>47.25</v>
      </c>
      <c r="K272" s="664">
        <v>47.25</v>
      </c>
      <c r="L272" s="391"/>
      <c r="M272" s="391"/>
      <c r="N272" s="391"/>
      <c r="O272" s="747"/>
    </row>
    <row r="273" spans="1:25" s="388" customFormat="1">
      <c r="A273" s="622"/>
      <c r="B273" s="622"/>
      <c r="E273" s="50"/>
      <c r="F273" s="50"/>
      <c r="G273" s="745">
        <v>40</v>
      </c>
      <c r="H273" s="746">
        <v>47.25</v>
      </c>
      <c r="I273" s="664">
        <v>47.25</v>
      </c>
      <c r="J273" s="664">
        <v>47.25</v>
      </c>
      <c r="K273" s="664">
        <v>47.25</v>
      </c>
      <c r="L273" s="391"/>
      <c r="M273" s="391"/>
      <c r="N273" s="391"/>
      <c r="O273" s="747"/>
    </row>
    <row r="274" spans="1:25" s="388" customFormat="1">
      <c r="A274" s="622"/>
      <c r="B274" s="622"/>
      <c r="E274" s="50"/>
      <c r="F274" s="50"/>
      <c r="G274" s="745">
        <v>45</v>
      </c>
      <c r="H274" s="746">
        <v>47.25</v>
      </c>
      <c r="I274" s="664">
        <v>47.25</v>
      </c>
      <c r="J274" s="664">
        <v>47.25</v>
      </c>
      <c r="K274" s="664">
        <v>47.25</v>
      </c>
      <c r="L274" s="391"/>
      <c r="M274" s="391"/>
      <c r="N274" s="391"/>
      <c r="O274" s="747"/>
    </row>
    <row r="275" spans="1:25" s="388" customFormat="1" ht="15.75" thickBot="1">
      <c r="A275" s="622"/>
      <c r="B275" s="622"/>
      <c r="E275" s="50"/>
      <c r="F275" s="50"/>
      <c r="G275" s="748">
        <v>-5</v>
      </c>
      <c r="H275" s="749">
        <v>0</v>
      </c>
      <c r="I275" s="667">
        <v>0</v>
      </c>
      <c r="J275" s="667">
        <v>0</v>
      </c>
      <c r="K275" s="667">
        <v>0</v>
      </c>
      <c r="L275" s="669"/>
      <c r="M275" s="669"/>
      <c r="N275" s="669"/>
      <c r="O275" s="750"/>
    </row>
    <row r="276" spans="1:25" s="388" customFormat="1">
      <c r="A276" s="622"/>
      <c r="B276" s="622"/>
      <c r="G276" s="50"/>
      <c r="H276" s="50"/>
      <c r="I276" s="751"/>
      <c r="J276" s="662"/>
      <c r="K276" s="662"/>
    </row>
    <row r="277" spans="1:25">
      <c r="G277" s="470"/>
      <c r="H277" s="422"/>
      <c r="I277" s="597"/>
      <c r="K277" s="422"/>
    </row>
    <row r="278" spans="1:25" ht="15.75" thickBot="1">
      <c r="G278" s="470"/>
      <c r="H278" s="470"/>
      <c r="I278" s="470"/>
      <c r="J278" s="470"/>
    </row>
    <row r="279" spans="1:25" s="388" customFormat="1">
      <c r="A279" s="622"/>
      <c r="B279" s="622"/>
      <c r="G279" s="779" t="s">
        <v>3042</v>
      </c>
      <c r="H279" s="780"/>
      <c r="I279" s="780"/>
      <c r="J279" s="780"/>
      <c r="K279" s="780"/>
      <c r="L279" s="780"/>
      <c r="M279" s="780"/>
      <c r="N279" s="780"/>
      <c r="O279" s="781"/>
    </row>
    <row r="280" spans="1:25" s="388" customFormat="1" ht="93" customHeight="1">
      <c r="A280" s="622"/>
      <c r="B280" s="622"/>
      <c r="G280" s="801" t="str">
        <f>LE_DECLARE_TABLE("AgeRestrictionLE","",G281:O283)</f>
        <v>Declared table AGERESTRICTIONLE</v>
      </c>
      <c r="H280" s="802"/>
      <c r="I280" s="802"/>
      <c r="J280" s="802"/>
      <c r="K280" s="802"/>
      <c r="L280" s="802"/>
      <c r="M280" s="802"/>
      <c r="N280" s="802"/>
      <c r="O280" s="803"/>
    </row>
    <row r="281" spans="1:25" s="388" customFormat="1">
      <c r="A281" s="622"/>
      <c r="B281" s="622"/>
      <c r="G281" s="599"/>
      <c r="H281" s="580">
        <v>1</v>
      </c>
      <c r="I281" s="580">
        <v>2</v>
      </c>
      <c r="J281" s="580">
        <v>3</v>
      </c>
      <c r="K281" s="580">
        <v>4</v>
      </c>
      <c r="L281" s="580">
        <v>5</v>
      </c>
      <c r="M281" s="580">
        <v>6</v>
      </c>
      <c r="N281" s="689">
        <v>7</v>
      </c>
      <c r="O281" s="581">
        <v>8</v>
      </c>
    </row>
    <row r="282" spans="1:25" s="388" customFormat="1">
      <c r="A282" s="622"/>
      <c r="B282" s="622"/>
      <c r="G282" s="752" t="s">
        <v>362</v>
      </c>
      <c r="H282" s="391">
        <v>0</v>
      </c>
      <c r="I282" s="391">
        <v>0</v>
      </c>
      <c r="J282" s="391">
        <v>0</v>
      </c>
      <c r="K282" s="391">
        <v>0</v>
      </c>
      <c r="L282" s="391"/>
      <c r="M282" s="391"/>
      <c r="N282" s="391"/>
      <c r="O282" s="747"/>
    </row>
    <row r="283" spans="1:25" s="388" customFormat="1" ht="15.75" thickBot="1">
      <c r="A283" s="622"/>
      <c r="B283" s="622"/>
      <c r="G283" s="748" t="s">
        <v>359</v>
      </c>
      <c r="H283" s="668">
        <v>-3</v>
      </c>
      <c r="I283" s="668">
        <v>-3</v>
      </c>
      <c r="J283" s="668">
        <v>-3</v>
      </c>
      <c r="K283" s="668">
        <v>-3</v>
      </c>
      <c r="L283" s="668"/>
      <c r="M283" s="668"/>
      <c r="N283" s="668"/>
      <c r="O283" s="753"/>
      <c r="P283" s="663"/>
      <c r="Q283" s="663"/>
      <c r="R283" s="663"/>
      <c r="S283" s="663"/>
      <c r="T283" s="663"/>
      <c r="U283" s="663"/>
      <c r="V283" s="663"/>
      <c r="W283" s="663"/>
      <c r="X283" s="663"/>
    </row>
    <row r="284" spans="1:25" s="388" customFormat="1">
      <c r="A284" s="622"/>
      <c r="B284" s="622"/>
      <c r="G284" s="662"/>
      <c r="H284" s="663"/>
      <c r="I284" s="662"/>
      <c r="J284" s="662"/>
    </row>
    <row r="286" spans="1:25">
      <c r="D286" s="388"/>
      <c r="E286" s="388"/>
      <c r="F286" s="389"/>
      <c r="G286" s="662"/>
      <c r="H286" s="663"/>
      <c r="I286" s="662"/>
      <c r="J286" s="662"/>
      <c r="K286" s="388"/>
      <c r="L286" s="388"/>
      <c r="M286" s="388"/>
      <c r="N286" s="388"/>
      <c r="O286" s="388"/>
      <c r="P286" s="388"/>
      <c r="Q286" s="388"/>
      <c r="R286" s="388"/>
      <c r="S286" s="388"/>
      <c r="T286" s="388"/>
      <c r="U286" s="388"/>
      <c r="V286" s="388"/>
      <c r="W286" s="388"/>
      <c r="X286" s="388"/>
      <c r="Y286" s="388"/>
    </row>
    <row r="287" spans="1:25">
      <c r="D287" s="388"/>
      <c r="E287" s="388"/>
      <c r="F287" s="754"/>
      <c r="G287" s="755"/>
      <c r="H287" s="663"/>
      <c r="I287" s="662"/>
      <c r="J287" s="662"/>
      <c r="K287" s="388"/>
      <c r="L287" s="388"/>
      <c r="M287" s="388"/>
      <c r="N287" s="388"/>
      <c r="O287" s="388"/>
      <c r="P287" s="388"/>
      <c r="Q287" s="388"/>
      <c r="R287" s="388"/>
      <c r="S287" s="388"/>
      <c r="T287" s="388"/>
      <c r="U287" s="388"/>
      <c r="V287" s="388"/>
      <c r="W287" s="388"/>
      <c r="X287" s="388"/>
      <c r="Y287" s="388"/>
    </row>
    <row r="288" spans="1:25">
      <c r="D288" s="388"/>
      <c r="E288" s="388"/>
      <c r="F288" s="659"/>
      <c r="G288" s="432"/>
      <c r="H288" s="432"/>
      <c r="I288" s="432"/>
      <c r="J288" s="432"/>
      <c r="K288" s="604"/>
      <c r="L288" s="604"/>
      <c r="M288" s="604"/>
      <c r="N288" s="604"/>
      <c r="O288" s="604"/>
      <c r="P288" s="604"/>
      <c r="Q288" s="604"/>
      <c r="R288" s="604"/>
      <c r="S288" s="604"/>
      <c r="T288" s="604"/>
      <c r="U288" s="604"/>
      <c r="V288" s="604"/>
      <c r="W288" s="604"/>
      <c r="X288" s="388"/>
      <c r="Y288" s="388"/>
    </row>
    <row r="289" spans="4:25">
      <c r="D289" s="388"/>
      <c r="E289" s="388"/>
      <c r="F289" s="648"/>
      <c r="G289" s="756"/>
      <c r="H289" s="756"/>
      <c r="I289" s="756"/>
      <c r="J289" s="726"/>
      <c r="K289" s="757"/>
      <c r="L289" s="757"/>
      <c r="M289" s="757"/>
      <c r="N289" s="758"/>
      <c r="O289" s="757"/>
      <c r="P289" s="757"/>
      <c r="Q289" s="757"/>
      <c r="R289" s="757"/>
      <c r="S289" s="757"/>
      <c r="T289" s="757"/>
      <c r="U289" s="757"/>
      <c r="V289" s="757"/>
      <c r="W289" s="757"/>
      <c r="X289" s="388"/>
      <c r="Y289" s="388"/>
    </row>
    <row r="290" spans="4:25">
      <c r="D290" s="388"/>
      <c r="E290" s="388"/>
      <c r="F290" s="648"/>
      <c r="G290" s="756"/>
      <c r="H290" s="756"/>
      <c r="I290" s="756"/>
      <c r="J290" s="726"/>
      <c r="K290" s="757"/>
      <c r="L290" s="757"/>
      <c r="M290" s="757"/>
      <c r="N290" s="758"/>
      <c r="O290" s="757"/>
      <c r="P290" s="757"/>
      <c r="Q290" s="757"/>
      <c r="R290" s="757"/>
      <c r="S290" s="757"/>
      <c r="T290" s="757"/>
      <c r="U290" s="757"/>
      <c r="V290" s="757"/>
      <c r="W290" s="757"/>
      <c r="X290" s="388"/>
      <c r="Y290" s="388"/>
    </row>
    <row r="291" spans="4:25">
      <c r="D291" s="388"/>
      <c r="E291" s="388"/>
      <c r="F291" s="622"/>
      <c r="G291" s="756"/>
      <c r="H291" s="756"/>
      <c r="I291" s="756"/>
      <c r="J291" s="726"/>
      <c r="K291" s="757"/>
      <c r="L291" s="757"/>
      <c r="M291" s="757"/>
      <c r="N291" s="758"/>
      <c r="O291" s="757"/>
      <c r="P291" s="757"/>
      <c r="Q291" s="757"/>
      <c r="R291" s="757"/>
      <c r="S291" s="757"/>
      <c r="T291" s="757"/>
      <c r="U291" s="757"/>
      <c r="V291" s="757"/>
      <c r="W291" s="757"/>
      <c r="X291" s="388"/>
      <c r="Y291" s="388"/>
    </row>
    <row r="292" spans="4:25">
      <c r="D292" s="388"/>
      <c r="E292" s="388"/>
      <c r="F292" s="388"/>
      <c r="G292" s="662"/>
      <c r="H292" s="663"/>
      <c r="I292" s="662"/>
      <c r="J292" s="662"/>
      <c r="K292" s="388"/>
      <c r="L292" s="388"/>
      <c r="M292" s="388"/>
      <c r="N292" s="388"/>
      <c r="O292" s="388"/>
      <c r="P292" s="388"/>
      <c r="Q292" s="388"/>
      <c r="R292" s="388"/>
      <c r="S292" s="388"/>
      <c r="T292" s="388"/>
      <c r="U292" s="388"/>
      <c r="V292" s="388"/>
      <c r="W292" s="388"/>
      <c r="X292" s="388"/>
      <c r="Y292" s="388"/>
    </row>
  </sheetData>
  <mergeCells count="59">
    <mergeCell ref="G263:O263"/>
    <mergeCell ref="G279:O279"/>
    <mergeCell ref="G280:O280"/>
    <mergeCell ref="F232:O232"/>
    <mergeCell ref="F233:O233"/>
    <mergeCell ref="F235:F242"/>
    <mergeCell ref="F243:F250"/>
    <mergeCell ref="F251:F258"/>
    <mergeCell ref="G262:O262"/>
    <mergeCell ref="G225:O225"/>
    <mergeCell ref="F160:AE160"/>
    <mergeCell ref="F161:AE161"/>
    <mergeCell ref="H162:O162"/>
    <mergeCell ref="P162:W162"/>
    <mergeCell ref="X162:AE162"/>
    <mergeCell ref="F188:O188"/>
    <mergeCell ref="F189:O189"/>
    <mergeCell ref="F191:F201"/>
    <mergeCell ref="F202:F212"/>
    <mergeCell ref="F213:F222"/>
    <mergeCell ref="G224:O224"/>
    <mergeCell ref="F156:F158"/>
    <mergeCell ref="G75:O75"/>
    <mergeCell ref="G76:O76"/>
    <mergeCell ref="F86:O86"/>
    <mergeCell ref="F87:O87"/>
    <mergeCell ref="F89:F103"/>
    <mergeCell ref="F104:F118"/>
    <mergeCell ref="F119:F133"/>
    <mergeCell ref="F134:F148"/>
    <mergeCell ref="F150:O150"/>
    <mergeCell ref="F151:O151"/>
    <mergeCell ref="F153:F155"/>
    <mergeCell ref="E65:E66"/>
    <mergeCell ref="F65:F66"/>
    <mergeCell ref="E67:E68"/>
    <mergeCell ref="F67:F68"/>
    <mergeCell ref="E69:E72"/>
    <mergeCell ref="F69:F70"/>
    <mergeCell ref="F71:F72"/>
    <mergeCell ref="E58:O58"/>
    <mergeCell ref="E59:O59"/>
    <mergeCell ref="C61:C64"/>
    <mergeCell ref="E61:E64"/>
    <mergeCell ref="F61:F62"/>
    <mergeCell ref="F63:F64"/>
    <mergeCell ref="E27:O27"/>
    <mergeCell ref="C29:C32"/>
    <mergeCell ref="E29:E42"/>
    <mergeCell ref="F29:F42"/>
    <mergeCell ref="E43:E56"/>
    <mergeCell ref="F43:F49"/>
    <mergeCell ref="F50:F56"/>
    <mergeCell ref="E26:O26"/>
    <mergeCell ref="G4:O4"/>
    <mergeCell ref="G5:O5"/>
    <mergeCell ref="H6:O6"/>
    <mergeCell ref="C7:C9"/>
    <mergeCell ref="H16:O16"/>
  </mergeCells>
  <dataValidations count="8">
    <dataValidation type="list" allowBlank="1" showInputMessage="1" showErrorMessage="1" sqref="B63">
      <formula1>"Yes,No"</formula1>
    </dataValidation>
    <dataValidation type="list" allowBlank="1" showInputMessage="1" showErrorMessage="1" sqref="B61">
      <formula1>$U$62:$U$65</formula1>
    </dataValidation>
    <dataValidation type="list" allowBlank="1" showInputMessage="1" showErrorMessage="1" sqref="B9">
      <formula1>$H$17:$O$17</formula1>
    </dataValidation>
    <dataValidation type="list" allowBlank="1" showInputMessage="1" showErrorMessage="1" sqref="B7">
      <formula1>cMarital</formula1>
    </dataValidation>
    <dataValidation type="list" allowBlank="1" showInputMessage="1" showErrorMessage="1" sqref="B32 B64">
      <formula1>$H$28:$O$28</formula1>
    </dataValidation>
    <dataValidation type="list" allowBlank="1" showInputMessage="1" showErrorMessage="1" sqref="B30">
      <formula1>$G$29:$G$42</formula1>
    </dataValidation>
    <dataValidation type="list" allowBlank="1" showInputMessage="1" showErrorMessage="1" sqref="B29">
      <formula1>"Licence Period,Old Claims"</formula1>
    </dataValidation>
    <dataValidation type="list" allowBlank="1" showInputMessage="1" showErrorMessage="1" sqref="B31 B8 B62">
      <formula1>"Accident,Theft"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B1:BM499"/>
  <sheetViews>
    <sheetView showGridLines="0" topLeftCell="A55" workbookViewId="0">
      <selection activeCell="C42" sqref="C42"/>
    </sheetView>
  </sheetViews>
  <sheetFormatPr defaultRowHeight="15" outlineLevelCol="1"/>
  <cols>
    <col min="1" max="1" width="11.140625" customWidth="1"/>
    <col min="2" max="2" width="16.42578125" customWidth="1"/>
    <col min="3" max="3" width="24.5703125" customWidth="1"/>
    <col min="4" max="4" width="14.42578125" customWidth="1"/>
    <col min="5" max="5" width="12.7109375" customWidth="1"/>
    <col min="6" max="6" width="11.140625" customWidth="1"/>
    <col min="7" max="7" width="10.42578125" customWidth="1"/>
    <col min="9" max="11" width="9.140625" style="1"/>
    <col min="13" max="13" width="15.140625" customWidth="1"/>
    <col min="28" max="31" width="9.140625" style="2" customWidth="1" outlineLevel="1"/>
    <col min="32" max="56" width="9.140625" customWidth="1" outlineLevel="1"/>
    <col min="57" max="64" width="9.140625" customWidth="1"/>
    <col min="65" max="65" width="9.140625" collapsed="1"/>
  </cols>
  <sheetData>
    <row r="1" spans="2:51">
      <c r="AB1" s="2" t="str">
        <f>'Rate Calculator'!BC16</f>
        <v>P02A122 (1)</v>
      </c>
      <c r="AC1" s="2" t="str">
        <f>'Rate Calculator'!BD16</f>
        <v>V0908500462562 (1)</v>
      </c>
      <c r="AD1" s="2" t="str">
        <f>'Rate Calculator'!BE16</f>
        <v>AU0014-76-845 (1)</v>
      </c>
      <c r="AG1" s="3" t="str">
        <f>'Rate Calculator'!F6</f>
        <v>Accident_Premium</v>
      </c>
      <c r="AM1" t="str">
        <f>IFERROR(VALUE(LEFT(C12,IFERROR(FIND(" ",C12),LEN(C12)+1)-1)),LEFT(C12,IFERROR(FIND(" ",C12),LEN(C12)+1)-1))</f>
        <v>AU0014-76-845</v>
      </c>
      <c r="AP1" t="e">
        <f>PGENDER(AM1)</f>
        <v>#REF!</v>
      </c>
      <c r="AQ1" t="e">
        <f>P_AGE(AM1)</f>
        <v>#REF!</v>
      </c>
      <c r="AR1" t="e">
        <f>PYEAR_LICENCE_OBTAINED(AM1)</f>
        <v>#REF!</v>
      </c>
      <c r="AT1" t="e">
        <f>AP1</f>
        <v>#REF!</v>
      </c>
      <c r="AU1" t="e">
        <f>AQ1&amp;" years old"</f>
        <v>#REF!</v>
      </c>
      <c r="AV1" t="e">
        <f ca="1">"Licenced to drive for "&amp;YEAR(TODAY())-AR1&amp;" years"</f>
        <v>#REF!</v>
      </c>
      <c r="AW1" t="s">
        <v>0</v>
      </c>
      <c r="AX1" t="s">
        <v>1</v>
      </c>
      <c r="AY1" t="s">
        <v>2</v>
      </c>
    </row>
    <row r="2" spans="2:51">
      <c r="AB2" s="2" t="str">
        <f>'Rate Calculator'!BC17</f>
        <v>P02A193 (2)</v>
      </c>
      <c r="AC2" s="2" t="str">
        <f>'Rate Calculator'!BD17</f>
        <v>V0082161349972 (2)</v>
      </c>
      <c r="AD2" s="2" t="str">
        <f>'Rate Calculator'!BE17</f>
        <v>AU0040-71-935 (2)</v>
      </c>
      <c r="AG2" s="3" t="str">
        <f>'Rate Calculator'!F7</f>
        <v>Theft_Premium</v>
      </c>
      <c r="AM2" t="str">
        <f>IFERROR(VALUE(LEFT(C13,IFERROR(FIND(" ",C13),LEN(C13)+1)-1)),LEFT(C13,IFERROR(FIND(" ",C13),LEN(C13)+1)-1))</f>
        <v>V0908500462562</v>
      </c>
      <c r="AO2" t="e">
        <f>REDBOOKCODE(AM2)</f>
        <v>#REF!</v>
      </c>
      <c r="AP2" t="e">
        <f>TVEHICLELARGE($AO$2,"Vehicle","Make")</f>
        <v>#REF!</v>
      </c>
      <c r="AQ2" t="e">
        <f>TVEHICLELARGE($AO$2,"Vehicle","MakeYear")</f>
        <v>#REF!</v>
      </c>
      <c r="AR2" t="e">
        <f>TYPE_OF_USE(AM2)</f>
        <v>#REF!</v>
      </c>
      <c r="AT2" t="e">
        <f>AP2</f>
        <v>#REF!</v>
      </c>
      <c r="AU2" t="e">
        <f t="shared" ref="AU2" si="0">AQ2</f>
        <v>#REF!</v>
      </c>
      <c r="AV2" t="e">
        <f>"For "&amp;AR2</f>
        <v>#REF!</v>
      </c>
      <c r="AW2" t="s">
        <v>3</v>
      </c>
      <c r="AX2" t="s">
        <v>4</v>
      </c>
      <c r="AY2" t="s">
        <v>5</v>
      </c>
    </row>
    <row r="3" spans="2:51">
      <c r="C3" s="2" t="s">
        <v>3059</v>
      </c>
      <c r="D3" s="2"/>
      <c r="E3" s="2"/>
      <c r="AB3" s="2" t="str">
        <f>'Rate Calculator'!BC18</f>
        <v>P02A520 (3)</v>
      </c>
      <c r="AC3" s="2" t="str">
        <f>'Rate Calculator'!BD18</f>
        <v>V0012258337626 (3)</v>
      </c>
      <c r="AD3" s="2" t="str">
        <f>'Rate Calculator'!BE18</f>
        <v>AU0064-73-998 (3)</v>
      </c>
      <c r="AG3" s="3" t="str">
        <f>'Rate Calculator'!F8</f>
        <v>Hail_Premium</v>
      </c>
      <c r="AM3" t="str">
        <f>IFERROR(VALUE(LEFT(C14,IFERROR(FIND(" ",C14),LEN(C14)+1)-1)),LEFT(C14,IFERROR(FIND(" ",C14),LEN(C14)+1)-1))</f>
        <v>P02A122</v>
      </c>
      <c r="AP3" s="4" t="e">
        <f>KM_PURCHASED(AM3)</f>
        <v>#REF!</v>
      </c>
      <c r="AQ3" t="s">
        <v>6</v>
      </c>
      <c r="AR3" t="s">
        <v>6</v>
      </c>
      <c r="AT3" t="e">
        <f>"For "&amp;TEXT(AP3,"0,000")&amp;" km per year"</f>
        <v>#REF!</v>
      </c>
    </row>
    <row r="4" spans="2:51">
      <c r="C4" s="2" t="s">
        <v>3060</v>
      </c>
      <c r="D4" s="2"/>
      <c r="E4" s="2"/>
      <c r="AB4" s="2" t="str">
        <f>'Rate Calculator'!BC19</f>
        <v>P02A78 (4)</v>
      </c>
      <c r="AC4" s="2" t="str">
        <f>'Rate Calculator'!BD19</f>
        <v>V0166024461183 (4)</v>
      </c>
      <c r="AD4" s="2" t="str">
        <f>'Rate Calculator'!BE19</f>
        <v>AU0090-86-084 (4)</v>
      </c>
      <c r="AG4" s="3" t="str">
        <f>'Rate Calculator'!F9</f>
        <v>Fire_Premium</v>
      </c>
      <c r="AM4" s="5" t="str">
        <f>C15</f>
        <v>Gross Total Premium</v>
      </c>
      <c r="AN4" s="6"/>
      <c r="AO4" s="6"/>
      <c r="AP4" s="6"/>
      <c r="AQ4" s="6"/>
      <c r="AR4" s="6"/>
      <c r="AS4" s="6"/>
      <c r="AT4" s="6"/>
      <c r="AU4" s="6"/>
      <c r="AV4" s="6"/>
    </row>
    <row r="5" spans="2:51">
      <c r="C5" s="2" t="s">
        <v>3061</v>
      </c>
      <c r="D5" s="2"/>
      <c r="E5" s="2"/>
      <c r="AB5" s="2" t="str">
        <f>'Rate Calculator'!BC20</f>
        <v>P02A672 (5)</v>
      </c>
      <c r="AC5" s="2" t="str">
        <f>'Rate Calculator'!BD20</f>
        <v>V0229805826221 (5)</v>
      </c>
      <c r="AD5" s="2" t="str">
        <f>'Rate Calculator'!BE20</f>
        <v>AU0041-09-213 (5)</v>
      </c>
      <c r="AG5" s="3" t="str">
        <f>'Rate Calculator'!F10</f>
        <v>WS_Premium</v>
      </c>
      <c r="AM5" s="6" t="str">
        <f ca="1">IFERROR(tVehicleLE(AM1,AM2,AM3,AM4),"xxx")</f>
        <v>xxx</v>
      </c>
      <c r="AN5" s="6"/>
      <c r="AO5" s="6"/>
      <c r="AP5" s="7">
        <f>IF(ISERROR(AP1),2,IF(AP1=$AM$5,2,1))</f>
        <v>2</v>
      </c>
      <c r="AQ5" s="7">
        <f t="shared" ref="AQ5:AR5" si="1">IF(ISERROR(AQ1),2,IF(AQ1=$AM$5,2,1))</f>
        <v>2</v>
      </c>
      <c r="AR5" s="7">
        <f t="shared" si="1"/>
        <v>2</v>
      </c>
      <c r="AS5" s="6"/>
      <c r="AT5" s="8" t="str">
        <f t="shared" ref="AT5:AV7" si="2">CHOOSE(AP5,AT1,AW1)</f>
        <v>Gender unknown</v>
      </c>
      <c r="AU5" s="8" t="str">
        <f t="shared" si="2"/>
        <v>Age not on record</v>
      </c>
      <c r="AV5" s="8" t="str">
        <f t="shared" si="2"/>
        <v>Licence year not on record</v>
      </c>
    </row>
    <row r="6" spans="2:51">
      <c r="L6" s="9">
        <v>446.62758114559881</v>
      </c>
      <c r="AB6" s="2" t="str">
        <f>'Rate Calculator'!BC21</f>
        <v>P02A406 (6)</v>
      </c>
      <c r="AC6" s="2" t="str">
        <f>'Rate Calculator'!BD21</f>
        <v>V0641594609344 (6)</v>
      </c>
      <c r="AD6" s="2" t="str">
        <f>'Rate Calculator'!BE21</f>
        <v>AU0034-17-662 (6)</v>
      </c>
      <c r="AG6" s="3" t="str">
        <f>'Rate Calculator'!F11</f>
        <v>Net Total Premium</v>
      </c>
      <c r="AM6" s="6"/>
      <c r="AN6" s="6"/>
      <c r="AO6" s="6"/>
      <c r="AP6" s="7">
        <f t="shared" ref="AP6:AR7" si="3">IF(ISERROR(AP2),2,IF(AP2=$AM$5,2,1))</f>
        <v>2</v>
      </c>
      <c r="AQ6" s="7">
        <f t="shared" si="3"/>
        <v>2</v>
      </c>
      <c r="AR6" s="7">
        <f t="shared" si="3"/>
        <v>2</v>
      </c>
      <c r="AS6" s="6"/>
      <c r="AT6" s="8" t="str">
        <f t="shared" si="2"/>
        <v>Model unknown</v>
      </c>
      <c r="AU6" s="8" t="str">
        <f t="shared" si="2"/>
        <v>Year not on record</v>
      </c>
      <c r="AV6" s="8" t="str">
        <f t="shared" si="2"/>
        <v>Use undetermined</v>
      </c>
      <c r="AX6" s="1"/>
    </row>
    <row r="7" spans="2:51">
      <c r="L7" s="9">
        <v>464.78275549879481</v>
      </c>
      <c r="AB7" s="2" t="str">
        <f>'Rate Calculator'!BC22</f>
        <v>P02A307 (7)</v>
      </c>
      <c r="AC7" s="2" t="str">
        <f>'Rate Calculator'!BD22</f>
        <v>V0526249085383 (7)</v>
      </c>
      <c r="AD7" s="2" t="str">
        <f>'Rate Calculator'!BE22</f>
        <v>AU0076-83-088 (7)</v>
      </c>
      <c r="AG7" s="3" t="str">
        <f>'Rate Calculator'!F12</f>
        <v>Gross Total Premium</v>
      </c>
      <c r="AM7" s="6"/>
      <c r="AN7" s="6"/>
      <c r="AO7" s="6"/>
      <c r="AP7" s="7">
        <f t="shared" si="3"/>
        <v>2</v>
      </c>
      <c r="AQ7" s="7">
        <f t="shared" ca="1" si="3"/>
        <v>1</v>
      </c>
      <c r="AR7" s="7">
        <f t="shared" ca="1" si="3"/>
        <v>1</v>
      </c>
      <c r="AS7" s="6"/>
      <c r="AT7" s="8">
        <f t="shared" si="2"/>
        <v>0</v>
      </c>
      <c r="AU7" s="8">
        <f t="shared" ca="1" si="2"/>
        <v>0</v>
      </c>
      <c r="AV7" s="8">
        <f t="shared" ca="1" si="2"/>
        <v>0</v>
      </c>
      <c r="AW7" s="10"/>
      <c r="AX7" s="11"/>
    </row>
    <row r="8" spans="2:51">
      <c r="L8" s="9">
        <v>599.62973266256176</v>
      </c>
      <c r="AB8" s="2" t="str">
        <f>'Rate Calculator'!BC23</f>
        <v>P02A213 (8)</v>
      </c>
      <c r="AC8" s="2" t="str">
        <f>'Rate Calculator'!BD23</f>
        <v>V0131067247526 (8)</v>
      </c>
      <c r="AD8" s="2" t="str">
        <f>'Rate Calculator'!BE23</f>
        <v>AU0080-27-610 (8)</v>
      </c>
      <c r="AG8" s="3"/>
      <c r="AT8" s="6"/>
      <c r="AU8" s="6"/>
      <c r="AV8" s="6"/>
      <c r="AW8" s="10"/>
      <c r="AX8" s="11"/>
    </row>
    <row r="9" spans="2:51">
      <c r="L9" s="9">
        <v>502.99132946769998</v>
      </c>
      <c r="AB9" s="2" t="str">
        <f>'Rate Calculator'!BC24</f>
        <v>P02A913 (9)</v>
      </c>
      <c r="AC9" s="2" t="str">
        <f>'Rate Calculator'!BD24</f>
        <v>V0052456517593 (9)</v>
      </c>
      <c r="AD9" s="2" t="str">
        <f>'Rate Calculator'!BE24</f>
        <v>AU0018-77-519 (9)</v>
      </c>
      <c r="AG9" s="3"/>
    </row>
    <row r="10" spans="2:51">
      <c r="L10" s="9">
        <v>1286.7333692421553</v>
      </c>
      <c r="AB10" s="2" t="str">
        <f>'Rate Calculator'!BC25</f>
        <v>P02A541 (10)</v>
      </c>
      <c r="AC10" s="2" t="str">
        <f>'Rate Calculator'!BD25</f>
        <v>V0843992493105 (10)</v>
      </c>
      <c r="AD10" s="2" t="str">
        <f>'Rate Calculator'!BE25</f>
        <v>AU0032-30-167 (10)</v>
      </c>
      <c r="AG10" s="3"/>
    </row>
    <row r="11" spans="2:51">
      <c r="L11" s="9">
        <v>522.81363796857534</v>
      </c>
      <c r="AB11" s="2" t="str">
        <f>'Rate Calculator'!BC26</f>
        <v>P02A313 (11)</v>
      </c>
      <c r="AC11" s="2" t="str">
        <f>'Rate Calculator'!BD26</f>
        <v>V0240487404467 (11)</v>
      </c>
      <c r="AD11" s="2" t="str">
        <f>'Rate Calculator'!BE26</f>
        <v>AU0013-35-482 (11)</v>
      </c>
    </row>
    <row r="12" spans="2:51">
      <c r="B12" s="12" t="s">
        <v>7</v>
      </c>
      <c r="C12" s="13" t="s">
        <v>3062</v>
      </c>
      <c r="D12" s="843" t="e">
        <f>PYDPREMIUMCALCULATOR(C12,C13,C14,C15)</f>
        <v>#N/A</v>
      </c>
      <c r="F12" s="846" t="str">
        <f>CONCATENATE(AT5,", ",AU5,", ",AV5,".")</f>
        <v>Gender unknown, Age not on record, Licence year not on record.</v>
      </c>
      <c r="G12" s="846"/>
      <c r="H12" s="846"/>
      <c r="I12" s="846"/>
      <c r="J12" s="846"/>
      <c r="K12" s="846"/>
      <c r="L12" s="9">
        <v>703.43454927709899</v>
      </c>
      <c r="AB12" s="2" t="str">
        <f>'Rate Calculator'!BC27</f>
        <v>P02A524 (12)</v>
      </c>
      <c r="AC12" s="2" t="str">
        <f>'Rate Calculator'!BD27</f>
        <v>V0449651536981 (12)</v>
      </c>
      <c r="AD12" s="2" t="str">
        <f>'Rate Calculator'!BE27</f>
        <v>AU0091-02-077 (12)</v>
      </c>
    </row>
    <row r="13" spans="2:51">
      <c r="B13" s="14" t="s">
        <v>9</v>
      </c>
      <c r="C13" s="15" t="s">
        <v>18</v>
      </c>
      <c r="D13" s="844"/>
      <c r="F13" s="846" t="str">
        <f>CONCATENATE(AT6,", ",AU6,", ",AV6,".")</f>
        <v>Model unknown, Year not on record, Use undetermined.</v>
      </c>
      <c r="G13" s="846"/>
      <c r="H13" s="846"/>
      <c r="I13" s="846"/>
      <c r="J13" s="846"/>
      <c r="K13" s="846"/>
      <c r="L13" s="9">
        <v>655.86575555542879</v>
      </c>
      <c r="AB13" s="2" t="str">
        <f>'Rate Calculator'!BC28</f>
        <v>P02A962 (13)</v>
      </c>
      <c r="AC13" s="2" t="str">
        <f>'Rate Calculator'!BD28</f>
        <v>V0437925819217 (13)</v>
      </c>
      <c r="AD13" s="2" t="str">
        <f>'Rate Calculator'!BE28</f>
        <v>AU0069-10-404 (13)</v>
      </c>
    </row>
    <row r="14" spans="2:51">
      <c r="B14" s="14" t="s">
        <v>10</v>
      </c>
      <c r="C14" s="15" t="s">
        <v>13</v>
      </c>
      <c r="D14" s="844"/>
      <c r="F14" s="846" t="str">
        <f>CONCATENATE(AT7,".")</f>
        <v>0.</v>
      </c>
      <c r="G14" s="846"/>
      <c r="H14" s="846"/>
      <c r="I14" s="846"/>
      <c r="J14" s="846"/>
      <c r="K14" s="846"/>
      <c r="L14" s="9">
        <v>475.35830906477611</v>
      </c>
      <c r="AB14" s="2" t="str">
        <f>'Rate Calculator'!BC29</f>
        <v>P02A5 (14)</v>
      </c>
      <c r="AC14" s="2" t="str">
        <f>'Rate Calculator'!BD29</f>
        <v>V0001841589799 (14)</v>
      </c>
      <c r="AD14" s="2" t="str">
        <f>'Rate Calculator'!BE29</f>
        <v>AU0037-70-659 (14)</v>
      </c>
    </row>
    <row r="15" spans="2:51">
      <c r="B15" s="16" t="s">
        <v>11</v>
      </c>
      <c r="C15" s="17" t="s">
        <v>12</v>
      </c>
      <c r="D15" s="845"/>
      <c r="E15" s="18"/>
      <c r="F15" s="5"/>
      <c r="G15" s="5"/>
      <c r="H15" s="5"/>
      <c r="I15" s="5"/>
      <c r="J15" s="5"/>
      <c r="K15" s="5"/>
      <c r="L15" s="9">
        <v>429.92632869816617</v>
      </c>
      <c r="AB15" s="2" t="str">
        <f>'Rate Calculator'!BC30</f>
        <v>P02A418 (15)</v>
      </c>
      <c r="AC15" s="2" t="str">
        <f>'Rate Calculator'!BD30</f>
        <v>V0449452567396 (15)</v>
      </c>
      <c r="AD15" s="2" t="str">
        <f>'Rate Calculator'!BE30</f>
        <v>AU0017-23-924 (15)</v>
      </c>
    </row>
    <row r="16" spans="2:51">
      <c r="D16" s="19"/>
      <c r="E16" s="6"/>
      <c r="F16" s="6"/>
      <c r="G16" s="6"/>
      <c r="H16" s="6"/>
      <c r="I16" s="20"/>
      <c r="J16" s="20"/>
      <c r="K16" s="20"/>
      <c r="L16" s="9">
        <v>610.22270224899262</v>
      </c>
      <c r="AB16" s="2" t="str">
        <f>'Rate Calculator'!BC31</f>
        <v>P02A919 (16)</v>
      </c>
      <c r="AC16" s="2" t="str">
        <f>'Rate Calculator'!BD31</f>
        <v>V0668046582644 (16)</v>
      </c>
      <c r="AD16" s="2" t="str">
        <f>'Rate Calculator'!BE31</f>
        <v>AU0005-72-558 (16)</v>
      </c>
    </row>
    <row r="17" spans="2:31">
      <c r="D17" s="19"/>
      <c r="E17" s="6"/>
      <c r="F17" s="6"/>
      <c r="G17" s="6"/>
      <c r="H17" s="6"/>
      <c r="I17" s="20"/>
      <c r="J17" s="20"/>
      <c r="K17" s="20"/>
      <c r="L17" s="9">
        <v>578.51626090668799</v>
      </c>
      <c r="AB17" s="2" t="str">
        <f>'Rate Calculator'!BC32</f>
        <v>P02A939 (17)</v>
      </c>
      <c r="AC17" s="2" t="str">
        <f>'Rate Calculator'!BD32</f>
        <v>V0091600047373 (17)</v>
      </c>
      <c r="AD17" s="2" t="str">
        <f>'Rate Calculator'!BE32</f>
        <v>AU0073-15-081 (17)</v>
      </c>
    </row>
    <row r="18" spans="2:31">
      <c r="D18" s="19"/>
      <c r="E18" s="6"/>
      <c r="F18" s="6"/>
      <c r="G18" s="6"/>
      <c r="H18" s="6"/>
      <c r="I18" s="20"/>
      <c r="J18" s="20"/>
      <c r="K18" s="20"/>
      <c r="AB18" s="2" t="str">
        <f>'Rate Calculator'!BC33</f>
        <v>P02A759 (18)</v>
      </c>
      <c r="AC18" s="2" t="str">
        <f>'Rate Calculator'!BD33</f>
        <v>V0969581287555 (18)</v>
      </c>
      <c r="AD18" s="2" t="str">
        <f>'Rate Calculator'!BE33</f>
        <v>AU0095-71-002 (18)</v>
      </c>
    </row>
    <row r="19" spans="2:31">
      <c r="AB19" s="2" t="str">
        <f>'Rate Calculator'!BC34</f>
        <v>P02A652 (19)</v>
      </c>
      <c r="AC19" s="2" t="str">
        <f>'Rate Calculator'!BD34</f>
        <v>V0556927082685 (19)</v>
      </c>
      <c r="AD19" s="2" t="str">
        <f>'Rate Calculator'!BE34</f>
        <v>AU0001-41-990 (19)</v>
      </c>
    </row>
    <row r="20" spans="2:31">
      <c r="B20" s="12" t="s">
        <v>10</v>
      </c>
      <c r="C20" s="21" t="s">
        <v>13</v>
      </c>
      <c r="D20" s="834" t="s">
        <v>7</v>
      </c>
      <c r="E20" s="835"/>
      <c r="F20" s="835"/>
      <c r="G20" s="835"/>
      <c r="H20" s="836"/>
      <c r="I20" s="22"/>
      <c r="J20" s="22"/>
      <c r="K20" s="22"/>
      <c r="T20" s="1"/>
      <c r="U20" s="1"/>
      <c r="V20" s="1"/>
      <c r="W20" s="1"/>
      <c r="AB20" s="2" t="str">
        <f>'Rate Calculator'!BC35</f>
        <v>P02A355 (20)</v>
      </c>
      <c r="AC20" s="2" t="str">
        <f>'Rate Calculator'!BD35</f>
        <v>V0857732443663 (20)</v>
      </c>
      <c r="AD20" s="2" t="str">
        <f>'Rate Calculator'!BE35</f>
        <v>AU0064-92-818 (20)</v>
      </c>
    </row>
    <row r="21" spans="2:31">
      <c r="B21" s="14" t="s">
        <v>11</v>
      </c>
      <c r="C21" s="23" t="s">
        <v>12</v>
      </c>
      <c r="D21" s="837"/>
      <c r="E21" s="838"/>
      <c r="F21" s="838"/>
      <c r="G21" s="838"/>
      <c r="H21" s="839"/>
      <c r="I21" s="22"/>
      <c r="J21" s="22"/>
      <c r="K21" s="22"/>
      <c r="T21" s="1"/>
      <c r="U21" s="1"/>
      <c r="V21" s="1"/>
      <c r="W21" s="1"/>
      <c r="AB21" s="2" t="str">
        <f>'Rate Calculator'!BC36</f>
        <v>P02A519 (21)</v>
      </c>
      <c r="AC21" s="2" t="str">
        <f>'Rate Calculator'!BD36</f>
        <v>V0387894152869 (21)</v>
      </c>
      <c r="AD21" s="2" t="str">
        <f>'Rate Calculator'!BE36</f>
        <v>AU0057-69-282 (21)</v>
      </c>
    </row>
    <row r="22" spans="2:31" s="29" customFormat="1" ht="85.5">
      <c r="B22" s="24"/>
      <c r="C22" s="25"/>
      <c r="D22" s="26" t="s">
        <v>15</v>
      </c>
      <c r="E22" s="26" t="s">
        <v>16</v>
      </c>
      <c r="F22" s="26" t="s">
        <v>8</v>
      </c>
      <c r="G22" s="26" t="s">
        <v>17</v>
      </c>
      <c r="H22" s="27" t="s">
        <v>3057</v>
      </c>
      <c r="I22" s="28"/>
      <c r="J22" s="28"/>
      <c r="K22" s="28"/>
      <c r="M22" s="30"/>
      <c r="N22"/>
      <c r="O22" s="30"/>
      <c r="P22" s="30"/>
      <c r="Q22" s="30"/>
      <c r="R22" s="30"/>
      <c r="S22" s="30"/>
      <c r="T22" s="30"/>
      <c r="U22" s="30"/>
      <c r="V22" s="30"/>
      <c r="AB22" s="2" t="str">
        <f>'Rate Calculator'!BC37</f>
        <v>P02A459 (22)</v>
      </c>
      <c r="AC22" s="2" t="str">
        <f>'Rate Calculator'!BD37</f>
        <v>V0604791123472 (22)</v>
      </c>
      <c r="AD22" s="2" t="str">
        <f>'Rate Calculator'!BE37</f>
        <v>AU0024-00-416 (22)</v>
      </c>
      <c r="AE22" s="2"/>
    </row>
    <row r="23" spans="2:31">
      <c r="B23" s="840" t="s">
        <v>9</v>
      </c>
      <c r="C23" s="15" t="s">
        <v>18</v>
      </c>
      <c r="D23" s="31" t="e">
        <f t="array" ref="D23:H23">PYDPREMIUMCALCULATOR($D$22:$H$22,C23,$C$20,$C$21)</f>
        <v>#N/A</v>
      </c>
      <c r="E23" s="9" t="e">
        <v>#N/A</v>
      </c>
      <c r="F23" s="9" t="e">
        <v>#N/A</v>
      </c>
      <c r="G23" s="9" t="e">
        <v>#N/A</v>
      </c>
      <c r="H23" s="32" t="e">
        <v>#N/A</v>
      </c>
      <c r="I23" s="33"/>
      <c r="J23" s="33"/>
      <c r="K23" s="33"/>
      <c r="L23" s="6"/>
      <c r="M23" s="6"/>
      <c r="O23" s="6"/>
      <c r="P23" s="6"/>
      <c r="Q23" s="6"/>
      <c r="R23" s="6"/>
      <c r="S23" s="6"/>
      <c r="T23" s="6"/>
      <c r="U23" s="6"/>
      <c r="AB23" s="2" t="str">
        <f>'Rate Calculator'!BC38</f>
        <v>P02A477 (23)</v>
      </c>
      <c r="AC23" s="2" t="str">
        <f>'Rate Calculator'!BD38</f>
        <v>V0318270395624 (23)</v>
      </c>
      <c r="AD23" s="2" t="str">
        <f>'Rate Calculator'!BE38</f>
        <v>AU0020-63-787 (23)</v>
      </c>
    </row>
    <row r="24" spans="2:31">
      <c r="B24" s="840"/>
      <c r="C24" s="15" t="s">
        <v>19</v>
      </c>
      <c r="D24" s="31" t="e">
        <f t="array" ref="D24:H24">PYDPREMIUMCALCULATOR($D$22:$H$22,C24,$C$20,$C$21)</f>
        <v>#N/A</v>
      </c>
      <c r="E24" s="9" t="e">
        <v>#N/A</v>
      </c>
      <c r="F24" s="9" t="e">
        <v>#N/A</v>
      </c>
      <c r="G24" s="9" t="e">
        <v>#N/A</v>
      </c>
      <c r="H24" s="32" t="e">
        <v>#N/A</v>
      </c>
      <c r="I24" s="33"/>
      <c r="J24" s="33"/>
      <c r="K24" s="33"/>
      <c r="L24" s="6"/>
      <c r="M24" s="6"/>
      <c r="O24" s="6"/>
      <c r="P24" s="6"/>
      <c r="Q24" s="6"/>
      <c r="R24" s="6"/>
      <c r="S24" s="6"/>
      <c r="AB24" s="2" t="str">
        <f>'Rate Calculator'!BC39</f>
        <v>P02A698 (24)</v>
      </c>
      <c r="AC24" s="2" t="str">
        <f>'Rate Calculator'!BD39</f>
        <v>V0308977008021 (24)</v>
      </c>
      <c r="AD24" s="2" t="str">
        <f>'Rate Calculator'!BE39</f>
        <v>AU0059-65-649 (24)</v>
      </c>
    </row>
    <row r="25" spans="2:31">
      <c r="B25" s="840"/>
      <c r="C25" s="15" t="s">
        <v>20</v>
      </c>
      <c r="D25" s="31" t="e">
        <f t="array" ref="D25:H25">PYDPREMIUMCALCULATOR($D$22:$H$22,C25,$C$20,$C$21)</f>
        <v>#N/A</v>
      </c>
      <c r="E25" s="9" t="e">
        <v>#N/A</v>
      </c>
      <c r="F25" s="9" t="e">
        <v>#N/A</v>
      </c>
      <c r="G25" s="9" t="e">
        <v>#N/A</v>
      </c>
      <c r="H25" s="32" t="e">
        <v>#N/A</v>
      </c>
      <c r="I25" s="33"/>
      <c r="J25" s="33"/>
      <c r="K25" s="33"/>
      <c r="L25" s="6"/>
      <c r="M25" s="6"/>
      <c r="O25" s="6"/>
      <c r="P25" s="6"/>
      <c r="Q25" s="6"/>
      <c r="R25" s="6"/>
      <c r="S25" s="6"/>
      <c r="AB25" s="2" t="str">
        <f>'Rate Calculator'!BC40</f>
        <v>P02A30 (25)</v>
      </c>
      <c r="AC25" s="2" t="str">
        <f>'Rate Calculator'!BD40</f>
        <v>V0085538400085 (25)</v>
      </c>
      <c r="AD25" s="2" t="str">
        <f>'Rate Calculator'!BE40</f>
        <v>AU0011-15-889 (25)</v>
      </c>
    </row>
    <row r="26" spans="2:31">
      <c r="B26" s="841"/>
      <c r="C26" s="17" t="s">
        <v>21</v>
      </c>
      <c r="D26" s="34" t="e">
        <f t="array" ref="D26:H26">PYDPREMIUMCALCULATOR($D$22:$H$22,C26,$C$20,$C$21)</f>
        <v>#N/A</v>
      </c>
      <c r="E26" s="35" t="e">
        <v>#N/A</v>
      </c>
      <c r="F26" s="35" t="e">
        <v>#N/A</v>
      </c>
      <c r="G26" s="35" t="e">
        <v>#N/A</v>
      </c>
      <c r="H26" s="36" t="e">
        <v>#N/A</v>
      </c>
      <c r="I26" s="33"/>
      <c r="J26" s="33"/>
      <c r="K26" s="33"/>
      <c r="L26" s="6"/>
      <c r="M26" s="6"/>
      <c r="O26" s="6"/>
      <c r="P26" s="6"/>
      <c r="Q26" s="6"/>
      <c r="R26" s="6"/>
      <c r="S26" s="6"/>
      <c r="AB26" s="2" t="str">
        <f>'Rate Calculator'!BC41</f>
        <v>P02A815 (26)</v>
      </c>
      <c r="AC26" s="2" t="str">
        <f>'Rate Calculator'!BD41</f>
        <v>V0934556209188 (26)</v>
      </c>
      <c r="AD26" s="2" t="str">
        <f>'Rate Calculator'!BE41</f>
        <v>AU0060-82-164 (26)</v>
      </c>
    </row>
    <row r="27" spans="2:31">
      <c r="F27" s="6"/>
      <c r="G27" s="6"/>
      <c r="H27" s="6"/>
      <c r="I27" s="20"/>
      <c r="J27" s="20"/>
      <c r="K27" s="20"/>
      <c r="L27" s="6"/>
      <c r="M27" s="6"/>
      <c r="N27" s="6"/>
      <c r="O27" s="6"/>
      <c r="P27" s="6"/>
      <c r="Q27" s="6"/>
      <c r="R27" s="6"/>
      <c r="S27" s="6"/>
      <c r="T27" s="7"/>
      <c r="U27" s="7"/>
      <c r="V27" s="7"/>
      <c r="AB27" s="2" t="str">
        <f>'Rate Calculator'!BC42</f>
        <v>P02A451 (27)</v>
      </c>
      <c r="AC27" s="2" t="str">
        <f>'Rate Calculator'!BD42</f>
        <v>V0613562813408 (27)</v>
      </c>
      <c r="AD27" s="2" t="str">
        <f>'Rate Calculator'!BE42</f>
        <v>AU0029-58-377 (27)</v>
      </c>
    </row>
    <row r="28" spans="2:31">
      <c r="AB28" s="2" t="str">
        <f>'Rate Calculator'!BC43</f>
        <v>P02A125 (28)</v>
      </c>
      <c r="AC28" s="2" t="str">
        <f>'Rate Calculator'!BD43</f>
        <v>V0198387713101 (28)</v>
      </c>
      <c r="AD28" s="2" t="str">
        <f>'Rate Calculator'!BE43</f>
        <v>AU0018-26-738 (28)</v>
      </c>
    </row>
    <row r="29" spans="2:31">
      <c r="AB29" s="2" t="str">
        <f>'Rate Calculator'!BC40</f>
        <v>P02A30 (25)</v>
      </c>
      <c r="AC29" s="2" t="str">
        <f>'Rate Calculator'!BD40</f>
        <v>V0085538400085 (25)</v>
      </c>
      <c r="AD29" s="2" t="str">
        <f>'Rate Calculator'!BE40</f>
        <v>AU0011-15-889 (25)</v>
      </c>
    </row>
    <row r="30" spans="2:31">
      <c r="B30" s="12" t="s">
        <v>10</v>
      </c>
      <c r="C30" s="21" t="s">
        <v>13</v>
      </c>
      <c r="D30" s="834" t="s">
        <v>11</v>
      </c>
      <c r="E30" s="835"/>
      <c r="F30" s="835"/>
      <c r="G30" s="835"/>
      <c r="H30" s="836"/>
      <c r="I30" s="22"/>
      <c r="J30" s="22"/>
      <c r="K30" s="22"/>
      <c r="AB30" s="2" t="str">
        <f>'Rate Calculator'!BC41</f>
        <v>P02A815 (26)</v>
      </c>
      <c r="AC30" s="2" t="str">
        <f>'Rate Calculator'!BD41</f>
        <v>V0934556209188 (26)</v>
      </c>
      <c r="AD30" s="2" t="str">
        <f>'Rate Calculator'!BE41</f>
        <v>AU0060-82-164 (26)</v>
      </c>
    </row>
    <row r="31" spans="2:31">
      <c r="B31" s="14" t="s">
        <v>7</v>
      </c>
      <c r="C31" s="37" t="s">
        <v>22</v>
      </c>
      <c r="D31" s="837"/>
      <c r="E31" s="838"/>
      <c r="F31" s="838"/>
      <c r="G31" s="838"/>
      <c r="H31" s="839"/>
      <c r="I31" s="22"/>
      <c r="J31" s="22"/>
      <c r="K31" s="22"/>
      <c r="AB31" s="2" t="str">
        <f>'Rate Calculator'!BC42</f>
        <v>P02A451 (27)</v>
      </c>
      <c r="AC31" s="2" t="str">
        <f>'Rate Calculator'!BD42</f>
        <v>V0613562813408 (27)</v>
      </c>
      <c r="AD31" s="2" t="str">
        <f>'Rate Calculator'!BE42</f>
        <v>AU0029-58-377 (27)</v>
      </c>
    </row>
    <row r="32" spans="2:31" s="43" customFormat="1" ht="23.25">
      <c r="B32" s="38"/>
      <c r="C32" s="39"/>
      <c r="D32" s="40" t="s">
        <v>23</v>
      </c>
      <c r="E32" s="40" t="s">
        <v>24</v>
      </c>
      <c r="F32" s="40" t="s">
        <v>24</v>
      </c>
      <c r="G32" s="40" t="s">
        <v>25</v>
      </c>
      <c r="H32" s="41" t="s">
        <v>26</v>
      </c>
      <c r="I32" s="42"/>
      <c r="J32" s="42"/>
      <c r="K32" s="42"/>
      <c r="M32" s="44"/>
      <c r="AB32" s="2" t="str">
        <f>'Rate Calculator'!BC43</f>
        <v>P02A125 (28)</v>
      </c>
      <c r="AC32" s="2" t="str">
        <f>'Rate Calculator'!BD43</f>
        <v>V0198387713101 (28)</v>
      </c>
      <c r="AD32" s="2" t="str">
        <f>'Rate Calculator'!BE43</f>
        <v>AU0018-26-738 (28)</v>
      </c>
      <c r="AE32" s="2"/>
    </row>
    <row r="33" spans="2:30">
      <c r="B33" s="840" t="s">
        <v>9</v>
      </c>
      <c r="C33" s="15" t="s">
        <v>27</v>
      </c>
      <c r="D33" s="9" t="e">
        <f t="array" ref="D33:H33">PYDPREMIUMCALCULATOR($C$31,C33,$C$30,$D$32:$H$32)</f>
        <v>#N/A</v>
      </c>
      <c r="E33" s="9" t="e">
        <v>#N/A</v>
      </c>
      <c r="F33" s="9" t="e">
        <v>#N/A</v>
      </c>
      <c r="G33" s="9" t="e">
        <v>#N/A</v>
      </c>
      <c r="H33" s="32" t="e">
        <v>#N/A</v>
      </c>
      <c r="I33" s="33"/>
      <c r="J33" s="33"/>
      <c r="K33" s="33"/>
      <c r="AB33" s="2" t="str">
        <f>'Rate Calculator'!BC44</f>
        <v>P02A10 (29)</v>
      </c>
      <c r="AC33" s="2" t="str">
        <f>'Rate Calculator'!BD44</f>
        <v>V0913753312091 (29)</v>
      </c>
      <c r="AD33" s="2" t="str">
        <f>'Rate Calculator'!BE44</f>
        <v>AU0075-29-917 (29)</v>
      </c>
    </row>
    <row r="34" spans="2:30">
      <c r="B34" s="840"/>
      <c r="C34" s="15" t="s">
        <v>28</v>
      </c>
      <c r="D34" s="9" t="e">
        <f t="array" ref="D34:H34">PYDPREMIUMCALCULATOR($C$31,C34,$C$30,$D$32:$H$32)</f>
        <v>#N/A</v>
      </c>
      <c r="E34" s="9" t="e">
        <v>#N/A</v>
      </c>
      <c r="F34" s="9" t="e">
        <v>#N/A</v>
      </c>
      <c r="G34" s="9" t="e">
        <v>#N/A</v>
      </c>
      <c r="H34" s="32" t="e">
        <v>#N/A</v>
      </c>
      <c r="I34" s="33"/>
      <c r="J34" s="33"/>
      <c r="K34" s="33"/>
      <c r="AB34" s="2" t="str">
        <f>'Rate Calculator'!BC45</f>
        <v>P02A62 (30)</v>
      </c>
      <c r="AC34" s="2" t="str">
        <f>'Rate Calculator'!BD45</f>
        <v>V0868645657521 (30)</v>
      </c>
      <c r="AD34" s="2" t="str">
        <f>'Rate Calculator'!BE45</f>
        <v>AU0037-22-480 (30)</v>
      </c>
    </row>
    <row r="35" spans="2:30">
      <c r="B35" s="840"/>
      <c r="C35" s="15" t="s">
        <v>29</v>
      </c>
      <c r="D35" s="9" t="e">
        <f t="array" ref="D35:H35">PYDPREMIUMCALCULATOR($C$31,C35,$C$30,$D$32:$H$32)</f>
        <v>#N/A</v>
      </c>
      <c r="E35" s="9" t="e">
        <v>#N/A</v>
      </c>
      <c r="F35" s="9" t="e">
        <v>#N/A</v>
      </c>
      <c r="G35" s="9" t="e">
        <v>#N/A</v>
      </c>
      <c r="H35" s="32" t="e">
        <v>#N/A</v>
      </c>
      <c r="I35" s="33"/>
      <c r="J35" s="33"/>
      <c r="K35" s="33"/>
      <c r="AB35" s="2" t="str">
        <f>'Rate Calculator'!BC46</f>
        <v>P02A239 (31)</v>
      </c>
      <c r="AC35" s="2" t="str">
        <f>'Rate Calculator'!BD46</f>
        <v>V0603488484636 (31)</v>
      </c>
      <c r="AD35" s="2" t="str">
        <f>'Rate Calculator'!BE46</f>
        <v>AU0083-70-903 (31)</v>
      </c>
    </row>
    <row r="36" spans="2:30">
      <c r="B36" s="841"/>
      <c r="C36" s="17" t="s">
        <v>30</v>
      </c>
      <c r="D36" s="35" t="e">
        <f t="array" ref="D36:H36">PYDPREMIUMCALCULATOR($C$31,C36,$C$30,$D$32:$H$32)</f>
        <v>#N/A</v>
      </c>
      <c r="E36" s="35" t="e">
        <v>#N/A</v>
      </c>
      <c r="F36" s="35" t="e">
        <v>#N/A</v>
      </c>
      <c r="G36" s="35" t="e">
        <v>#N/A</v>
      </c>
      <c r="H36" s="36" t="e">
        <v>#N/A</v>
      </c>
      <c r="I36" s="33"/>
      <c r="J36" s="33"/>
      <c r="K36" s="33"/>
      <c r="AB36" s="2" t="str">
        <f>'Rate Calculator'!BC47</f>
        <v>P02A657 (32)</v>
      </c>
      <c r="AC36" s="2" t="str">
        <f>'Rate Calculator'!BD47</f>
        <v>V0245542249213 (32)</v>
      </c>
      <c r="AD36" s="2" t="str">
        <f>'Rate Calculator'!BE47</f>
        <v>AU0016-68-246 (32)</v>
      </c>
    </row>
    <row r="37" spans="2:30">
      <c r="AB37" s="2" t="str">
        <f>'Rate Calculator'!BC48</f>
        <v>P02A990 (33)</v>
      </c>
      <c r="AC37" s="2" t="str">
        <f>'Rate Calculator'!BD48</f>
        <v>V0628256039725 (33)</v>
      </c>
      <c r="AD37" s="2" t="str">
        <f>'Rate Calculator'!BE48</f>
        <v>AU0051-84-542 (33)</v>
      </c>
    </row>
    <row r="38" spans="2:30">
      <c r="AB38" s="2" t="str">
        <f>'Rate Calculator'!BC49</f>
        <v>P02A379 (34)</v>
      </c>
      <c r="AC38" s="2" t="str">
        <f>'Rate Calculator'!BD49</f>
        <v>V0366632946368 (34)</v>
      </c>
      <c r="AD38" s="2" t="str">
        <f>'Rate Calculator'!BE49</f>
        <v>AU0096-87-145 (34)</v>
      </c>
    </row>
    <row r="39" spans="2:30">
      <c r="AB39" s="2" t="str">
        <f>'Rate Calculator'!BC50</f>
        <v>P02A771 (35)</v>
      </c>
      <c r="AC39" s="2" t="str">
        <f>'Rate Calculator'!BD50</f>
        <v>V0426863967307 (35)</v>
      </c>
      <c r="AD39" s="2" t="str">
        <f>'Rate Calculator'!BE50</f>
        <v>AU0069-20-153 (35)</v>
      </c>
    </row>
    <row r="40" spans="2:30">
      <c r="AB40" s="2" t="str">
        <f>'Rate Calculator'!BC51</f>
        <v>P02A116 (36)</v>
      </c>
      <c r="AC40" s="2" t="str">
        <f>'Rate Calculator'!BD51</f>
        <v>V0350986405526 (36)</v>
      </c>
      <c r="AD40" s="2" t="str">
        <f>'Rate Calculator'!BE51</f>
        <v>AU0072-64-745 (36)</v>
      </c>
    </row>
    <row r="41" spans="2:30">
      <c r="AB41" s="2" t="str">
        <f>'Rate Calculator'!BC52</f>
        <v>P02A298 (37)</v>
      </c>
      <c r="AC41" s="2" t="str">
        <f>'Rate Calculator'!BD52</f>
        <v>V0150584067342 (37)</v>
      </c>
      <c r="AD41" s="2" t="str">
        <f>'Rate Calculator'!BE52</f>
        <v>AU0037-74-652 (37)</v>
      </c>
    </row>
    <row r="42" spans="2:30">
      <c r="AB42" s="2" t="str">
        <f>'Rate Calculator'!BC53</f>
        <v>P02A238 (38)</v>
      </c>
      <c r="AC42" s="2" t="str">
        <f>'Rate Calculator'!BD53</f>
        <v>V0231627625969 (38)</v>
      </c>
      <c r="AD42" s="2" t="str">
        <f>'Rate Calculator'!BE53</f>
        <v>AU0061-82-909 (38)</v>
      </c>
    </row>
    <row r="43" spans="2:30">
      <c r="AB43" s="2" t="str">
        <f>'Rate Calculator'!BC54</f>
        <v>P02A430 (39)</v>
      </c>
      <c r="AC43" s="2" t="str">
        <f>'Rate Calculator'!BD54</f>
        <v>V0022057089819 (39)</v>
      </c>
      <c r="AD43" s="2" t="str">
        <f>'Rate Calculator'!BE54</f>
        <v>AU0083-26-683 (39)</v>
      </c>
    </row>
    <row r="44" spans="2:30">
      <c r="AB44" s="2" t="str">
        <f>'Rate Calculator'!BC55</f>
        <v>P02A678 (40)</v>
      </c>
      <c r="AC44" s="2" t="str">
        <f>'Rate Calculator'!BD55</f>
        <v>V0469916190286 (40)</v>
      </c>
      <c r="AD44" s="2" t="str">
        <f>'Rate Calculator'!BE55</f>
        <v>AU0033-68-718 (40)</v>
      </c>
    </row>
    <row r="45" spans="2:30">
      <c r="B45" s="45"/>
      <c r="C45" s="46"/>
      <c r="D45" s="46"/>
      <c r="E45" s="46"/>
      <c r="F45" s="46"/>
      <c r="G45" s="46"/>
      <c r="H45" s="46"/>
      <c r="I45" s="47"/>
      <c r="J45" s="47"/>
      <c r="K45" s="47"/>
      <c r="L45" s="46"/>
      <c r="M45" s="48"/>
      <c r="AB45" s="2" t="str">
        <f>'Rate Calculator'!BC56</f>
        <v>P02A295 (41)</v>
      </c>
      <c r="AC45" s="2" t="str">
        <f>'Rate Calculator'!BD56</f>
        <v>V0133881577941 (41)</v>
      </c>
      <c r="AD45" s="2" t="str">
        <f>'Rate Calculator'!BE56</f>
        <v>AU0016-35-734 (41)</v>
      </c>
    </row>
    <row r="46" spans="2:30">
      <c r="B46" s="49"/>
      <c r="C46" s="50"/>
      <c r="D46" s="50"/>
      <c r="E46" s="50"/>
      <c r="F46" s="50"/>
      <c r="G46" s="50"/>
      <c r="H46" s="50"/>
      <c r="I46" s="51"/>
      <c r="J46" s="51"/>
      <c r="K46" s="51"/>
      <c r="L46" s="50"/>
      <c r="M46" s="52"/>
      <c r="AB46" s="2" t="str">
        <f>'Rate Calculator'!BC57</f>
        <v>P02A18 (42)</v>
      </c>
      <c r="AC46" s="2" t="str">
        <f>'Rate Calculator'!BD57</f>
        <v>V0456308073774 (42)</v>
      </c>
      <c r="AD46" s="2" t="str">
        <f>'Rate Calculator'!BE57</f>
        <v>AU0058-92-904 (42)</v>
      </c>
    </row>
    <row r="47" spans="2:30">
      <c r="B47" s="49"/>
      <c r="C47" s="50" t="s">
        <v>9</v>
      </c>
      <c r="D47" s="50">
        <v>495</v>
      </c>
      <c r="E47" s="842" t="e">
        <f>TEXTRASLE(EXTRA_ID(H48),"ExtraTypeDesc")</f>
        <v>#REF!</v>
      </c>
      <c r="F47" s="50"/>
      <c r="G47" s="50"/>
      <c r="H47" s="53" t="str">
        <f>VEHICLE(D47)</f>
        <v>VEHICLE</v>
      </c>
      <c r="I47" s="51"/>
      <c r="J47" s="51"/>
      <c r="K47" s="51"/>
      <c r="L47" s="50"/>
      <c r="M47" s="52"/>
      <c r="AB47" s="2" t="str">
        <f>'Rate Calculator'!BC58</f>
        <v>P02A257 (43)</v>
      </c>
      <c r="AC47" s="2" t="str">
        <f>'Rate Calculator'!BD58</f>
        <v>V0487705160313 (43)</v>
      </c>
      <c r="AD47" s="2" t="str">
        <f>'Rate Calculator'!BE58</f>
        <v>AU0025-16-413 (43)</v>
      </c>
    </row>
    <row r="48" spans="2:30">
      <c r="B48" s="49"/>
      <c r="C48" s="50" t="s">
        <v>31</v>
      </c>
      <c r="D48" s="50">
        <v>1</v>
      </c>
      <c r="E48" s="842"/>
      <c r="F48" s="50"/>
      <c r="G48" s="50"/>
      <c r="H48" s="53" t="e">
        <f>EXTRAS(D48,H47)</f>
        <v>#REF!</v>
      </c>
      <c r="I48" s="51"/>
      <c r="J48" s="51"/>
      <c r="K48" s="51"/>
      <c r="L48" s="50"/>
      <c r="M48" s="52"/>
      <c r="AB48" s="2" t="str">
        <f>'Rate Calculator'!BC59</f>
        <v>P02A101 (44)</v>
      </c>
      <c r="AC48" s="2" t="str">
        <f>'Rate Calculator'!BD59</f>
        <v>V0460232320493 (44)</v>
      </c>
      <c r="AD48" s="2" t="str">
        <f>'Rate Calculator'!BE59</f>
        <v>AU0060-16-426 (44)</v>
      </c>
    </row>
    <row r="49" spans="2:30">
      <c r="B49" s="49"/>
      <c r="C49" s="50"/>
      <c r="D49" s="50"/>
      <c r="E49" s="50"/>
      <c r="F49" s="50"/>
      <c r="G49" s="50"/>
      <c r="H49" s="50"/>
      <c r="I49" s="51"/>
      <c r="J49" s="51"/>
      <c r="K49" s="51"/>
      <c r="L49" s="50"/>
      <c r="M49" s="52"/>
      <c r="AB49" s="2" t="str">
        <f>'Rate Calculator'!BC60</f>
        <v>P02A356 (45)</v>
      </c>
      <c r="AC49" s="2" t="str">
        <f>'Rate Calculator'!BD60</f>
        <v>V0559381672067 (45)</v>
      </c>
      <c r="AD49" s="2" t="str">
        <f>'Rate Calculator'!BE60</f>
        <v>AU0006-75-596 (45)</v>
      </c>
    </row>
    <row r="50" spans="2:30">
      <c r="B50" s="49"/>
      <c r="C50" s="50"/>
      <c r="D50" s="50"/>
      <c r="E50" s="50"/>
      <c r="F50" s="50"/>
      <c r="G50" s="50"/>
      <c r="H50" s="50"/>
      <c r="I50" s="51"/>
      <c r="J50" s="51"/>
      <c r="K50" s="51"/>
      <c r="L50" s="50"/>
      <c r="M50" s="52"/>
      <c r="AB50" s="2" t="str">
        <f>'Rate Calculator'!BC61</f>
        <v>P02A581 (46)</v>
      </c>
      <c r="AC50" s="2" t="str">
        <f>'Rate Calculator'!BD61</f>
        <v>V0832235783815 (46)</v>
      </c>
      <c r="AD50" s="2" t="str">
        <f>'Rate Calculator'!BE61</f>
        <v>AU0050-06-005 (46)</v>
      </c>
    </row>
    <row r="51" spans="2:30">
      <c r="B51" s="49"/>
      <c r="C51" s="50" t="str">
        <f>"# of extras for vehicle "&amp;D47</f>
        <v># of extras for vehicle 495</v>
      </c>
      <c r="D51" s="50"/>
      <c r="E51" s="54">
        <f ca="1">COUNT(EXTRA_ID(offirst(40),D47))</f>
        <v>0</v>
      </c>
      <c r="F51" s="50"/>
      <c r="G51" s="50"/>
      <c r="H51" s="50"/>
      <c r="I51" s="51"/>
      <c r="J51" s="51"/>
      <c r="K51" s="51"/>
      <c r="L51" s="50"/>
      <c r="M51" s="52"/>
      <c r="AB51" s="2" t="str">
        <f>'Rate Calculator'!BC62</f>
        <v>P02A337 (47)</v>
      </c>
      <c r="AC51" s="2" t="str">
        <f>'Rate Calculator'!BD62</f>
        <v>V0155854330444 (47)</v>
      </c>
      <c r="AD51" s="2" t="str">
        <f>'Rate Calculator'!BE62</f>
        <v>AU0065-36-603 (47)</v>
      </c>
    </row>
    <row r="52" spans="2:30">
      <c r="B52" s="55"/>
      <c r="C52" s="56"/>
      <c r="D52" s="56"/>
      <c r="E52" s="56"/>
      <c r="F52" s="56"/>
      <c r="G52" s="56"/>
      <c r="H52" s="56"/>
      <c r="I52" s="57"/>
      <c r="J52" s="57"/>
      <c r="K52" s="57"/>
      <c r="L52" s="56"/>
      <c r="M52" s="58"/>
      <c r="AB52" s="2" t="str">
        <f>'Rate Calculator'!BC63</f>
        <v>P02A643 (48)</v>
      </c>
      <c r="AC52" s="2" t="str">
        <f>'Rate Calculator'!BD63</f>
        <v>V0294407844317 (48)</v>
      </c>
      <c r="AD52" s="2" t="str">
        <f>'Rate Calculator'!BE63</f>
        <v>AU0059-82-401 (48)</v>
      </c>
    </row>
    <row r="53" spans="2:30">
      <c r="AB53" s="2" t="str">
        <f>'Rate Calculator'!BC64</f>
        <v>P02A767 (49)</v>
      </c>
      <c r="AC53" s="2" t="str">
        <f>'Rate Calculator'!BD64</f>
        <v>V0636318409644 (49)</v>
      </c>
      <c r="AD53" s="2" t="str">
        <f>'Rate Calculator'!BE64</f>
        <v>AU0014-55-128 (49)</v>
      </c>
    </row>
    <row r="54" spans="2:30">
      <c r="AB54" s="2" t="str">
        <f>'Rate Calculator'!BC65</f>
        <v>P02A611 (50)</v>
      </c>
      <c r="AC54" s="2" t="str">
        <f>'Rate Calculator'!BD65</f>
        <v>V0493779576733 (50)</v>
      </c>
      <c r="AD54" s="2" t="str">
        <f>'Rate Calculator'!BE65</f>
        <v>AU0041-88-534 (50)</v>
      </c>
    </row>
    <row r="55" spans="2:30">
      <c r="AB55" s="2" t="str">
        <f>'Rate Calculator'!BC66</f>
        <v>P02A955 (51)</v>
      </c>
      <c r="AC55" s="2" t="str">
        <f>'Rate Calculator'!BD66</f>
        <v>V0562848450945 (51)</v>
      </c>
      <c r="AD55" s="2" t="str">
        <f>'Rate Calculator'!BE66</f>
        <v>AU0001-97-983 (51)</v>
      </c>
    </row>
    <row r="56" spans="2:30">
      <c r="AB56" s="2" t="str">
        <f>'Rate Calculator'!BC67</f>
        <v>P02A39 (52)</v>
      </c>
      <c r="AC56" s="2" t="str">
        <f>'Rate Calculator'!BD67</f>
        <v>V0039656765159 (52)</v>
      </c>
      <c r="AD56" s="2" t="str">
        <f>'Rate Calculator'!BE67</f>
        <v>AU0067-54-425 (52)</v>
      </c>
    </row>
    <row r="57" spans="2:30">
      <c r="AB57" s="2" t="str">
        <f>'Rate Calculator'!BC68</f>
        <v>P02A97 (53)</v>
      </c>
      <c r="AC57" s="2" t="str">
        <f>'Rate Calculator'!BD68</f>
        <v>V0044400489311 (53)</v>
      </c>
      <c r="AD57" s="2" t="str">
        <f>'Rate Calculator'!BE68</f>
        <v>AU0066-87-689 (53)</v>
      </c>
    </row>
    <row r="58" spans="2:30">
      <c r="AB58" s="2" t="str">
        <f>'Rate Calculator'!BC69</f>
        <v>P02A190 (54)</v>
      </c>
      <c r="AC58" s="2" t="str">
        <f>'Rate Calculator'!BD69</f>
        <v>V0704524497215 (54)</v>
      </c>
      <c r="AD58" s="2" t="str">
        <f>'Rate Calculator'!BE69</f>
        <v>AU0000-69-219 (54)</v>
      </c>
    </row>
    <row r="59" spans="2:30">
      <c r="AB59" s="2" t="str">
        <f>'Rate Calculator'!BC70</f>
        <v>P02A714 (55)</v>
      </c>
      <c r="AC59" s="2" t="str">
        <f>'Rate Calculator'!BD70</f>
        <v>V0811577292090 (55)</v>
      </c>
      <c r="AD59" s="2" t="str">
        <f>'Rate Calculator'!BE70</f>
        <v>AU0077-31-559 (55)</v>
      </c>
    </row>
    <row r="60" spans="2:30">
      <c r="AB60" s="2" t="str">
        <f>'Rate Calculator'!BC71</f>
        <v>P02A205 (56)</v>
      </c>
      <c r="AC60" s="2" t="str">
        <f>'Rate Calculator'!BD71</f>
        <v>V0173480383612 (56)</v>
      </c>
      <c r="AD60" s="2" t="str">
        <f>'Rate Calculator'!BE71</f>
        <v>AU0063-76-540 (56)</v>
      </c>
    </row>
    <row r="61" spans="2:30">
      <c r="G61" s="59"/>
      <c r="AB61" s="2" t="str">
        <f>'Rate Calculator'!BC72</f>
        <v>P02A84 (57)</v>
      </c>
      <c r="AC61" s="2" t="str">
        <f>'Rate Calculator'!BD72</f>
        <v>V0878857476316 (57)</v>
      </c>
      <c r="AD61" s="2" t="str">
        <f>'Rate Calculator'!BE72</f>
        <v>AU0019-37-895 (57)</v>
      </c>
    </row>
    <row r="62" spans="2:30">
      <c r="AB62" s="2" t="str">
        <f>'Rate Calculator'!BC73</f>
        <v>P02A976 (58)</v>
      </c>
      <c r="AC62" s="2" t="str">
        <f>'Rate Calculator'!BD73</f>
        <v>V0517392734709 (58)</v>
      </c>
      <c r="AD62" s="2" t="str">
        <f>'Rate Calculator'!BE73</f>
        <v>AU0076-98-653 (58)</v>
      </c>
    </row>
    <row r="63" spans="2:30">
      <c r="AB63" s="2" t="str">
        <f>'Rate Calculator'!BC74</f>
        <v>P02A473 (59)</v>
      </c>
      <c r="AC63" s="2" t="str">
        <f>'Rate Calculator'!BD74</f>
        <v>V0057925796294 (59)</v>
      </c>
      <c r="AD63" s="2" t="str">
        <f>'Rate Calculator'!BE74</f>
        <v>AU0072-83-998 (59)</v>
      </c>
    </row>
    <row r="64" spans="2:30">
      <c r="AB64" s="2" t="str">
        <f>'Rate Calculator'!BC75</f>
        <v>P02A432 (60)</v>
      </c>
      <c r="AC64" s="2" t="str">
        <f>'Rate Calculator'!BD75</f>
        <v>V0121707057882 (60)</v>
      </c>
      <c r="AD64" s="2" t="str">
        <f>'Rate Calculator'!BE75</f>
        <v>AU0016-24-669 (60)</v>
      </c>
    </row>
    <row r="65" spans="28:30">
      <c r="AB65" s="2" t="str">
        <f>'Rate Calculator'!BC76</f>
        <v>P02A760 (61)</v>
      </c>
      <c r="AC65" s="2" t="str">
        <f>'Rate Calculator'!BD76</f>
        <v>V0323020072743 (61)</v>
      </c>
      <c r="AD65" s="2" t="str">
        <f>'Rate Calculator'!BE76</f>
        <v>AU0041-92-305 (61)</v>
      </c>
    </row>
    <row r="66" spans="28:30">
      <c r="AB66" s="2" t="str">
        <f>'Rate Calculator'!BC77</f>
        <v>P02A335 (62)</v>
      </c>
      <c r="AC66" s="2" t="str">
        <f>'Rate Calculator'!BD77</f>
        <v>V0804537981137 (62)</v>
      </c>
      <c r="AD66" s="2" t="str">
        <f>'Rate Calculator'!BE77</f>
        <v>AU0073-25-410 (62)</v>
      </c>
    </row>
    <row r="67" spans="28:30">
      <c r="AB67" s="2" t="str">
        <f>'Rate Calculator'!BC78</f>
        <v>P02A222 (63)</v>
      </c>
      <c r="AC67" s="2" t="str">
        <f>'Rate Calculator'!BD78</f>
        <v>V0412288948035 (63)</v>
      </c>
      <c r="AD67" s="2" t="str">
        <f>'Rate Calculator'!BE78</f>
        <v>AU0059-09-340 (63)</v>
      </c>
    </row>
    <row r="68" spans="28:30">
      <c r="AB68" s="2" t="str">
        <f>'Rate Calculator'!BC79</f>
        <v>P02A931 (64)</v>
      </c>
      <c r="AC68" s="2" t="str">
        <f>'Rate Calculator'!BD79</f>
        <v>V0562228843369 (64)</v>
      </c>
      <c r="AD68" s="2" t="str">
        <f>'Rate Calculator'!BE79</f>
        <v>AU0051-52-078 (64)</v>
      </c>
    </row>
    <row r="69" spans="28:30">
      <c r="AB69" s="2" t="str">
        <f>'Rate Calculator'!BC80</f>
        <v>P02A79 (65)</v>
      </c>
      <c r="AC69" s="2" t="str">
        <f>'Rate Calculator'!BD80</f>
        <v>V0971529772110 (65)</v>
      </c>
      <c r="AD69" s="2" t="str">
        <f>'Rate Calculator'!BE80</f>
        <v>AU0072-25-666 (65)</v>
      </c>
    </row>
    <row r="70" spans="28:30">
      <c r="AB70" s="2" t="str">
        <f>'Rate Calculator'!BC81</f>
        <v>P02A696 (66)</v>
      </c>
      <c r="AC70" s="2" t="str">
        <f>'Rate Calculator'!BD81</f>
        <v>V0395337605097 (66)</v>
      </c>
      <c r="AD70" s="2" t="str">
        <f>'Rate Calculator'!BE81</f>
        <v>AU0076-17-400 (66)</v>
      </c>
    </row>
    <row r="71" spans="28:30">
      <c r="AB71" s="2" t="str">
        <f>'Rate Calculator'!BC82</f>
        <v>P02A583 (67)</v>
      </c>
      <c r="AC71" s="2" t="str">
        <f>'Rate Calculator'!BD82</f>
        <v>V0657799781029 (67)</v>
      </c>
      <c r="AD71" s="2" t="str">
        <f>'Rate Calculator'!BE82</f>
        <v>AU0085-43-483 (67)</v>
      </c>
    </row>
    <row r="72" spans="28:30">
      <c r="AB72" s="2" t="str">
        <f>'Rate Calculator'!BC83</f>
        <v>P02A435 (68)</v>
      </c>
      <c r="AC72" s="2" t="str">
        <f>'Rate Calculator'!BD83</f>
        <v>V0791777538554 (68)</v>
      </c>
      <c r="AD72" s="2" t="str">
        <f>'Rate Calculator'!BE83</f>
        <v>AU0043-92-675 (68)</v>
      </c>
    </row>
    <row r="73" spans="28:30">
      <c r="AB73" s="2" t="str">
        <f>'Rate Calculator'!BC84</f>
        <v>P02A317 (69)</v>
      </c>
      <c r="AC73" s="2" t="str">
        <f>'Rate Calculator'!BD84</f>
        <v>V0101069715492 (69)</v>
      </c>
      <c r="AD73" s="2" t="str">
        <f>'Rate Calculator'!BE84</f>
        <v>AU0030-85-865 (69)</v>
      </c>
    </row>
    <row r="74" spans="28:30">
      <c r="AB74" s="2" t="str">
        <f>'Rate Calculator'!BC85</f>
        <v>P02A6 (70)</v>
      </c>
      <c r="AC74" s="2" t="str">
        <f>'Rate Calculator'!BD85</f>
        <v>V0403121712755 (70)</v>
      </c>
      <c r="AD74" s="2" t="str">
        <f>'Rate Calculator'!BE85</f>
        <v>AU0014-34-113 (70)</v>
      </c>
    </row>
    <row r="75" spans="28:30">
      <c r="AB75" s="2" t="str">
        <f>'Rate Calculator'!BC86</f>
        <v>P02A341 (71)</v>
      </c>
      <c r="AC75" s="2" t="str">
        <f>'Rate Calculator'!BD86</f>
        <v>V0627872595895 (71)</v>
      </c>
      <c r="AD75" s="2" t="str">
        <f>'Rate Calculator'!BE86</f>
        <v>AU0098-68-928 (71)</v>
      </c>
    </row>
    <row r="76" spans="28:30">
      <c r="AB76" s="2" t="str">
        <f>'Rate Calculator'!BC87</f>
        <v>P02A987 (72)</v>
      </c>
      <c r="AC76" s="2" t="str">
        <f>'Rate Calculator'!BD87</f>
        <v>V0067816828870 (72)</v>
      </c>
      <c r="AD76" s="2" t="str">
        <f>'Rate Calculator'!BE87</f>
        <v>AU0099-53-161 (72)</v>
      </c>
    </row>
    <row r="77" spans="28:30">
      <c r="AB77" s="2" t="str">
        <f>'Rate Calculator'!BC88</f>
        <v>P02A927 (73)</v>
      </c>
      <c r="AC77" s="2" t="str">
        <f>'Rate Calculator'!BD88</f>
        <v>V0447457449387 (73)</v>
      </c>
      <c r="AD77" s="2" t="str">
        <f>'Rate Calculator'!BE88</f>
        <v>AU0036-98-790 (73)</v>
      </c>
    </row>
    <row r="78" spans="28:30">
      <c r="AB78" s="2" t="str">
        <f>'Rate Calculator'!BC89</f>
        <v>P02A172 (74)</v>
      </c>
      <c r="AC78" s="2" t="str">
        <f>'Rate Calculator'!BD89</f>
        <v>V0155799761560 (74)</v>
      </c>
      <c r="AD78" s="2" t="str">
        <f>'Rate Calculator'!BE89</f>
        <v>AU0095-40-564 (74)</v>
      </c>
    </row>
    <row r="79" spans="28:30">
      <c r="AB79" s="2" t="str">
        <f>'Rate Calculator'!BC90</f>
        <v>P02A419 (75)</v>
      </c>
      <c r="AC79" s="2" t="str">
        <f>'Rate Calculator'!BD90</f>
        <v>V0286667029819 (75)</v>
      </c>
      <c r="AD79" s="2" t="str">
        <f>'Rate Calculator'!BE90</f>
        <v>AU0087-49-233 (75)</v>
      </c>
    </row>
    <row r="80" spans="28:30">
      <c r="AB80" s="2" t="str">
        <f>'Rate Calculator'!BC91</f>
        <v>P02A592 (76)</v>
      </c>
      <c r="AC80" s="2" t="str">
        <f>'Rate Calculator'!BD91</f>
        <v>V0263822782702 (76)</v>
      </c>
      <c r="AD80" s="2" t="str">
        <f>'Rate Calculator'!BE91</f>
        <v>AU0076-10-493 (76)</v>
      </c>
    </row>
    <row r="81" spans="28:30">
      <c r="AB81" s="2" t="str">
        <f>'Rate Calculator'!BC92</f>
        <v>P02A276 (77)</v>
      </c>
      <c r="AC81" s="2" t="str">
        <f>'Rate Calculator'!BD92</f>
        <v>V0136575659800 (77)</v>
      </c>
      <c r="AD81" s="2" t="str">
        <f>'Rate Calculator'!BE92</f>
        <v>AU0029-35-574 (77)</v>
      </c>
    </row>
    <row r="82" spans="28:30">
      <c r="AB82" s="2" t="str">
        <f>'Rate Calculator'!BC93</f>
        <v>P02A805 (78)</v>
      </c>
      <c r="AC82" s="2" t="str">
        <f>'Rate Calculator'!BD93</f>
        <v>V0209839119466 (78)</v>
      </c>
      <c r="AD82" s="2" t="str">
        <f>'Rate Calculator'!BE93</f>
        <v>AU0012-06-535 (78)</v>
      </c>
    </row>
    <row r="83" spans="28:30">
      <c r="AB83" s="2" t="str">
        <f>'Rate Calculator'!BC94</f>
        <v>P02A612 (79)</v>
      </c>
      <c r="AC83" s="2" t="str">
        <f>'Rate Calculator'!BD94</f>
        <v>V0574441543229 (79)</v>
      </c>
      <c r="AD83" s="2" t="str">
        <f>'Rate Calculator'!BE94</f>
        <v>AU0088-74-442 (79)</v>
      </c>
    </row>
    <row r="84" spans="28:30">
      <c r="AB84" s="2" t="str">
        <f>'Rate Calculator'!BC95</f>
        <v>P02A457 (80)</v>
      </c>
      <c r="AC84" s="2" t="str">
        <f>'Rate Calculator'!BD95</f>
        <v>V0212324486536 (80)</v>
      </c>
      <c r="AD84" s="2" t="str">
        <f>'Rate Calculator'!BE95</f>
        <v>AU0044-16-194 (80)</v>
      </c>
    </row>
    <row r="85" spans="28:30">
      <c r="AB85" s="2" t="str">
        <f>'Rate Calculator'!BC96</f>
        <v>P02A261 (81)</v>
      </c>
      <c r="AC85" s="2" t="str">
        <f>'Rate Calculator'!BD96</f>
        <v>V0294387399146 (81)</v>
      </c>
      <c r="AD85" s="2" t="str">
        <f>'Rate Calculator'!BE96</f>
        <v>AU0008-68-323 (81)</v>
      </c>
    </row>
    <row r="86" spans="28:30">
      <c r="AB86" s="2" t="str">
        <f>'Rate Calculator'!BC97</f>
        <v>P02A439 (82)</v>
      </c>
      <c r="AC86" s="2" t="str">
        <f>'Rate Calculator'!BD97</f>
        <v>V0033922363410 (82)</v>
      </c>
      <c r="AD86" s="2" t="str">
        <f>'Rate Calculator'!BE97</f>
        <v>AU0064-94-605 (82)</v>
      </c>
    </row>
    <row r="87" spans="28:30">
      <c r="AB87" s="2" t="str">
        <f>'Rate Calculator'!BC98</f>
        <v>P02A889 (83)</v>
      </c>
      <c r="AC87" s="2" t="str">
        <f>'Rate Calculator'!BD98</f>
        <v>V0317954402658 (83)</v>
      </c>
      <c r="AD87" s="2" t="str">
        <f>'Rate Calculator'!BE98</f>
        <v>AU0055-40-263 (83)</v>
      </c>
    </row>
    <row r="88" spans="28:30">
      <c r="AB88" s="2" t="str">
        <f>'Rate Calculator'!BC99</f>
        <v>P02A171 (84)</v>
      </c>
      <c r="AC88" s="2" t="str">
        <f>'Rate Calculator'!BD99</f>
        <v>V0817080437756 (84)</v>
      </c>
      <c r="AD88" s="2" t="str">
        <f>'Rate Calculator'!BE99</f>
        <v>AU0005-63-608 (84)</v>
      </c>
    </row>
    <row r="89" spans="28:30">
      <c r="AB89" s="2" t="str">
        <f>'Rate Calculator'!BC100</f>
        <v>P02A584 (85)</v>
      </c>
      <c r="AC89" s="2" t="str">
        <f>'Rate Calculator'!BD100</f>
        <v>V0337172984282 (85)</v>
      </c>
      <c r="AD89" s="2" t="str">
        <f>'Rate Calculator'!BE100</f>
        <v>AU0037-60-153 (85)</v>
      </c>
    </row>
    <row r="90" spans="28:30">
      <c r="AB90" s="2" t="str">
        <f>'Rate Calculator'!BC101</f>
        <v>P02A602 (86)</v>
      </c>
      <c r="AC90" s="2" t="str">
        <f>'Rate Calculator'!BD101</f>
        <v>V0402174056750 (86)</v>
      </c>
      <c r="AD90" s="2" t="str">
        <f>'Rate Calculator'!BE101</f>
        <v>AU0071-80-207 (86)</v>
      </c>
    </row>
    <row r="91" spans="28:30">
      <c r="AB91" s="2" t="str">
        <f>'Rate Calculator'!BC102</f>
        <v>P02A111 (87)</v>
      </c>
      <c r="AC91" s="2" t="str">
        <f>'Rate Calculator'!BD102</f>
        <v>V0265400964798 (87)</v>
      </c>
      <c r="AD91" s="2" t="str">
        <f>'Rate Calculator'!BE102</f>
        <v>AU0038-94-051 (87)</v>
      </c>
    </row>
    <row r="92" spans="28:30">
      <c r="AB92" s="2" t="str">
        <f>'Rate Calculator'!BC103</f>
        <v>P02A401 (88)</v>
      </c>
      <c r="AC92" s="2" t="str">
        <f>'Rate Calculator'!BD103</f>
        <v>V0280171473619 (88)</v>
      </c>
      <c r="AD92" s="2" t="str">
        <f>'Rate Calculator'!BE103</f>
        <v>AU0059-59-449 (88)</v>
      </c>
    </row>
    <row r="93" spans="28:30">
      <c r="AB93" s="2" t="str">
        <f>'Rate Calculator'!BC104</f>
        <v>P02A776 (89)</v>
      </c>
      <c r="AC93" s="2" t="str">
        <f>'Rate Calculator'!BD104</f>
        <v>V0234834460644 (89)</v>
      </c>
      <c r="AD93" s="2" t="str">
        <f>'Rate Calculator'!BE104</f>
        <v>AU0055-65-785 (89)</v>
      </c>
    </row>
    <row r="94" spans="28:30">
      <c r="AB94" s="2" t="str">
        <f>'Rate Calculator'!BC105</f>
        <v>P02A90 (90)</v>
      </c>
      <c r="AC94" s="2" t="str">
        <f>'Rate Calculator'!BD105</f>
        <v>V0518673515408 (90)</v>
      </c>
      <c r="AD94" s="2" t="str">
        <f>'Rate Calculator'!BE105</f>
        <v>AU0064-58-145 (90)</v>
      </c>
    </row>
    <row r="95" spans="28:30">
      <c r="AB95" s="2" t="str">
        <f>'Rate Calculator'!BC106</f>
        <v>P02A726 (91)</v>
      </c>
      <c r="AC95" s="2" t="str">
        <f>'Rate Calculator'!BD106</f>
        <v>V0607978953178 (91)</v>
      </c>
      <c r="AD95" s="2" t="str">
        <f>'Rate Calculator'!BE106</f>
        <v>AU0033-50-499 (91)</v>
      </c>
    </row>
    <row r="96" spans="28:30">
      <c r="AB96" s="2" t="str">
        <f>'Rate Calculator'!BC107</f>
        <v>P02A35 (92)</v>
      </c>
      <c r="AC96" s="2" t="str">
        <f>'Rate Calculator'!BD107</f>
        <v>V0601927125878 (92)</v>
      </c>
      <c r="AD96" s="2" t="str">
        <f>'Rate Calculator'!BE107</f>
        <v>AU0044-32-915 (92)</v>
      </c>
    </row>
    <row r="97" spans="28:30">
      <c r="AB97" s="2" t="str">
        <f>'Rate Calculator'!BC108</f>
        <v>P02A166 (93)</v>
      </c>
      <c r="AC97" s="2" t="str">
        <f>'Rate Calculator'!BD108</f>
        <v>V0499943404388 (93)</v>
      </c>
      <c r="AD97" s="2" t="str">
        <f>'Rate Calculator'!BE108</f>
        <v>AU0027-78-541 (93)</v>
      </c>
    </row>
    <row r="98" spans="28:30">
      <c r="AB98" s="2" t="str">
        <f>'Rate Calculator'!BC109</f>
        <v>P02A323 (94)</v>
      </c>
      <c r="AC98" s="2" t="str">
        <f>'Rate Calculator'!BD109</f>
        <v>V0007240075169 (94)</v>
      </c>
      <c r="AD98" s="2" t="str">
        <f>'Rate Calculator'!BE109</f>
        <v>AU0098-75-650 (94)</v>
      </c>
    </row>
    <row r="99" spans="28:30">
      <c r="AB99" s="2" t="str">
        <f>'Rate Calculator'!BC110</f>
        <v>P02A801 (95)</v>
      </c>
      <c r="AC99" s="2" t="str">
        <f>'Rate Calculator'!BD110</f>
        <v>V0323691093699 (95)</v>
      </c>
      <c r="AD99" s="2" t="str">
        <f>'Rate Calculator'!BE110</f>
        <v>AU0066-65-072 (95)</v>
      </c>
    </row>
    <row r="100" spans="28:30">
      <c r="AB100" s="2" t="str">
        <f>'Rate Calculator'!BC111</f>
        <v>P02A700 (96)</v>
      </c>
      <c r="AC100" s="2" t="str">
        <f>'Rate Calculator'!BD111</f>
        <v>V0922838056947 (96)</v>
      </c>
      <c r="AD100" s="2" t="str">
        <f>'Rate Calculator'!BE111</f>
        <v>AU0013-21-358 (96)</v>
      </c>
    </row>
    <row r="101" spans="28:30">
      <c r="AB101" s="2" t="str">
        <f>'Rate Calculator'!BC112</f>
        <v>P02A752 (97)</v>
      </c>
      <c r="AC101" s="2" t="str">
        <f>'Rate Calculator'!BD112</f>
        <v>V0693538663171 (97)</v>
      </c>
      <c r="AD101" s="2" t="str">
        <f>'Rate Calculator'!BE112</f>
        <v>AU0045-24-166 (97)</v>
      </c>
    </row>
    <row r="102" spans="28:30">
      <c r="AB102" s="2" t="str">
        <f>'Rate Calculator'!BC113</f>
        <v>P02A38 (98)</v>
      </c>
      <c r="AC102" s="2" t="str">
        <f>'Rate Calculator'!BD113</f>
        <v>V0724605602654 (98)</v>
      </c>
      <c r="AD102" s="2" t="str">
        <f>'Rate Calculator'!BE113</f>
        <v>AU0008-86-526 (98)</v>
      </c>
    </row>
    <row r="103" spans="28:30">
      <c r="AB103" s="2" t="str">
        <f>'Rate Calculator'!BC114</f>
        <v>P02A510 (99)</v>
      </c>
      <c r="AC103" s="2" t="str">
        <f>'Rate Calculator'!BD114</f>
        <v>V0899765366220 (99)</v>
      </c>
      <c r="AD103" s="2" t="str">
        <f>'Rate Calculator'!BE114</f>
        <v>AU0045-77-142 (99)</v>
      </c>
    </row>
    <row r="104" spans="28:30">
      <c r="AB104" s="2" t="str">
        <f>'Rate Calculator'!BC115</f>
        <v>P02A294 (100)</v>
      </c>
      <c r="AC104" s="2" t="str">
        <f>'Rate Calculator'!BD115</f>
        <v>V0280167597126 (100)</v>
      </c>
      <c r="AD104" s="2" t="str">
        <f>'Rate Calculator'!BE115</f>
        <v>AU0004-65-792 (100)</v>
      </c>
    </row>
    <row r="105" spans="28:30">
      <c r="AB105" s="2" t="str">
        <f>'Rate Calculator'!BC116</f>
        <v>P02A773 (101)</v>
      </c>
      <c r="AC105" s="2" t="str">
        <f>'Rate Calculator'!BD116</f>
        <v>V0966974091098 (101)</v>
      </c>
      <c r="AD105" s="2" t="str">
        <f>'Rate Calculator'!BE116</f>
        <v>AU0060-97-023 (101)</v>
      </c>
    </row>
    <row r="106" spans="28:30">
      <c r="AB106" s="2" t="str">
        <f>'Rate Calculator'!BC117</f>
        <v>P02A841 (102)</v>
      </c>
      <c r="AC106" s="2" t="str">
        <f>'Rate Calculator'!BD117</f>
        <v>V0962638708745 (102)</v>
      </c>
      <c r="AD106" s="2" t="str">
        <f>'Rate Calculator'!BE117</f>
        <v>AU0062-75-129 (102)</v>
      </c>
    </row>
    <row r="107" spans="28:30">
      <c r="AB107" s="2" t="str">
        <f>'Rate Calculator'!BC118</f>
        <v>P02A388 (103)</v>
      </c>
      <c r="AC107" s="2" t="str">
        <f>'Rate Calculator'!BD118</f>
        <v>V0968886290569 (103)</v>
      </c>
      <c r="AD107" s="2" t="str">
        <f>'Rate Calculator'!BE118</f>
        <v>AU0080-86-996 (103)</v>
      </c>
    </row>
    <row r="108" spans="28:30">
      <c r="AB108" s="2" t="str">
        <f>'Rate Calculator'!BC119</f>
        <v>P02A906 (104)</v>
      </c>
      <c r="AC108" s="2" t="str">
        <f>'Rate Calculator'!BD119</f>
        <v>V0588908287310 (104)</v>
      </c>
      <c r="AD108" s="2" t="str">
        <f>'Rate Calculator'!BE119</f>
        <v>AU0062-45-840 (104)</v>
      </c>
    </row>
    <row r="109" spans="28:30">
      <c r="AB109" s="2" t="str">
        <f>'Rate Calculator'!BC120</f>
        <v>P02A344 (105)</v>
      </c>
      <c r="AC109" s="2" t="str">
        <f>'Rate Calculator'!BD120</f>
        <v>V0325129832839 (105)</v>
      </c>
      <c r="AD109" s="2" t="str">
        <f>'Rate Calculator'!BE120</f>
        <v>AU0024-39-884 (105)</v>
      </c>
    </row>
    <row r="110" spans="28:30">
      <c r="AB110" s="2" t="str">
        <f>'Rate Calculator'!BC121</f>
        <v>P02A25 (106)</v>
      </c>
      <c r="AC110" s="2" t="str">
        <f>'Rate Calculator'!BD121</f>
        <v>V0313945302987 (106)</v>
      </c>
      <c r="AD110" s="2" t="str">
        <f>'Rate Calculator'!BE121</f>
        <v>AU0035-71-014 (106)</v>
      </c>
    </row>
    <row r="111" spans="28:30">
      <c r="AB111" s="2" t="str">
        <f>'Rate Calculator'!BC122</f>
        <v>P02A491 (107)</v>
      </c>
      <c r="AC111" s="2" t="str">
        <f>'Rate Calculator'!BD122</f>
        <v>V0224213757410 (107)</v>
      </c>
      <c r="AD111" s="2" t="str">
        <f>'Rate Calculator'!BE122</f>
        <v>AU0009-97-717 (107)</v>
      </c>
    </row>
    <row r="112" spans="28:30">
      <c r="AB112" s="2" t="str">
        <f>'Rate Calculator'!BC123</f>
        <v>P02A925 (108)</v>
      </c>
      <c r="AC112" s="2" t="str">
        <f>'Rate Calculator'!BD123</f>
        <v>V0032138914964 (108)</v>
      </c>
      <c r="AD112" s="2" t="str">
        <f>'Rate Calculator'!BE123</f>
        <v>AU0033-16-320 (108)</v>
      </c>
    </row>
    <row r="113" spans="28:30">
      <c r="AB113" s="2" t="str">
        <f>'Rate Calculator'!BC124</f>
        <v>P02A707 (109)</v>
      </c>
      <c r="AC113" s="2" t="str">
        <f>'Rate Calculator'!BD124</f>
        <v>V0281389006184 (109)</v>
      </c>
      <c r="AD113" s="2" t="str">
        <f>'Rate Calculator'!BE124</f>
        <v>AU0060-72-143 (109)</v>
      </c>
    </row>
    <row r="114" spans="28:30">
      <c r="AB114" s="2" t="str">
        <f>'Rate Calculator'!BC125</f>
        <v>P02A915 (110)</v>
      </c>
      <c r="AC114" s="2" t="str">
        <f>'Rate Calculator'!BD125</f>
        <v>V0911561315083 (110)</v>
      </c>
      <c r="AD114" s="2" t="str">
        <f>'Rate Calculator'!BE125</f>
        <v>AU0028-92-071 (110)</v>
      </c>
    </row>
    <row r="115" spans="28:30">
      <c r="AB115" s="2" t="str">
        <f>'Rate Calculator'!BC126</f>
        <v>P02A32 (111)</v>
      </c>
      <c r="AC115" s="2" t="str">
        <f>'Rate Calculator'!BD126</f>
        <v>V0402137764030 (111)</v>
      </c>
      <c r="AD115" s="2" t="str">
        <f>'Rate Calculator'!BE126</f>
        <v>AU0047-28-426 (111)</v>
      </c>
    </row>
    <row r="116" spans="28:30">
      <c r="AB116" s="2" t="str">
        <f>'Rate Calculator'!BC127</f>
        <v>P02A140 (112)</v>
      </c>
      <c r="AC116" s="2" t="str">
        <f>'Rate Calculator'!BD127</f>
        <v>V0749676050806 (112)</v>
      </c>
      <c r="AD116" s="2" t="str">
        <f>'Rate Calculator'!BE127</f>
        <v>AU0055-59-448 (112)</v>
      </c>
    </row>
    <row r="117" spans="28:30">
      <c r="AB117" s="2" t="str">
        <f>'Rate Calculator'!BC128</f>
        <v>P02A296 (113)</v>
      </c>
      <c r="AC117" s="2" t="str">
        <f>'Rate Calculator'!BD128</f>
        <v>V0689738692606 (113)</v>
      </c>
      <c r="AD117" s="2" t="str">
        <f>'Rate Calculator'!BE128</f>
        <v>AU0083-05-004 (113)</v>
      </c>
    </row>
    <row r="118" spans="28:30">
      <c r="AB118" s="2" t="str">
        <f>'Rate Calculator'!BC129</f>
        <v>P02A114 (114)</v>
      </c>
      <c r="AC118" s="2" t="str">
        <f>'Rate Calculator'!BD129</f>
        <v>V0625016580473 (114)</v>
      </c>
      <c r="AD118" s="2" t="str">
        <f>'Rate Calculator'!BE129</f>
        <v>AU0086-13-037 (114)</v>
      </c>
    </row>
    <row r="119" spans="28:30">
      <c r="AB119" s="2" t="str">
        <f>'Rate Calculator'!BC130</f>
        <v>P02A242 (115)</v>
      </c>
      <c r="AC119" s="2" t="str">
        <f>'Rate Calculator'!BD130</f>
        <v>V0180133498565 (115)</v>
      </c>
      <c r="AD119" s="2" t="str">
        <f>'Rate Calculator'!BE130</f>
        <v>AU0081-82-448 (115)</v>
      </c>
    </row>
    <row r="120" spans="28:30">
      <c r="AB120" s="2" t="str">
        <f>'Rate Calculator'!BC131</f>
        <v>P02A479 (116)</v>
      </c>
      <c r="AC120" s="2" t="str">
        <f>'Rate Calculator'!BD131</f>
        <v>V0804439259126 (116)</v>
      </c>
      <c r="AD120" s="2" t="str">
        <f>'Rate Calculator'!BE131</f>
        <v>AU0093-18-070 (116)</v>
      </c>
    </row>
    <row r="121" spans="28:30">
      <c r="AB121" s="2" t="str">
        <f>'Rate Calculator'!BC132</f>
        <v>P02A517 (117)</v>
      </c>
      <c r="AC121" s="2" t="str">
        <f>'Rate Calculator'!BD132</f>
        <v>V0017864461491 (117)</v>
      </c>
      <c r="AD121" s="2" t="str">
        <f>'Rate Calculator'!BE132</f>
        <v>AU0099-39-957 (117)</v>
      </c>
    </row>
    <row r="122" spans="28:30">
      <c r="AB122" s="2" t="str">
        <f>'Rate Calculator'!BC133</f>
        <v>P02A645 (118)</v>
      </c>
      <c r="AC122" s="2" t="str">
        <f>'Rate Calculator'!BD133</f>
        <v>V0990775048860 (118)</v>
      </c>
      <c r="AD122" s="2" t="str">
        <f>'Rate Calculator'!BE133</f>
        <v>AU0058-12-599 (118)</v>
      </c>
    </row>
    <row r="123" spans="28:30">
      <c r="AB123" s="2" t="str">
        <f>'Rate Calculator'!BC134</f>
        <v>P02A937 (119)</v>
      </c>
      <c r="AC123" s="2" t="str">
        <f>'Rate Calculator'!BD134</f>
        <v>V0471323006530 (119)</v>
      </c>
      <c r="AD123" s="2" t="str">
        <f>'Rate Calculator'!BE134</f>
        <v>AU0048-33-884 (119)</v>
      </c>
    </row>
    <row r="124" spans="28:30">
      <c r="AB124" s="2" t="str">
        <f>'Rate Calculator'!BC135</f>
        <v>P02A633 (120)</v>
      </c>
      <c r="AC124" s="2" t="str">
        <f>'Rate Calculator'!BD135</f>
        <v>V0505693822904 (120)</v>
      </c>
      <c r="AD124" s="2" t="str">
        <f>'Rate Calculator'!BE135</f>
        <v>AU0045-83-657 (120)</v>
      </c>
    </row>
    <row r="125" spans="28:30">
      <c r="AB125" s="2" t="str">
        <f>'Rate Calculator'!BC136</f>
        <v>P02A265 (121)</v>
      </c>
      <c r="AC125" s="2" t="str">
        <f>'Rate Calculator'!BD136</f>
        <v>V0548588366009 (121)</v>
      </c>
      <c r="AD125" s="2" t="str">
        <f>'Rate Calculator'!BE136</f>
        <v>AU0055-92-176 (121)</v>
      </c>
    </row>
    <row r="126" spans="28:30">
      <c r="AB126" s="2" t="str">
        <f>'Rate Calculator'!BC137</f>
        <v>P02A363 (122)</v>
      </c>
      <c r="AC126" s="2" t="str">
        <f>'Rate Calculator'!BD137</f>
        <v>V0260417007352 (122)</v>
      </c>
      <c r="AD126" s="2" t="str">
        <f>'Rate Calculator'!BE137</f>
        <v>AU0088-25-507 (122)</v>
      </c>
    </row>
    <row r="127" spans="28:30">
      <c r="AB127" s="2" t="str">
        <f>'Rate Calculator'!BC138</f>
        <v>P02A559 (123)</v>
      </c>
      <c r="AC127" s="2" t="str">
        <f>'Rate Calculator'!BD138</f>
        <v>V0076382556895 (123)</v>
      </c>
      <c r="AD127" s="2" t="str">
        <f>'Rate Calculator'!BE138</f>
        <v>AU0038-81-164 (123)</v>
      </c>
    </row>
    <row r="128" spans="28:30">
      <c r="AB128" s="2" t="str">
        <f>'Rate Calculator'!BC139</f>
        <v>P02A659 (124)</v>
      </c>
      <c r="AC128" s="2" t="str">
        <f>'Rate Calculator'!BD139</f>
        <v>V0711912825020 (124)</v>
      </c>
      <c r="AD128" s="2" t="str">
        <f>'Rate Calculator'!BE139</f>
        <v>AU0087-80-142 (124)</v>
      </c>
    </row>
    <row r="129" spans="28:30">
      <c r="AB129" s="2" t="str">
        <f>'Rate Calculator'!BC140</f>
        <v>P02A438 (125)</v>
      </c>
      <c r="AC129" s="2" t="str">
        <f>'Rate Calculator'!BD140</f>
        <v>V0536599246881 (125)</v>
      </c>
      <c r="AD129" s="2" t="str">
        <f>'Rate Calculator'!BE140</f>
        <v>AU0075-99-547 (125)</v>
      </c>
    </row>
    <row r="130" spans="28:30">
      <c r="AB130" s="2" t="str">
        <f>'Rate Calculator'!BC141</f>
        <v>P02A3 (126)</v>
      </c>
      <c r="AC130" s="2" t="str">
        <f>'Rate Calculator'!BD141</f>
        <v>V0129180300130 (126)</v>
      </c>
      <c r="AD130" s="2" t="str">
        <f>'Rate Calculator'!BE141</f>
        <v>AU0056-74-668 (126)</v>
      </c>
    </row>
    <row r="131" spans="28:30">
      <c r="AB131" s="2" t="str">
        <f>'Rate Calculator'!BC142</f>
        <v>P02A358 (127)</v>
      </c>
      <c r="AC131" s="2" t="str">
        <f>'Rate Calculator'!BD142</f>
        <v>V0515745204666 (127)</v>
      </c>
      <c r="AD131" s="2" t="str">
        <f>'Rate Calculator'!BE142</f>
        <v>AU0071-10-762 (127)</v>
      </c>
    </row>
    <row r="132" spans="28:30">
      <c r="AB132" s="2" t="str">
        <f>'Rate Calculator'!BC143</f>
        <v>P02A792 (128)</v>
      </c>
      <c r="AC132" s="2" t="str">
        <f>'Rate Calculator'!BD143</f>
        <v>V0740066975850 (128)</v>
      </c>
      <c r="AD132" s="2" t="str">
        <f>'Rate Calculator'!BE143</f>
        <v>AU0091-11-353 (128)</v>
      </c>
    </row>
    <row r="133" spans="28:30">
      <c r="AB133" s="2" t="str">
        <f>'Rate Calculator'!BC144</f>
        <v>P02A386 (129)</v>
      </c>
      <c r="AC133" s="2" t="str">
        <f>'Rate Calculator'!BD144</f>
        <v>V0764125301142 (129)</v>
      </c>
      <c r="AD133" s="2" t="str">
        <f>'Rate Calculator'!BE144</f>
        <v>AU0014-53-061 (129)</v>
      </c>
    </row>
    <row r="134" spans="28:30">
      <c r="AB134" s="2" t="str">
        <f>'Rate Calculator'!BC145</f>
        <v>P02A191 (130)</v>
      </c>
      <c r="AC134" s="2" t="str">
        <f>'Rate Calculator'!BD145</f>
        <v>V0241411233933 (130)</v>
      </c>
      <c r="AD134" s="2" t="str">
        <f>'Rate Calculator'!BE145</f>
        <v>AU0026-38-455 (130)</v>
      </c>
    </row>
    <row r="135" spans="28:30">
      <c r="AB135" s="2" t="str">
        <f>'Rate Calculator'!BC146</f>
        <v>P02A727 (131)</v>
      </c>
      <c r="AC135" s="2" t="str">
        <f>'Rate Calculator'!BD146</f>
        <v>V0331372793392 (131)</v>
      </c>
      <c r="AD135" s="2" t="str">
        <f>'Rate Calculator'!BE146</f>
        <v>AU0078-16-633 (131)</v>
      </c>
    </row>
    <row r="136" spans="28:30">
      <c r="AB136" s="2" t="str">
        <f>'Rate Calculator'!BC147</f>
        <v>P02A93 (132)</v>
      </c>
      <c r="AC136" s="2" t="str">
        <f>'Rate Calculator'!BD147</f>
        <v>V0300621552737 (132)</v>
      </c>
      <c r="AD136" s="2" t="str">
        <f>'Rate Calculator'!BE147</f>
        <v>AU0071-58-306 (132)</v>
      </c>
    </row>
    <row r="137" spans="28:30">
      <c r="AB137" s="2" t="str">
        <f>'Rate Calculator'!BC148</f>
        <v>P02A433 (133)</v>
      </c>
      <c r="AC137" s="2" t="str">
        <f>'Rate Calculator'!BD148</f>
        <v>V0994396721916 (133)</v>
      </c>
      <c r="AD137" s="2" t="str">
        <f>'Rate Calculator'!BE148</f>
        <v>AU0026-65-490 (133)</v>
      </c>
    </row>
    <row r="138" spans="28:30">
      <c r="AB138" s="2" t="str">
        <f>'Rate Calculator'!BC149</f>
        <v>P02A997 (134)</v>
      </c>
      <c r="AC138" s="2" t="str">
        <f>'Rate Calculator'!BD149</f>
        <v>V0816022323100 (134)</v>
      </c>
      <c r="AD138" s="2" t="str">
        <f>'Rate Calculator'!BE149</f>
        <v>AU0019-86-183 (134)</v>
      </c>
    </row>
    <row r="139" spans="28:30">
      <c r="AB139" s="2" t="str">
        <f>'Rate Calculator'!BC150</f>
        <v>P02A51 (135)</v>
      </c>
      <c r="AC139" s="2" t="str">
        <f>'Rate Calculator'!BD150</f>
        <v>V0657661045441 (135)</v>
      </c>
      <c r="AD139" s="2" t="str">
        <f>'Rate Calculator'!BE150</f>
        <v>AU0072-28-942 (135)</v>
      </c>
    </row>
    <row r="140" spans="28:30">
      <c r="AB140" s="2" t="str">
        <f>'Rate Calculator'!BC151</f>
        <v>P02A390 (136)</v>
      </c>
      <c r="AC140" s="2" t="str">
        <f>'Rate Calculator'!BD151</f>
        <v>V0581581618608 (136)</v>
      </c>
      <c r="AD140" s="2" t="str">
        <f>'Rate Calculator'!BE151</f>
        <v>AU0043-98-221 (136)</v>
      </c>
    </row>
    <row r="141" spans="28:30">
      <c r="AB141" s="2" t="str">
        <f>'Rate Calculator'!BC152</f>
        <v>P02A319 (137)</v>
      </c>
      <c r="AC141" s="2" t="str">
        <f>'Rate Calculator'!BD152</f>
        <v>V0553632363400 (137)</v>
      </c>
      <c r="AD141" s="2" t="str">
        <f>'Rate Calculator'!BE152</f>
        <v>AU0047-66-913 (137)</v>
      </c>
    </row>
    <row r="142" spans="28:30">
      <c r="AB142" s="2" t="str">
        <f>'Rate Calculator'!BC153</f>
        <v>P02A512 (138)</v>
      </c>
      <c r="AC142" s="2" t="str">
        <f>'Rate Calculator'!BD153</f>
        <v>V0443150753837 (138)</v>
      </c>
      <c r="AD142" s="2" t="str">
        <f>'Rate Calculator'!BE153</f>
        <v>AU0036-76-992 (138)</v>
      </c>
    </row>
    <row r="143" spans="28:30">
      <c r="AB143" s="2" t="str">
        <f>'Rate Calculator'!BC154</f>
        <v>P02A376 (139)</v>
      </c>
      <c r="AC143" s="2" t="str">
        <f>'Rate Calculator'!BD154</f>
        <v>V0001203068819 (139)</v>
      </c>
      <c r="AD143" s="2" t="str">
        <f>'Rate Calculator'!BE154</f>
        <v>AU0073-18-756 (139)</v>
      </c>
    </row>
    <row r="144" spans="28:30">
      <c r="AB144" s="2" t="str">
        <f>'Rate Calculator'!BC155</f>
        <v>P02A350 (140)</v>
      </c>
      <c r="AC144" s="2" t="str">
        <f>'Rate Calculator'!BD155</f>
        <v>V0149466374999 (140)</v>
      </c>
      <c r="AD144" s="2" t="str">
        <f>'Rate Calculator'!BE155</f>
        <v>AU0052-37-216 (140)</v>
      </c>
    </row>
    <row r="145" spans="28:30">
      <c r="AB145" s="2" t="str">
        <f>'Rate Calculator'!BC156</f>
        <v>P02A235 (141)</v>
      </c>
      <c r="AC145" s="2" t="str">
        <f>'Rate Calculator'!BD156</f>
        <v>V0351576560219 (141)</v>
      </c>
      <c r="AD145" s="2" t="str">
        <f>'Rate Calculator'!BE156</f>
        <v>AU0046-80-579 (141)</v>
      </c>
    </row>
    <row r="146" spans="28:30">
      <c r="AB146" s="2" t="str">
        <f>'Rate Calculator'!BC157</f>
        <v>P02A926 (142)</v>
      </c>
      <c r="AC146" s="2" t="str">
        <f>'Rate Calculator'!BD157</f>
        <v>V0792630417515 (142)</v>
      </c>
      <c r="AD146" s="2" t="str">
        <f>'Rate Calculator'!BE157</f>
        <v>AU0086-11-503 (142)</v>
      </c>
    </row>
    <row r="147" spans="28:30">
      <c r="AB147" s="2" t="str">
        <f>'Rate Calculator'!BC158</f>
        <v>P02A132 (143)</v>
      </c>
      <c r="AC147" s="2" t="str">
        <f>'Rate Calculator'!BD158</f>
        <v>V0791972586649 (143)</v>
      </c>
      <c r="AD147" s="2" t="str">
        <f>'Rate Calculator'!BE158</f>
        <v>AU0043-75-622 (143)</v>
      </c>
    </row>
    <row r="148" spans="28:30">
      <c r="AB148" s="2" t="str">
        <f>'Rate Calculator'!BC159</f>
        <v>P02A888 (144)</v>
      </c>
      <c r="AC148" s="2" t="str">
        <f>'Rate Calculator'!BD159</f>
        <v>V0256209227384 (144)</v>
      </c>
      <c r="AD148" s="2" t="str">
        <f>'Rate Calculator'!BE159</f>
        <v>AU0056-37-283 (144)</v>
      </c>
    </row>
    <row r="149" spans="28:30">
      <c r="AB149" s="2" t="str">
        <f>'Rate Calculator'!BC160</f>
        <v>P02A256 (145)</v>
      </c>
      <c r="AC149" s="2" t="str">
        <f>'Rate Calculator'!BD160</f>
        <v>V0149733573134 (145)</v>
      </c>
      <c r="AD149" s="2" t="str">
        <f>'Rate Calculator'!BE160</f>
        <v>AU0014-34-129 (145)</v>
      </c>
    </row>
    <row r="150" spans="28:30">
      <c r="AB150" s="2" t="str">
        <f>'Rate Calculator'!BC161</f>
        <v>P02A809 (146)</v>
      </c>
      <c r="AC150" s="2" t="str">
        <f>'Rate Calculator'!BD161</f>
        <v>V0231219564073 (146)</v>
      </c>
      <c r="AD150" s="2" t="str">
        <f>'Rate Calculator'!BE161</f>
        <v>AU0073-59-971 (146)</v>
      </c>
    </row>
    <row r="151" spans="28:30">
      <c r="AB151" s="2" t="str">
        <f>'Rate Calculator'!BC162</f>
        <v>P02A404 (147)</v>
      </c>
      <c r="AC151" s="2" t="str">
        <f>'Rate Calculator'!BD162</f>
        <v>V0720997006974 (147)</v>
      </c>
      <c r="AD151" s="2" t="str">
        <f>'Rate Calculator'!BE162</f>
        <v>AU0043-07-706 (147)</v>
      </c>
    </row>
    <row r="152" spans="28:30">
      <c r="AB152" s="2" t="str">
        <f>'Rate Calculator'!BC163</f>
        <v>P02A249 (148)</v>
      </c>
      <c r="AC152" s="2" t="str">
        <f>'Rate Calculator'!BD163</f>
        <v>V0411136871860 (148)</v>
      </c>
      <c r="AD152" s="2" t="str">
        <f>'Rate Calculator'!BE163</f>
        <v>AU0081-50-779 (148)</v>
      </c>
    </row>
    <row r="153" spans="28:30">
      <c r="AB153" s="2" t="str">
        <f>'Rate Calculator'!BC164</f>
        <v>P02A54 (149)</v>
      </c>
      <c r="AC153" s="2" t="str">
        <f>'Rate Calculator'!BD164</f>
        <v>V0885957627030 (149)</v>
      </c>
      <c r="AD153" s="2" t="str">
        <f>'Rate Calculator'!BE164</f>
        <v>AU0002-89-561 (149)</v>
      </c>
    </row>
    <row r="154" spans="28:30">
      <c r="AB154" s="2" t="str">
        <f>'Rate Calculator'!BC165</f>
        <v>P02A52 (150)</v>
      </c>
      <c r="AC154" s="2" t="str">
        <f>'Rate Calculator'!BD165</f>
        <v>V0411859790587 (150)</v>
      </c>
      <c r="AD154" s="2" t="str">
        <f>'Rate Calculator'!BE165</f>
        <v>AU0078-80-180 (150)</v>
      </c>
    </row>
    <row r="155" spans="28:30">
      <c r="AB155" s="2" t="str">
        <f>'Rate Calculator'!BC166</f>
        <v>P02A593 (151)</v>
      </c>
      <c r="AC155" s="2" t="str">
        <f>'Rate Calculator'!BD166</f>
        <v>V0980336334043 (151)</v>
      </c>
      <c r="AD155" s="2" t="str">
        <f>'Rate Calculator'!BE166</f>
        <v>AU0080-91-395 (151)</v>
      </c>
    </row>
    <row r="156" spans="28:30">
      <c r="AB156" s="2" t="str">
        <f>'Rate Calculator'!BC167</f>
        <v>P02A823 (152)</v>
      </c>
      <c r="AC156" s="2" t="str">
        <f>'Rate Calculator'!BD167</f>
        <v>V0466849559035 (152)</v>
      </c>
      <c r="AD156" s="2" t="str">
        <f>'Rate Calculator'!BE167</f>
        <v>AU0082-05-615 (152)</v>
      </c>
    </row>
    <row r="157" spans="28:30">
      <c r="AB157" s="2" t="str">
        <f>'Rate Calculator'!BC168</f>
        <v>P02A810 (153)</v>
      </c>
      <c r="AC157" s="2" t="str">
        <f>'Rate Calculator'!BD168</f>
        <v>V0223896532050 (153)</v>
      </c>
      <c r="AD157" s="2" t="str">
        <f>'Rate Calculator'!BE168</f>
        <v>AU0000-08-698 (153)</v>
      </c>
    </row>
    <row r="158" spans="28:30">
      <c r="AB158" s="2" t="str">
        <f>'Rate Calculator'!BC169</f>
        <v>P02A646 (154)</v>
      </c>
      <c r="AC158" s="2" t="str">
        <f>'Rate Calculator'!BD169</f>
        <v>V0671219079142 (154)</v>
      </c>
      <c r="AD158" s="2" t="str">
        <f>'Rate Calculator'!BE169</f>
        <v>AU0071-74-623 (154)</v>
      </c>
    </row>
    <row r="159" spans="28:30">
      <c r="AB159" s="2" t="str">
        <f>'Rate Calculator'!BC170</f>
        <v>P02A151 (155)</v>
      </c>
      <c r="AC159" s="2" t="str">
        <f>'Rate Calculator'!BD170</f>
        <v>V0032003517628 (155)</v>
      </c>
      <c r="AD159" s="2" t="str">
        <f>'Rate Calculator'!BE170</f>
        <v>AU0052-41-713 (155)</v>
      </c>
    </row>
    <row r="160" spans="28:30">
      <c r="AB160" s="2" t="str">
        <f>'Rate Calculator'!BC171</f>
        <v>P02A944 (156)</v>
      </c>
      <c r="AC160" s="2" t="str">
        <f>'Rate Calculator'!BD171</f>
        <v>V0379339197959 (156)</v>
      </c>
      <c r="AD160" s="2" t="str">
        <f>'Rate Calculator'!BE171</f>
        <v>AU0047-84-696 (156)</v>
      </c>
    </row>
    <row r="161" spans="28:30">
      <c r="AB161" s="2" t="str">
        <f>'Rate Calculator'!BC172</f>
        <v>P02A384 (157)</v>
      </c>
      <c r="AC161" s="2" t="str">
        <f>'Rate Calculator'!BD172</f>
        <v>V0983471963318 (157)</v>
      </c>
      <c r="AD161" s="2" t="str">
        <f>'Rate Calculator'!BE172</f>
        <v>AU0099-16-776 (157)</v>
      </c>
    </row>
    <row r="162" spans="28:30">
      <c r="AB162" s="2" t="str">
        <f>'Rate Calculator'!BC173</f>
        <v>P02A33 (158)</v>
      </c>
      <c r="AC162" s="2" t="str">
        <f>'Rate Calculator'!BD173</f>
        <v>V0703204604978 (158)</v>
      </c>
      <c r="AD162" s="2" t="str">
        <f>'Rate Calculator'!BE173</f>
        <v>AU0089-26-435 (158)</v>
      </c>
    </row>
    <row r="163" spans="28:30">
      <c r="AB163" s="2" t="str">
        <f>'Rate Calculator'!BC174</f>
        <v>P02A91 (159)</v>
      </c>
      <c r="AC163" s="2" t="str">
        <f>'Rate Calculator'!BD174</f>
        <v>V0985003632231 (159)</v>
      </c>
      <c r="AD163" s="2" t="str">
        <f>'Rate Calculator'!BE174</f>
        <v>AU0029-81-360 (159)</v>
      </c>
    </row>
    <row r="164" spans="28:30">
      <c r="AB164" s="2" t="str">
        <f>'Rate Calculator'!BC175</f>
        <v>P02A747 (160)</v>
      </c>
      <c r="AC164" s="2" t="str">
        <f>'Rate Calculator'!BD175</f>
        <v>V0534773764626 (160)</v>
      </c>
      <c r="AD164" s="2" t="str">
        <f>'Rate Calculator'!BE175</f>
        <v>AU0041-70-376 (160)</v>
      </c>
    </row>
    <row r="165" spans="28:30">
      <c r="AB165" s="2" t="str">
        <f>'Rate Calculator'!BC176</f>
        <v>P02A735 (161)</v>
      </c>
      <c r="AC165" s="2" t="str">
        <f>'Rate Calculator'!BD176</f>
        <v>V0474947092316 (161)</v>
      </c>
      <c r="AD165" s="2" t="str">
        <f>'Rate Calculator'!BE176</f>
        <v>AU0084-86-593 (161)</v>
      </c>
    </row>
    <row r="166" spans="28:30">
      <c r="AB166" s="2" t="str">
        <f>'Rate Calculator'!BC177</f>
        <v>P02A129 (162)</v>
      </c>
      <c r="AC166" s="2" t="str">
        <f>'Rate Calculator'!BD177</f>
        <v>V0448762387587 (162)</v>
      </c>
      <c r="AD166" s="2" t="str">
        <f>'Rate Calculator'!BE177</f>
        <v>AU0059-48-633 (162)</v>
      </c>
    </row>
    <row r="167" spans="28:30">
      <c r="AB167" s="2" t="str">
        <f>'Rate Calculator'!BC178</f>
        <v>P02A585 (163)</v>
      </c>
      <c r="AC167" s="2" t="str">
        <f>'Rate Calculator'!BD178</f>
        <v>V0624403841763 (163)</v>
      </c>
      <c r="AD167" s="2" t="str">
        <f>'Rate Calculator'!BE178</f>
        <v>AU0043-34-003 (163)</v>
      </c>
    </row>
    <row r="168" spans="28:30">
      <c r="AB168" s="2" t="str">
        <f>'Rate Calculator'!BC179</f>
        <v>P02A775 (164)</v>
      </c>
      <c r="AC168" s="2" t="str">
        <f>'Rate Calculator'!BD179</f>
        <v>V0914528735049 (164)</v>
      </c>
      <c r="AD168" s="2" t="str">
        <f>'Rate Calculator'!BE179</f>
        <v>AU0079-33-650 (164)</v>
      </c>
    </row>
    <row r="169" spans="28:30">
      <c r="AB169" s="2" t="str">
        <f>'Rate Calculator'!BC180</f>
        <v>P02A605 (165)</v>
      </c>
      <c r="AC169" s="2" t="str">
        <f>'Rate Calculator'!BD180</f>
        <v>V0441998668289 (165)</v>
      </c>
      <c r="AD169" s="2" t="str">
        <f>'Rate Calculator'!BE180</f>
        <v>AU0080-33-158 (165)</v>
      </c>
    </row>
    <row r="170" spans="28:30">
      <c r="AB170" s="2" t="str">
        <f>'Rate Calculator'!BC181</f>
        <v>P02A703 (166)</v>
      </c>
      <c r="AC170" s="2" t="str">
        <f>'Rate Calculator'!BD181</f>
        <v>V0553277064550 (166)</v>
      </c>
      <c r="AD170" s="2" t="str">
        <f>'Rate Calculator'!BE181</f>
        <v>AU0030-72-496 (166)</v>
      </c>
    </row>
    <row r="171" spans="28:30">
      <c r="AB171" s="2" t="str">
        <f>'Rate Calculator'!BC182</f>
        <v>P02A574 (167)</v>
      </c>
      <c r="AC171" s="2" t="str">
        <f>'Rate Calculator'!BD182</f>
        <v>V0155364957698 (167)</v>
      </c>
      <c r="AD171" s="2" t="str">
        <f>'Rate Calculator'!BE182</f>
        <v>AU0026-50-768 (167)</v>
      </c>
    </row>
    <row r="172" spans="28:30">
      <c r="AB172" s="2" t="str">
        <f>'Rate Calculator'!BC183</f>
        <v>P02A549 (168)</v>
      </c>
      <c r="AC172" s="2" t="str">
        <f>'Rate Calculator'!BD183</f>
        <v>V0030467992368 (168)</v>
      </c>
      <c r="AD172" s="2" t="str">
        <f>'Rate Calculator'!BE183</f>
        <v>AU0054-74-838 (168)</v>
      </c>
    </row>
    <row r="173" spans="28:30">
      <c r="AB173" s="2" t="str">
        <f>'Rate Calculator'!BC184</f>
        <v>P02A468 (169)</v>
      </c>
      <c r="AC173" s="2" t="str">
        <f>'Rate Calculator'!BD184</f>
        <v>V0942238404714 (169)</v>
      </c>
      <c r="AD173" s="2" t="str">
        <f>'Rate Calculator'!BE184</f>
        <v>AU0045-90-368 (169)</v>
      </c>
    </row>
    <row r="174" spans="28:30">
      <c r="AB174" s="2" t="str">
        <f>'Rate Calculator'!BC185</f>
        <v>P02A13 (170)</v>
      </c>
      <c r="AC174" s="2" t="str">
        <f>'Rate Calculator'!BD185</f>
        <v>V0186829400736 (170)</v>
      </c>
      <c r="AD174" s="2" t="str">
        <f>'Rate Calculator'!BE185</f>
        <v>AU0028-58-428 (170)</v>
      </c>
    </row>
    <row r="175" spans="28:30">
      <c r="AB175" s="2" t="str">
        <f>'Rate Calculator'!BC186</f>
        <v>P02A281 (171)</v>
      </c>
      <c r="AC175" s="2" t="str">
        <f>'Rate Calculator'!BD186</f>
        <v>V0048372758556 (171)</v>
      </c>
      <c r="AD175" s="2" t="str">
        <f>'Rate Calculator'!BE186</f>
        <v>AU0046-13-462 (171)</v>
      </c>
    </row>
    <row r="176" spans="28:30">
      <c r="AB176" s="2" t="str">
        <f>'Rate Calculator'!BC187</f>
        <v>P02A900 (172)</v>
      </c>
      <c r="AC176" s="2" t="str">
        <f>'Rate Calculator'!BD187</f>
        <v>V0763986947206 (172)</v>
      </c>
      <c r="AD176" s="2" t="str">
        <f>'Rate Calculator'!BE187</f>
        <v>AU0046-98-914 (172)</v>
      </c>
    </row>
    <row r="177" spans="28:30">
      <c r="AB177" s="2" t="str">
        <f>'Rate Calculator'!BC188</f>
        <v>P02A892 (173)</v>
      </c>
      <c r="AC177" s="2" t="str">
        <f>'Rate Calculator'!BD188</f>
        <v>V0283498470388 (173)</v>
      </c>
      <c r="AD177" s="2" t="str">
        <f>'Rate Calculator'!BE188</f>
        <v>AU0053-49-624 (173)</v>
      </c>
    </row>
    <row r="178" spans="28:30">
      <c r="AB178" s="2" t="str">
        <f>'Rate Calculator'!BC189</f>
        <v>P02A739 (174)</v>
      </c>
      <c r="AC178" s="2" t="str">
        <f>'Rate Calculator'!BD189</f>
        <v>V0129076862413 (174)</v>
      </c>
      <c r="AD178" s="2" t="str">
        <f>'Rate Calculator'!BE189</f>
        <v>AU0035-31-598 (174)</v>
      </c>
    </row>
    <row r="179" spans="28:30">
      <c r="AB179" s="2" t="str">
        <f>'Rate Calculator'!BC190</f>
        <v>P02A994 (175)</v>
      </c>
      <c r="AC179" s="2" t="str">
        <f>'Rate Calculator'!BD190</f>
        <v>V0205289764945 (175)</v>
      </c>
      <c r="AD179" s="2" t="str">
        <f>'Rate Calculator'!BE190</f>
        <v>AU0006-69-169 (175)</v>
      </c>
    </row>
    <row r="180" spans="28:30">
      <c r="AB180" s="2" t="str">
        <f>'Rate Calculator'!BC191</f>
        <v>P02A441 (176)</v>
      </c>
      <c r="AC180" s="2" t="str">
        <f>'Rate Calculator'!BD191</f>
        <v>V0227432474730 (176)</v>
      </c>
      <c r="AD180" s="2" t="str">
        <f>'Rate Calculator'!BE191</f>
        <v>AU0053-67-561 (176)</v>
      </c>
    </row>
    <row r="181" spans="28:30">
      <c r="AB181" s="2" t="str">
        <f>'Rate Calculator'!BC192</f>
        <v>P02A709 (177)</v>
      </c>
      <c r="AC181" s="2" t="str">
        <f>'Rate Calculator'!BD192</f>
        <v>V0117533103989 (177)</v>
      </c>
      <c r="AD181" s="2" t="str">
        <f>'Rate Calculator'!BE192</f>
        <v>AU0045-25-606 (177)</v>
      </c>
    </row>
    <row r="182" spans="28:30">
      <c r="AB182" s="2" t="str">
        <f>'Rate Calculator'!BC193</f>
        <v>P02A1 (178)</v>
      </c>
      <c r="AC182" s="2" t="str">
        <f>'Rate Calculator'!BD193</f>
        <v>V0776837040002 (178)</v>
      </c>
      <c r="AD182" s="2" t="str">
        <f>'Rate Calculator'!BE193</f>
        <v>AU0071-53-804 (178)</v>
      </c>
    </row>
    <row r="183" spans="28:30">
      <c r="AB183" s="2" t="str">
        <f>'Rate Calculator'!BC194</f>
        <v>P02A868 (179)</v>
      </c>
      <c r="AC183" s="2" t="str">
        <f>'Rate Calculator'!BD194</f>
        <v>V0705087232954 (179)</v>
      </c>
      <c r="AD183" s="2" t="str">
        <f>'Rate Calculator'!BE194</f>
        <v>AU0056-41-981 (179)</v>
      </c>
    </row>
    <row r="184" spans="28:30">
      <c r="AB184" s="2" t="str">
        <f>'Rate Calculator'!BC195</f>
        <v>P02A330 (180)</v>
      </c>
      <c r="AC184" s="2" t="str">
        <f>'Rate Calculator'!BD195</f>
        <v>V0775330659845 (180)</v>
      </c>
      <c r="AD184" s="2" t="str">
        <f>'Rate Calculator'!BE195</f>
        <v>AU0042-01-500 (180)</v>
      </c>
    </row>
    <row r="185" spans="28:30">
      <c r="AB185" s="2" t="str">
        <f>'Rate Calculator'!BC196</f>
        <v>P02A409 (181)</v>
      </c>
      <c r="AC185" s="2" t="str">
        <f>'Rate Calculator'!BD196</f>
        <v>V0374387010196 (181)</v>
      </c>
      <c r="AD185" s="2" t="str">
        <f>'Rate Calculator'!BE196</f>
        <v>AU0056-63-416 (181)</v>
      </c>
    </row>
    <row r="186" spans="28:30">
      <c r="AB186" s="2" t="str">
        <f>'Rate Calculator'!BC197</f>
        <v>P02A410 (182)</v>
      </c>
      <c r="AC186" s="2" t="str">
        <f>'Rate Calculator'!BD197</f>
        <v>V0890625403802 (182)</v>
      </c>
      <c r="AD186" s="2" t="str">
        <f>'Rate Calculator'!BE197</f>
        <v>AU0063-82-989 (182)</v>
      </c>
    </row>
    <row r="187" spans="28:30">
      <c r="AB187" s="2" t="str">
        <f>'Rate Calculator'!BC198</f>
        <v>P02A866 (183)</v>
      </c>
      <c r="AC187" s="2" t="str">
        <f>'Rate Calculator'!BD198</f>
        <v>V0756255181164 (183)</v>
      </c>
      <c r="AD187" s="2" t="str">
        <f>'Rate Calculator'!BE198</f>
        <v>AU0072-41-330 (183)</v>
      </c>
    </row>
    <row r="188" spans="28:30">
      <c r="AB188" s="2" t="str">
        <f>'Rate Calculator'!BC199</f>
        <v>P02A957 (184)</v>
      </c>
      <c r="AC188" s="2" t="str">
        <f>'Rate Calculator'!BD199</f>
        <v>V0976448798705 (184)</v>
      </c>
      <c r="AD188" s="2" t="str">
        <f>'Rate Calculator'!BE199</f>
        <v>AU0085-90-901 (184)</v>
      </c>
    </row>
    <row r="189" spans="28:30">
      <c r="AB189" s="2" t="str">
        <f>'Rate Calculator'!BC200</f>
        <v>P02A740 (185)</v>
      </c>
      <c r="AC189" s="2" t="str">
        <f>'Rate Calculator'!BD200</f>
        <v>V0262580693983 (185)</v>
      </c>
      <c r="AD189" s="2" t="str">
        <f>'Rate Calculator'!BE200</f>
        <v>AU0013-62-494 (185)</v>
      </c>
    </row>
    <row r="190" spans="28:30">
      <c r="AB190" s="2" t="str">
        <f>'Rate Calculator'!BC201</f>
        <v>P02A343 (186)</v>
      </c>
      <c r="AC190" s="2" t="str">
        <f>'Rate Calculator'!BD201</f>
        <v>V0713631599333 (186)</v>
      </c>
      <c r="AD190" s="2" t="str">
        <f>'Rate Calculator'!BE201</f>
        <v>AU0061-03-113 (186)</v>
      </c>
    </row>
    <row r="191" spans="28:30">
      <c r="AB191" s="2" t="str">
        <f>'Rate Calculator'!BC202</f>
        <v>P02A690 (187)</v>
      </c>
      <c r="AC191" s="2" t="str">
        <f>'Rate Calculator'!BD202</f>
        <v>V0911125170957 (187)</v>
      </c>
      <c r="AD191" s="2" t="str">
        <f>'Rate Calculator'!BE202</f>
        <v>AU0042-40-086 (187)</v>
      </c>
    </row>
    <row r="192" spans="28:30">
      <c r="AB192" s="2" t="str">
        <f>'Rate Calculator'!BC203</f>
        <v>P02A758 (188)</v>
      </c>
      <c r="AC192" s="2" t="str">
        <f>'Rate Calculator'!BD203</f>
        <v>V0928250545042 (188)</v>
      </c>
      <c r="AD192" s="2" t="str">
        <f>'Rate Calculator'!BE203</f>
        <v>AU0073-04-310 (188)</v>
      </c>
    </row>
    <row r="193" spans="28:30">
      <c r="AB193" s="2" t="str">
        <f>'Rate Calculator'!BC204</f>
        <v>P02A883 (189)</v>
      </c>
      <c r="AC193" s="2" t="str">
        <f>'Rate Calculator'!BD204</f>
        <v>V0846856008253 (189)</v>
      </c>
      <c r="AD193" s="2" t="str">
        <f>'Rate Calculator'!BE204</f>
        <v>AU0073-67-830 (189)</v>
      </c>
    </row>
    <row r="194" spans="28:30">
      <c r="AB194" s="2" t="str">
        <f>'Rate Calculator'!BC205</f>
        <v>P02A250 (190)</v>
      </c>
      <c r="AC194" s="2" t="str">
        <f>'Rate Calculator'!BD205</f>
        <v>V0138488274429 (190)</v>
      </c>
      <c r="AD194" s="2" t="str">
        <f>'Rate Calculator'!BE205</f>
        <v>AU0094-97-704 (190)</v>
      </c>
    </row>
    <row r="195" spans="28:30">
      <c r="AB195" s="2" t="str">
        <f>'Rate Calculator'!BC206</f>
        <v>P02A914 (191)</v>
      </c>
      <c r="AC195" s="2" t="str">
        <f>'Rate Calculator'!BD206</f>
        <v>V0549347663223 (191)</v>
      </c>
      <c r="AD195" s="2" t="str">
        <f>'Rate Calculator'!BE206</f>
        <v>AU0080-88-619 (191)</v>
      </c>
    </row>
    <row r="196" spans="28:30">
      <c r="AB196" s="2" t="str">
        <f>'Rate Calculator'!BC207</f>
        <v>P02A686 (192)</v>
      </c>
      <c r="AC196" s="2" t="str">
        <f>'Rate Calculator'!BD207</f>
        <v>V0666514161038 (192)</v>
      </c>
      <c r="AD196" s="2" t="str">
        <f>'Rate Calculator'!BE207</f>
        <v>AU0085-41-229 (192)</v>
      </c>
    </row>
    <row r="197" spans="28:30">
      <c r="AB197" s="2" t="str">
        <f>'Rate Calculator'!BC208</f>
        <v>P02A19 (193)</v>
      </c>
      <c r="AC197" s="2" t="str">
        <f>'Rate Calculator'!BD208</f>
        <v>V0393428825138 (193)</v>
      </c>
      <c r="AD197" s="2" t="str">
        <f>'Rate Calculator'!BE208</f>
        <v>AU0060-53-316 (193)</v>
      </c>
    </row>
    <row r="198" spans="28:30">
      <c r="AB198" s="2" t="str">
        <f>'Rate Calculator'!BC209</f>
        <v>P02A236 (194)</v>
      </c>
      <c r="AC198" s="2" t="str">
        <f>'Rate Calculator'!BD209</f>
        <v>V0695168000208 (194)</v>
      </c>
      <c r="AD198" s="2" t="str">
        <f>'Rate Calculator'!BE209</f>
        <v>AU0047-87-934 (194)</v>
      </c>
    </row>
    <row r="199" spans="28:30">
      <c r="AB199" s="2" t="str">
        <f>'Rate Calculator'!BC210</f>
        <v>P02A422 (195)</v>
      </c>
      <c r="AC199" s="2" t="str">
        <f>'Rate Calculator'!BD210</f>
        <v>V0961834373120 (195)</v>
      </c>
      <c r="AD199" s="2" t="str">
        <f>'Rate Calculator'!BE210</f>
        <v>AU0081-26-669 (195)</v>
      </c>
    </row>
    <row r="200" spans="28:30">
      <c r="AB200" s="2" t="str">
        <f>'Rate Calculator'!BC211</f>
        <v>P02A445 (196)</v>
      </c>
      <c r="AC200" s="2" t="str">
        <f>'Rate Calculator'!BD211</f>
        <v>V0434765061375 (196)</v>
      </c>
      <c r="AD200" s="2" t="str">
        <f>'Rate Calculator'!BE211</f>
        <v>AU0024-04-785 (196)</v>
      </c>
    </row>
    <row r="201" spans="28:30">
      <c r="AB201" s="2" t="str">
        <f>'Rate Calculator'!BC212</f>
        <v>P02A72 (197)</v>
      </c>
      <c r="AC201" s="2" t="str">
        <f>'Rate Calculator'!BD212</f>
        <v>V0781800302904 (197)</v>
      </c>
      <c r="AD201" s="2" t="str">
        <f>'Rate Calculator'!BE212</f>
        <v>AU0040-93-219 (197)</v>
      </c>
    </row>
    <row r="202" spans="28:30">
      <c r="AB202" s="2" t="str">
        <f>'Rate Calculator'!BC213</f>
        <v>P02A620 (198)</v>
      </c>
      <c r="AC202" s="2" t="str">
        <f>'Rate Calculator'!BD213</f>
        <v>V0716188994694 (198)</v>
      </c>
      <c r="AD202" s="2" t="str">
        <f>'Rate Calculator'!BE213</f>
        <v>AU0093-71-786 (198)</v>
      </c>
    </row>
    <row r="203" spans="28:30">
      <c r="AB203" s="2" t="str">
        <f>'Rate Calculator'!BC214</f>
        <v>P02A321 (199)</v>
      </c>
      <c r="AC203" s="2" t="str">
        <f>'Rate Calculator'!BD214</f>
        <v>V0843117488010 (199)</v>
      </c>
      <c r="AD203" s="2" t="str">
        <f>'Rate Calculator'!BE214</f>
        <v>AU0024-16-442 (199)</v>
      </c>
    </row>
    <row r="204" spans="28:30">
      <c r="AB204" s="2" t="str">
        <f>'Rate Calculator'!BC215</f>
        <v>P02A941 (200)</v>
      </c>
      <c r="AC204" s="2" t="str">
        <f>'Rate Calculator'!BD215</f>
        <v>V0001941531715 (200)</v>
      </c>
      <c r="AD204" s="2" t="str">
        <f>'Rate Calculator'!BE215</f>
        <v>AU0067-28-192 (200)</v>
      </c>
    </row>
    <row r="205" spans="28:30">
      <c r="AB205" s="2" t="str">
        <f>'Rate Calculator'!BC216</f>
        <v>P02A952 (201)</v>
      </c>
      <c r="AC205" s="2" t="str">
        <f>'Rate Calculator'!BD216</f>
        <v>V0746741137544 (201)</v>
      </c>
      <c r="AD205" s="2" t="str">
        <f>'Rate Calculator'!BE216</f>
        <v>AU0013-68-815 (201)</v>
      </c>
    </row>
    <row r="206" spans="28:30">
      <c r="AB206" s="2" t="str">
        <f>'Rate Calculator'!BC217</f>
        <v>P02A580 (202)</v>
      </c>
      <c r="AC206" s="2" t="str">
        <f>'Rate Calculator'!BD217</f>
        <v>V0316450432364 (202)</v>
      </c>
      <c r="AD206" s="2" t="str">
        <f>'Rate Calculator'!BE217</f>
        <v>AU0034-28-843 (202)</v>
      </c>
    </row>
    <row r="207" spans="28:30">
      <c r="AB207" s="2" t="str">
        <f>'Rate Calculator'!BC218</f>
        <v>P02A878 (203)</v>
      </c>
      <c r="AC207" s="2" t="str">
        <f>'Rate Calculator'!BD218</f>
        <v>V0209495619067 (203)</v>
      </c>
      <c r="AD207" s="2" t="str">
        <f>'Rate Calculator'!BE218</f>
        <v>AU0018-90-590 (203)</v>
      </c>
    </row>
    <row r="208" spans="28:30">
      <c r="AB208" s="2" t="str">
        <f>'Rate Calculator'!BC219</f>
        <v>P02A61 (204)</v>
      </c>
      <c r="AC208" s="2" t="str">
        <f>'Rate Calculator'!BD219</f>
        <v>V0185964907946 (204)</v>
      </c>
      <c r="AD208" s="2" t="str">
        <f>'Rate Calculator'!BE219</f>
        <v>AU0098-17-537 (204)</v>
      </c>
    </row>
    <row r="209" spans="28:30">
      <c r="AB209" s="2" t="str">
        <f>'Rate Calculator'!BC220</f>
        <v>P02A4 (205)</v>
      </c>
      <c r="AC209" s="2" t="str">
        <f>'Rate Calculator'!BD220</f>
        <v>V0654505806568 (205)</v>
      </c>
      <c r="AD209" s="2" t="str">
        <f>'Rate Calculator'!BE220</f>
        <v>AU0031-41-879 (205)</v>
      </c>
    </row>
    <row r="210" spans="28:30">
      <c r="AB210" s="2" t="str">
        <f>'Rate Calculator'!BC221</f>
        <v>P02A867 (206)</v>
      </c>
      <c r="AC210" s="2" t="str">
        <f>'Rate Calculator'!BD221</f>
        <v>V0666516500986 (206)</v>
      </c>
      <c r="AD210" s="2" t="str">
        <f>'Rate Calculator'!BE221</f>
        <v>AU0047-19-045 (206)</v>
      </c>
    </row>
    <row r="211" spans="28:30">
      <c r="AB211" s="2" t="str">
        <f>'Rate Calculator'!BC222</f>
        <v>P02A547 (207)</v>
      </c>
      <c r="AC211" s="2" t="str">
        <f>'Rate Calculator'!BD222</f>
        <v>V0711146419964 (207)</v>
      </c>
      <c r="AD211" s="2" t="str">
        <f>'Rate Calculator'!BE222</f>
        <v>AU0090-72-713 (207)</v>
      </c>
    </row>
    <row r="212" spans="28:30">
      <c r="AB212" s="2" t="str">
        <f>'Rate Calculator'!BC223</f>
        <v>P02A756 (208)</v>
      </c>
      <c r="AC212" s="2" t="str">
        <f>'Rate Calculator'!BD223</f>
        <v>V0196556316912 (208)</v>
      </c>
      <c r="AD212" s="2" t="str">
        <f>'Rate Calculator'!BE223</f>
        <v>AU0067-96-211 (208)</v>
      </c>
    </row>
    <row r="213" spans="28:30">
      <c r="AB213" s="2" t="str">
        <f>'Rate Calculator'!BC224</f>
        <v>P02A742 (209)</v>
      </c>
      <c r="AC213" s="2" t="str">
        <f>'Rate Calculator'!BD224</f>
        <v>V0927834672996 (209)</v>
      </c>
      <c r="AD213" s="2" t="str">
        <f>'Rate Calculator'!BE224</f>
        <v>AU0096-31-771 (209)</v>
      </c>
    </row>
    <row r="214" spans="28:30">
      <c r="AB214" s="2" t="str">
        <f>'Rate Calculator'!BC225</f>
        <v>P02A113 (210)</v>
      </c>
      <c r="AC214" s="2" t="str">
        <f>'Rate Calculator'!BD225</f>
        <v>V0718395588688 (210)</v>
      </c>
      <c r="AD214" s="2" t="str">
        <f>'Rate Calculator'!BE225</f>
        <v>AU0067-19-252 (210)</v>
      </c>
    </row>
    <row r="215" spans="28:30">
      <c r="AB215" s="2" t="str">
        <f>'Rate Calculator'!BC226</f>
        <v>P02A504 (211)</v>
      </c>
      <c r="AC215" s="2" t="str">
        <f>'Rate Calculator'!BD226</f>
        <v>V0288941034892 (211)</v>
      </c>
      <c r="AD215" s="2" t="str">
        <f>'Rate Calculator'!BE226</f>
        <v>AU0070-94-543 (211)</v>
      </c>
    </row>
    <row r="216" spans="28:30">
      <c r="AB216" s="2" t="str">
        <f>'Rate Calculator'!BC227</f>
        <v>P02A73 (212)</v>
      </c>
      <c r="AC216" s="2" t="str">
        <f>'Rate Calculator'!BD227</f>
        <v>V0727795001684 (212)</v>
      </c>
      <c r="AD216" s="2" t="str">
        <f>'Rate Calculator'!BE227</f>
        <v>AU0032-63-224 (212)</v>
      </c>
    </row>
    <row r="217" spans="28:30">
      <c r="AB217" s="2" t="str">
        <f>'Rate Calculator'!BC228</f>
        <v>P02A655 (213)</v>
      </c>
      <c r="AC217" s="2" t="str">
        <f>'Rate Calculator'!BD228</f>
        <v>V0363060022699 (213)</v>
      </c>
      <c r="AD217" s="2" t="str">
        <f>'Rate Calculator'!BE228</f>
        <v>AU0075-70-348 (213)</v>
      </c>
    </row>
    <row r="218" spans="28:30">
      <c r="AB218" s="2" t="str">
        <f>'Rate Calculator'!BC229</f>
        <v>P02A502 (214)</v>
      </c>
      <c r="AC218" s="2" t="str">
        <f>'Rate Calculator'!BD229</f>
        <v>V0757920050626 (214)</v>
      </c>
      <c r="AD218" s="2" t="str">
        <f>'Rate Calculator'!BE229</f>
        <v>AU0081-17-913 (214)</v>
      </c>
    </row>
    <row r="219" spans="28:30">
      <c r="AB219" s="2" t="str">
        <f>'Rate Calculator'!BC230</f>
        <v>P02A964 (215)</v>
      </c>
      <c r="AC219" s="2" t="str">
        <f>'Rate Calculator'!BD230</f>
        <v>V0007218700501 (215)</v>
      </c>
      <c r="AD219" s="2" t="str">
        <f>'Rate Calculator'!BE230</f>
        <v>AU0006-47-704 (215)</v>
      </c>
    </row>
    <row r="220" spans="28:30">
      <c r="AB220" s="2" t="str">
        <f>'Rate Calculator'!BC231</f>
        <v>P02A46 (216)</v>
      </c>
      <c r="AC220" s="2" t="str">
        <f>'Rate Calculator'!BD231</f>
        <v>V0475296037487 (216)</v>
      </c>
      <c r="AD220" s="2" t="str">
        <f>'Rate Calculator'!BE231</f>
        <v>AU0079-37-278 (216)</v>
      </c>
    </row>
    <row r="221" spans="28:30">
      <c r="AB221" s="2" t="str">
        <f>'Rate Calculator'!BC232</f>
        <v>P02A515 (217)</v>
      </c>
      <c r="AC221" s="2" t="str">
        <f>'Rate Calculator'!BD232</f>
        <v>V0680328178382 (217)</v>
      </c>
      <c r="AD221" s="2" t="str">
        <f>'Rate Calculator'!BE232</f>
        <v>AU0011-45-365 (217)</v>
      </c>
    </row>
    <row r="222" spans="28:30">
      <c r="AB222" s="2" t="str">
        <f>'Rate Calculator'!BC233</f>
        <v>P02A753 (218)</v>
      </c>
      <c r="AC222" s="2" t="str">
        <f>'Rate Calculator'!BD233</f>
        <v>V0481231414556 (218)</v>
      </c>
      <c r="AD222" s="2" t="str">
        <f>'Rate Calculator'!BE233</f>
        <v>AU0071-94-875 (218)</v>
      </c>
    </row>
    <row r="223" spans="28:30">
      <c r="AB223" s="2" t="str">
        <f>'Rate Calculator'!BC234</f>
        <v>P02A300 (219)</v>
      </c>
      <c r="AC223" s="2" t="str">
        <f>'Rate Calculator'!BD234</f>
        <v>V0630429756045 (219)</v>
      </c>
      <c r="AD223" s="2" t="str">
        <f>'Rate Calculator'!BE234</f>
        <v>AU0020-86-759 (219)</v>
      </c>
    </row>
    <row r="224" spans="28:30">
      <c r="AB224" s="2" t="str">
        <f>'Rate Calculator'!BC235</f>
        <v>P02A17 (220)</v>
      </c>
      <c r="AC224" s="2" t="str">
        <f>'Rate Calculator'!BD235</f>
        <v>V0208832877091 (220)</v>
      </c>
      <c r="AD224" s="2" t="str">
        <f>'Rate Calculator'!BE235</f>
        <v>AU0020-61-468 (220)</v>
      </c>
    </row>
    <row r="225" spans="28:30">
      <c r="AB225" s="2" t="str">
        <f>'Rate Calculator'!BC236</f>
        <v>P02A702 (221)</v>
      </c>
      <c r="AC225" s="2" t="str">
        <f>'Rate Calculator'!BD236</f>
        <v>V0322304517224 (221)</v>
      </c>
      <c r="AD225" s="2" t="str">
        <f>'Rate Calculator'!BE236</f>
        <v>AU0006-71-080 (221)</v>
      </c>
    </row>
    <row r="226" spans="28:30">
      <c r="AB226" s="2" t="str">
        <f>'Rate Calculator'!BC237</f>
        <v>P02A233 (222)</v>
      </c>
      <c r="AC226" s="2" t="str">
        <f>'Rate Calculator'!BD237</f>
        <v>V0305420397389 (222)</v>
      </c>
      <c r="AD226" s="2" t="str">
        <f>'Rate Calculator'!BE237</f>
        <v>AU0037-32-363 (222)</v>
      </c>
    </row>
    <row r="227" spans="28:30">
      <c r="AB227" s="2" t="str">
        <f>'Rate Calculator'!BC238</f>
        <v>P02A285 (223)</v>
      </c>
      <c r="AC227" s="2" t="str">
        <f>'Rate Calculator'!BD238</f>
        <v>V0482518349925 (223)</v>
      </c>
      <c r="AD227" s="2" t="str">
        <f>'Rate Calculator'!BE238</f>
        <v>AU0095-92-956 (223)</v>
      </c>
    </row>
    <row r="228" spans="28:30">
      <c r="AB228" s="2" t="str">
        <f>'Rate Calculator'!BC239</f>
        <v>P02A484 (224)</v>
      </c>
      <c r="AC228" s="2" t="str">
        <f>'Rate Calculator'!BD239</f>
        <v>V0703057145612 (224)</v>
      </c>
      <c r="AD228" s="2" t="str">
        <f>'Rate Calculator'!BE239</f>
        <v>AU0049-58-914 (224)</v>
      </c>
    </row>
    <row r="229" spans="28:30">
      <c r="AB229" s="2" t="str">
        <f>'Rate Calculator'!BC240</f>
        <v>P02A933 (225)</v>
      </c>
      <c r="AC229" s="2" t="str">
        <f>'Rate Calculator'!BD240</f>
        <v>V0530065175295 (225)</v>
      </c>
      <c r="AD229" s="2" t="str">
        <f>'Rate Calculator'!BE240</f>
        <v>AU0073-16-544 (225)</v>
      </c>
    </row>
    <row r="230" spans="28:30">
      <c r="AB230" s="2" t="str">
        <f>'Rate Calculator'!BC241</f>
        <v>P02A309 (226)</v>
      </c>
      <c r="AC230" s="2" t="str">
        <f>'Rate Calculator'!BD241</f>
        <v>V0732412805816 (226)</v>
      </c>
      <c r="AD230" s="2" t="str">
        <f>'Rate Calculator'!BE241</f>
        <v>AU0015-04-526 (226)</v>
      </c>
    </row>
    <row r="231" spans="28:30">
      <c r="AB231" s="2" t="str">
        <f>'Rate Calculator'!BC242</f>
        <v>P02A245 (227)</v>
      </c>
      <c r="AC231" s="2" t="str">
        <f>'Rate Calculator'!BD242</f>
        <v>V0045178419860 (227)</v>
      </c>
      <c r="AD231" s="2" t="str">
        <f>'Rate Calculator'!BE242</f>
        <v>AU0091-08-258 (227)</v>
      </c>
    </row>
    <row r="232" spans="28:30">
      <c r="AB232" s="2" t="str">
        <f>'Rate Calculator'!BC243</f>
        <v>P02A392 (228)</v>
      </c>
      <c r="AC232" s="2" t="str">
        <f>'Rate Calculator'!BD243</f>
        <v>V0323351098092 (228)</v>
      </c>
      <c r="AD232" s="2" t="str">
        <f>'Rate Calculator'!BE243</f>
        <v>AU0074-72-923 (228)</v>
      </c>
    </row>
    <row r="233" spans="28:30">
      <c r="AB233" s="2" t="str">
        <f>'Rate Calculator'!BC244</f>
        <v>P02A195 (229)</v>
      </c>
      <c r="AC233" s="2" t="str">
        <f>'Rate Calculator'!BD244</f>
        <v>V0142804526140 (229)</v>
      </c>
      <c r="AD233" s="2" t="str">
        <f>'Rate Calculator'!BE244</f>
        <v>AU0028-14-374 (229)</v>
      </c>
    </row>
    <row r="234" spans="28:30">
      <c r="AB234" s="2" t="str">
        <f>'Rate Calculator'!BC245</f>
        <v>P02A293 (230)</v>
      </c>
      <c r="AC234" s="2" t="str">
        <f>'Rate Calculator'!BD245</f>
        <v>V0649602665548 (230)</v>
      </c>
      <c r="AD234" s="2" t="str">
        <f>'Rate Calculator'!BE245</f>
        <v>AU0077-49-874 (230)</v>
      </c>
    </row>
    <row r="235" spans="28:30">
      <c r="AB235" s="2" t="str">
        <f>'Rate Calculator'!BC246</f>
        <v>P02A710 (231)</v>
      </c>
      <c r="AC235" s="2" t="str">
        <f>'Rate Calculator'!BD246</f>
        <v>V0837905401583 (231)</v>
      </c>
      <c r="AD235" s="2" t="str">
        <f>'Rate Calculator'!BE246</f>
        <v>AU0019-88-920 (231)</v>
      </c>
    </row>
    <row r="236" spans="28:30">
      <c r="AB236" s="2" t="str">
        <f>'Rate Calculator'!BC247</f>
        <v>P02A637 (232)</v>
      </c>
      <c r="AC236" s="2" t="str">
        <f>'Rate Calculator'!BD247</f>
        <v>V0419847225526 (232)</v>
      </c>
      <c r="AD236" s="2" t="str">
        <f>'Rate Calculator'!BE247</f>
        <v>AU0025-99-998 (232)</v>
      </c>
    </row>
    <row r="237" spans="28:30">
      <c r="AB237" s="2" t="str">
        <f>'Rate Calculator'!BC248</f>
        <v>P02A967 (233)</v>
      </c>
      <c r="AC237" s="2" t="str">
        <f>'Rate Calculator'!BD248</f>
        <v>V0767543859832 (233)</v>
      </c>
      <c r="AD237" s="2" t="str">
        <f>'Rate Calculator'!BE248</f>
        <v>AU0052-21-398 (233)</v>
      </c>
    </row>
    <row r="238" spans="28:30">
      <c r="AB238" s="2" t="str">
        <f>'Rate Calculator'!BC249</f>
        <v>P02A916 (234)</v>
      </c>
      <c r="AC238" s="2" t="str">
        <f>'Rate Calculator'!BD249</f>
        <v>V0529333522682 (234)</v>
      </c>
      <c r="AD238" s="2" t="str">
        <f>'Rate Calculator'!BE249</f>
        <v>AU0012-27-966 (234)</v>
      </c>
    </row>
    <row r="239" spans="28:30">
      <c r="AB239" s="2" t="str">
        <f>'Rate Calculator'!BC250</f>
        <v>P02A246 (235)</v>
      </c>
      <c r="AC239" s="2" t="str">
        <f>'Rate Calculator'!BD250</f>
        <v>V0376647872301 (235)</v>
      </c>
      <c r="AD239" s="2" t="str">
        <f>'Rate Calculator'!BE250</f>
        <v>AU0083-90-206 (235)</v>
      </c>
    </row>
    <row r="240" spans="28:30">
      <c r="AB240" s="2" t="str">
        <f>'Rate Calculator'!BC251</f>
        <v>P02A596 (236)</v>
      </c>
      <c r="AC240" s="2" t="str">
        <f>'Rate Calculator'!BD251</f>
        <v>V0779253655901 (236)</v>
      </c>
      <c r="AD240" s="2" t="str">
        <f>'Rate Calculator'!BE251</f>
        <v>AU0071-44-187 (236)</v>
      </c>
    </row>
    <row r="241" spans="28:30">
      <c r="AB241" s="2" t="str">
        <f>'Rate Calculator'!BC252</f>
        <v>P02A186 (237)</v>
      </c>
      <c r="AC241" s="2" t="str">
        <f>'Rate Calculator'!BD252</f>
        <v>V0122849654577 (237)</v>
      </c>
      <c r="AD241" s="2" t="str">
        <f>'Rate Calculator'!BE252</f>
        <v>AU0067-39-626 (237)</v>
      </c>
    </row>
    <row r="242" spans="28:30">
      <c r="AB242" s="2" t="str">
        <f>'Rate Calculator'!BC253</f>
        <v>P02A364 (238)</v>
      </c>
      <c r="AC242" s="2" t="str">
        <f>'Rate Calculator'!BD253</f>
        <v>V0127753804393 (238)</v>
      </c>
      <c r="AD242" s="2" t="str">
        <f>'Rate Calculator'!BE253</f>
        <v>AU0029-23-169 (238)</v>
      </c>
    </row>
    <row r="243" spans="28:30">
      <c r="AB243" s="2" t="str">
        <f>'Rate Calculator'!BC254</f>
        <v>P02A400 (239)</v>
      </c>
      <c r="AC243" s="2" t="str">
        <f>'Rate Calculator'!BD254</f>
        <v>V0399386769685 (239)</v>
      </c>
      <c r="AD243" s="2" t="str">
        <f>'Rate Calculator'!BE254</f>
        <v>AU0071-08-767 (239)</v>
      </c>
    </row>
    <row r="244" spans="28:30">
      <c r="AB244" s="2" t="str">
        <f>'Rate Calculator'!BC255</f>
        <v>P02A332 (240)</v>
      </c>
      <c r="AC244" s="2" t="str">
        <f>'Rate Calculator'!BD255</f>
        <v>V0305858770852 (240)</v>
      </c>
      <c r="AD244" s="2" t="str">
        <f>'Rate Calculator'!BE255</f>
        <v>AU0068-69-160 (240)</v>
      </c>
    </row>
    <row r="245" spans="28:30">
      <c r="AB245" s="2" t="str">
        <f>'Rate Calculator'!BC256</f>
        <v>P02A217 (241)</v>
      </c>
      <c r="AC245" s="2" t="str">
        <f>'Rate Calculator'!BD256</f>
        <v>V0887142011737 (241)</v>
      </c>
      <c r="AD245" s="2" t="str">
        <f>'Rate Calculator'!BE256</f>
        <v>AU0000-44-773 (241)</v>
      </c>
    </row>
    <row r="246" spans="28:30">
      <c r="AB246" s="2" t="str">
        <f>'Rate Calculator'!BC257</f>
        <v>P02A825 (242)</v>
      </c>
      <c r="AC246" s="2" t="str">
        <f>'Rate Calculator'!BD257</f>
        <v>V0832474791706 (242)</v>
      </c>
      <c r="AD246" s="2" t="str">
        <f>'Rate Calculator'!BE257</f>
        <v>AU0002-21-260 (242)</v>
      </c>
    </row>
    <row r="247" spans="28:30">
      <c r="AB247" s="2" t="str">
        <f>'Rate Calculator'!BC258</f>
        <v>P02A784 (243)</v>
      </c>
      <c r="AC247" s="2" t="str">
        <f>'Rate Calculator'!BD258</f>
        <v>V0889238951729 (243)</v>
      </c>
      <c r="AD247" s="2" t="str">
        <f>'Rate Calculator'!BE258</f>
        <v>AU0072-68-837 (243)</v>
      </c>
    </row>
    <row r="248" spans="28:30">
      <c r="AB248" s="2" t="str">
        <f>'Rate Calculator'!BC259</f>
        <v>P02A283 (244)</v>
      </c>
      <c r="AC248" s="2" t="str">
        <f>'Rate Calculator'!BD259</f>
        <v>V0030237455795 (244)</v>
      </c>
      <c r="AD248" s="2" t="str">
        <f>'Rate Calculator'!BE259</f>
        <v>AU0047-68-886 (244)</v>
      </c>
    </row>
    <row r="249" spans="28:30">
      <c r="AB249" s="2" t="str">
        <f>'Rate Calculator'!BC260</f>
        <v>P02A135 (245)</v>
      </c>
      <c r="AC249" s="2" t="str">
        <f>'Rate Calculator'!BD260</f>
        <v>V0893476237787 (245)</v>
      </c>
      <c r="AD249" s="2" t="str">
        <f>'Rate Calculator'!BE260</f>
        <v>AU0056-00-024 (245)</v>
      </c>
    </row>
    <row r="250" spans="28:30">
      <c r="AB250" s="2" t="str">
        <f>'Rate Calculator'!BC261</f>
        <v>P02A304 (246)</v>
      </c>
      <c r="AC250" s="2" t="str">
        <f>'Rate Calculator'!BD261</f>
        <v>V0048260430620 (246)</v>
      </c>
      <c r="AD250" s="2" t="str">
        <f>'Rate Calculator'!BE261</f>
        <v>AU0037-99-041 (246)</v>
      </c>
    </row>
    <row r="251" spans="28:30">
      <c r="AB251" s="2" t="str">
        <f>'Rate Calculator'!BC262</f>
        <v>P02A397 (247)</v>
      </c>
      <c r="AC251" s="2" t="str">
        <f>'Rate Calculator'!BD262</f>
        <v>V0419620560458 (247)</v>
      </c>
      <c r="AD251" s="2" t="str">
        <f>'Rate Calculator'!BE262</f>
        <v>AU0051-14-854 (247)</v>
      </c>
    </row>
    <row r="252" spans="28:30">
      <c r="AB252" s="2" t="str">
        <f>'Rate Calculator'!BC263</f>
        <v>P02A229 (248)</v>
      </c>
      <c r="AC252" s="2" t="str">
        <f>'Rate Calculator'!BD263</f>
        <v>V0054775992052 (248)</v>
      </c>
      <c r="AD252" s="2" t="str">
        <f>'Rate Calculator'!BE263</f>
        <v>AU0071-55-255 (248)</v>
      </c>
    </row>
    <row r="253" spans="28:30">
      <c r="AB253" s="2" t="str">
        <f>'Rate Calculator'!BC264</f>
        <v>P02A85 (249)</v>
      </c>
      <c r="AC253" s="2" t="str">
        <f>'Rate Calculator'!BD264</f>
        <v>V0148175319666 (249)</v>
      </c>
      <c r="AD253" s="2" t="str">
        <f>'Rate Calculator'!BE264</f>
        <v>AU0063-96-116 (249)</v>
      </c>
    </row>
    <row r="254" spans="28:30">
      <c r="AB254" s="2" t="str">
        <f>'Rate Calculator'!BC265</f>
        <v>P02A478 (250)</v>
      </c>
      <c r="AC254" s="2" t="str">
        <f>'Rate Calculator'!BD265</f>
        <v>V0028161588531 (250)</v>
      </c>
      <c r="AD254" s="2" t="str">
        <f>'Rate Calculator'!BE265</f>
        <v>AU0001-60-138 (250)</v>
      </c>
    </row>
    <row r="255" spans="28:30">
      <c r="AB255" s="2" t="str">
        <f>'Rate Calculator'!BC266</f>
        <v>P02A218 (251)</v>
      </c>
      <c r="AC255" s="2" t="str">
        <f>'Rate Calculator'!BD266</f>
        <v>V0089553292840 (251)</v>
      </c>
      <c r="AD255" s="2" t="str">
        <f>'Rate Calculator'!BE266</f>
        <v>AU0050-00-510 (251)</v>
      </c>
    </row>
    <row r="256" spans="28:30">
      <c r="AB256" s="2" t="str">
        <f>'Rate Calculator'!BC267</f>
        <v>P02A314 (252)</v>
      </c>
      <c r="AC256" s="2" t="str">
        <f>'Rate Calculator'!BD267</f>
        <v>V0620799035885 (252)</v>
      </c>
      <c r="AD256" s="2" t="str">
        <f>'Rate Calculator'!BE267</f>
        <v>AU0035-69-487 (252)</v>
      </c>
    </row>
    <row r="257" spans="28:30">
      <c r="AB257" s="2" t="str">
        <f>'Rate Calculator'!BC268</f>
        <v>P02A373 (253)</v>
      </c>
      <c r="AC257" s="2" t="str">
        <f>'Rate Calculator'!BD268</f>
        <v>V0191369878559 (253)</v>
      </c>
      <c r="AD257" s="2" t="str">
        <f>'Rate Calculator'!BE268</f>
        <v>AU0009-84-359 (253)</v>
      </c>
    </row>
    <row r="258" spans="28:30">
      <c r="AB258" s="2" t="str">
        <f>'Rate Calculator'!BC269</f>
        <v>P02A329 (254)</v>
      </c>
      <c r="AC258" s="2" t="str">
        <f>'Rate Calculator'!BD269</f>
        <v>V0794857145923 (254)</v>
      </c>
      <c r="AD258" s="2" t="str">
        <f>'Rate Calculator'!BE269</f>
        <v>AU0076-46-776 (254)</v>
      </c>
    </row>
    <row r="259" spans="28:30">
      <c r="AB259" s="2" t="str">
        <f>'Rate Calculator'!BC270</f>
        <v>P02A469 (255)</v>
      </c>
      <c r="AC259" s="2" t="str">
        <f>'Rate Calculator'!BD270</f>
        <v>V0955334638080 (255)</v>
      </c>
      <c r="AD259" s="2" t="str">
        <f>'Rate Calculator'!BE270</f>
        <v>AU0098-35-373 (255)</v>
      </c>
    </row>
    <row r="260" spans="28:30">
      <c r="AB260" s="2" t="str">
        <f>'Rate Calculator'!BC271</f>
        <v>P02A975 (256)</v>
      </c>
      <c r="AC260" s="2" t="str">
        <f>'Rate Calculator'!BD271</f>
        <v>V0796216898767 (256)</v>
      </c>
      <c r="AD260" s="2" t="str">
        <f>'Rate Calculator'!BE271</f>
        <v>AU0026-57-035 (256)</v>
      </c>
    </row>
    <row r="261" spans="28:30">
      <c r="AB261" s="2" t="str">
        <f>'Rate Calculator'!BC272</f>
        <v>P02A486 (257)</v>
      </c>
      <c r="AC261" s="2" t="str">
        <f>'Rate Calculator'!BD272</f>
        <v>V0416078908669 (257)</v>
      </c>
      <c r="AD261" s="2" t="str">
        <f>'Rate Calculator'!BE272</f>
        <v>AU0045-14-004 (257)</v>
      </c>
    </row>
    <row r="262" spans="28:30">
      <c r="AB262" s="2" t="str">
        <f>'Rate Calculator'!BC273</f>
        <v>P02A177 (258)</v>
      </c>
      <c r="AC262" s="2" t="str">
        <f>'Rate Calculator'!BD273</f>
        <v>V0409834114131 (258)</v>
      </c>
      <c r="AD262" s="2" t="str">
        <f>'Rate Calculator'!BE273</f>
        <v>AU0055-81-348 (258)</v>
      </c>
    </row>
    <row r="263" spans="28:30">
      <c r="AB263" s="2" t="str">
        <f>'Rate Calculator'!BC274</f>
        <v>P02A137 (259)</v>
      </c>
      <c r="AC263" s="2" t="str">
        <f>'Rate Calculator'!BD274</f>
        <v>V0805892564409 (259)</v>
      </c>
      <c r="AD263" s="2" t="str">
        <f>'Rate Calculator'!BE274</f>
        <v>AU0067-71-323 (259)</v>
      </c>
    </row>
    <row r="264" spans="28:30">
      <c r="AB264" s="2" t="str">
        <f>'Rate Calculator'!BC275</f>
        <v>P02A271 (260)</v>
      </c>
      <c r="AC264" s="2" t="str">
        <f>'Rate Calculator'!BD275</f>
        <v>V0579242901191 (260)</v>
      </c>
      <c r="AD264" s="2" t="str">
        <f>'Rate Calculator'!BE275</f>
        <v>AU0003-86-734 (260)</v>
      </c>
    </row>
    <row r="265" spans="28:30">
      <c r="AB265" s="2" t="str">
        <f>'Rate Calculator'!BC276</f>
        <v>P02A253 (261)</v>
      </c>
      <c r="AC265" s="2" t="str">
        <f>'Rate Calculator'!BD276</f>
        <v>V0007122262289 (261)</v>
      </c>
      <c r="AD265" s="2" t="str">
        <f>'Rate Calculator'!BE276</f>
        <v>AU0081-05-101 (261)</v>
      </c>
    </row>
    <row r="266" spans="28:30">
      <c r="AB266" s="2" t="str">
        <f>'Rate Calculator'!BC277</f>
        <v>P02A995 (262)</v>
      </c>
      <c r="AC266" s="2" t="str">
        <f>'Rate Calculator'!BD277</f>
        <v>V0314351955944 (262)</v>
      </c>
      <c r="AD266" s="2" t="str">
        <f>'Rate Calculator'!BE277</f>
        <v>AU0023-88-276 (262)</v>
      </c>
    </row>
    <row r="267" spans="28:30">
      <c r="AB267" s="2" t="str">
        <f>'Rate Calculator'!BC278</f>
        <v>P02A977 (263)</v>
      </c>
      <c r="AC267" s="2" t="str">
        <f>'Rate Calculator'!BD278</f>
        <v>V0522361216759 (263)</v>
      </c>
      <c r="AD267" s="2" t="str">
        <f>'Rate Calculator'!BE278</f>
        <v>AU0031-53-283 (263)</v>
      </c>
    </row>
    <row r="268" spans="28:30">
      <c r="AB268" s="2" t="str">
        <f>'Rate Calculator'!BC279</f>
        <v>P02A586 (264)</v>
      </c>
      <c r="AC268" s="2" t="str">
        <f>'Rate Calculator'!BD279</f>
        <v>V0430246453085 (264)</v>
      </c>
      <c r="AD268" s="2" t="str">
        <f>'Rate Calculator'!BE279</f>
        <v>AU0076-38-760 (264)</v>
      </c>
    </row>
    <row r="269" spans="28:30">
      <c r="AB269" s="2" t="str">
        <f>'Rate Calculator'!BC280</f>
        <v>P02A874 (265)</v>
      </c>
      <c r="AC269" s="2" t="str">
        <f>'Rate Calculator'!BD280</f>
        <v>V0242205972819 (265)</v>
      </c>
      <c r="AD269" s="2" t="str">
        <f>'Rate Calculator'!BE280</f>
        <v>AU0021-81-285 (265)</v>
      </c>
    </row>
    <row r="270" spans="28:30">
      <c r="AB270" s="2" t="str">
        <f>'Rate Calculator'!BC281</f>
        <v>P02A277 (266)</v>
      </c>
      <c r="AC270" s="2" t="str">
        <f>'Rate Calculator'!BD281</f>
        <v>V0052951450403 (266)</v>
      </c>
      <c r="AD270" s="2" t="str">
        <f>'Rate Calculator'!BE281</f>
        <v>AU0099-10-614 (266)</v>
      </c>
    </row>
    <row r="271" spans="28:30">
      <c r="AB271" s="2" t="str">
        <f>'Rate Calculator'!BC282</f>
        <v>P02A150 (267)</v>
      </c>
      <c r="AC271" s="2" t="str">
        <f>'Rate Calculator'!BD282</f>
        <v>V0376695162716 (267)</v>
      </c>
      <c r="AD271" s="2" t="str">
        <f>'Rate Calculator'!BE282</f>
        <v>AU0003-51-146 (267)</v>
      </c>
    </row>
    <row r="272" spans="28:30">
      <c r="AB272" s="2" t="str">
        <f>'Rate Calculator'!BC283</f>
        <v>P02A112 (268)</v>
      </c>
      <c r="AC272" s="2" t="str">
        <f>'Rate Calculator'!BD283</f>
        <v>V0737497313859 (268)</v>
      </c>
      <c r="AD272" s="2" t="str">
        <f>'Rate Calculator'!BE283</f>
        <v>AU0096-34-761 (268)</v>
      </c>
    </row>
    <row r="273" spans="28:30">
      <c r="AB273" s="2" t="str">
        <f>'Rate Calculator'!BC284</f>
        <v>P02A704 (269)</v>
      </c>
      <c r="AC273" s="2" t="str">
        <f>'Rate Calculator'!BD284</f>
        <v>V0366959582003 (269)</v>
      </c>
      <c r="AD273" s="2" t="str">
        <f>'Rate Calculator'!BE284</f>
        <v>AU0009-84-643 (269)</v>
      </c>
    </row>
    <row r="274" spans="28:30">
      <c r="AB274" s="2" t="str">
        <f>'Rate Calculator'!BC285</f>
        <v>P02A181 (270)</v>
      </c>
      <c r="AC274" s="2" t="str">
        <f>'Rate Calculator'!BD285</f>
        <v>V0392014297398 (270)</v>
      </c>
      <c r="AD274" s="2" t="str">
        <f>'Rate Calculator'!BE285</f>
        <v>AU0063-68-216 (270)</v>
      </c>
    </row>
    <row r="275" spans="28:30">
      <c r="AB275" s="2" t="str">
        <f>'Rate Calculator'!BC286</f>
        <v>P02A664 (271)</v>
      </c>
      <c r="AC275" s="2" t="str">
        <f>'Rate Calculator'!BD286</f>
        <v>V0243839739405 (271)</v>
      </c>
      <c r="AD275" s="2" t="str">
        <f>'Rate Calculator'!BE286</f>
        <v>AU0002-96-901 (271)</v>
      </c>
    </row>
    <row r="276" spans="28:30">
      <c r="AB276" s="2" t="str">
        <f>'Rate Calculator'!BC287</f>
        <v>P02A563 (272)</v>
      </c>
      <c r="AC276" s="2" t="str">
        <f>'Rate Calculator'!BD287</f>
        <v>V0534991805369 (272)</v>
      </c>
      <c r="AD276" s="2" t="str">
        <f>'Rate Calculator'!BE287</f>
        <v>AU0078-95-640 (272)</v>
      </c>
    </row>
    <row r="277" spans="28:30">
      <c r="AB277" s="2" t="str">
        <f>'Rate Calculator'!BC288</f>
        <v>P02A260 (273)</v>
      </c>
      <c r="AC277" s="2" t="str">
        <f>'Rate Calculator'!BD288</f>
        <v>V0506465346399 (273)</v>
      </c>
      <c r="AD277" s="2" t="str">
        <f>'Rate Calculator'!BE288</f>
        <v>AU0017-53-166 (273)</v>
      </c>
    </row>
    <row r="278" spans="28:30">
      <c r="AB278" s="2" t="str">
        <f>'Rate Calculator'!BC289</f>
        <v>P02A530 (274)</v>
      </c>
      <c r="AC278" s="2" t="str">
        <f>'Rate Calculator'!BD289</f>
        <v>V0620588929863 (274)</v>
      </c>
      <c r="AD278" s="2" t="str">
        <f>'Rate Calculator'!BE289</f>
        <v>AU0088-40-268 (274)</v>
      </c>
    </row>
    <row r="279" spans="28:30">
      <c r="AB279" s="2" t="str">
        <f>'Rate Calculator'!BC290</f>
        <v>P02A88 (275)</v>
      </c>
      <c r="AC279" s="2" t="str">
        <f>'Rate Calculator'!BD290</f>
        <v>V0666488690887 (275)</v>
      </c>
      <c r="AD279" s="2" t="str">
        <f>'Rate Calculator'!BE290</f>
        <v>AU0088-89-684 (275)</v>
      </c>
    </row>
    <row r="280" spans="28:30">
      <c r="AB280" s="2" t="str">
        <f>'Rate Calculator'!BC291</f>
        <v>P02A21 (276)</v>
      </c>
      <c r="AC280" s="2" t="str">
        <f>'Rate Calculator'!BD291</f>
        <v>V0616970619191 (276)</v>
      </c>
      <c r="AD280" s="2" t="str">
        <f>'Rate Calculator'!BE291</f>
        <v>AU0049-52-506 (276)</v>
      </c>
    </row>
    <row r="281" spans="28:30">
      <c r="AB281" s="2" t="str">
        <f>'Rate Calculator'!BC292</f>
        <v>P02A148 (277)</v>
      </c>
      <c r="AC281" s="2" t="str">
        <f>'Rate Calculator'!BD292</f>
        <v>V0889872475783 (277)</v>
      </c>
      <c r="AD281" s="2" t="str">
        <f>'Rate Calculator'!BE292</f>
        <v>AU0028-28-015 (277)</v>
      </c>
    </row>
    <row r="282" spans="28:30">
      <c r="AB282" s="2" t="str">
        <f>'Rate Calculator'!BC293</f>
        <v>P02A881 (278)</v>
      </c>
      <c r="AC282" s="2" t="str">
        <f>'Rate Calculator'!BD293</f>
        <v>V0003363896287 (278)</v>
      </c>
      <c r="AD282" s="2" t="str">
        <f>'Rate Calculator'!BE293</f>
        <v>AU0028-92-110 (278)</v>
      </c>
    </row>
    <row r="283" spans="28:30">
      <c r="AB283" s="2" t="str">
        <f>'Rate Calculator'!BC294</f>
        <v>P02A196 (279)</v>
      </c>
      <c r="AC283" s="2" t="str">
        <f>'Rate Calculator'!BD294</f>
        <v>V0554539881571 (279)</v>
      </c>
      <c r="AD283" s="2" t="str">
        <f>'Rate Calculator'!BE294</f>
        <v>AU0022-19-545 (279)</v>
      </c>
    </row>
    <row r="284" spans="28:30">
      <c r="AB284" s="2" t="str">
        <f>'Rate Calculator'!BC295</f>
        <v>P02A831 (280)</v>
      </c>
      <c r="AC284" s="2" t="str">
        <f>'Rate Calculator'!BD295</f>
        <v>V0091204804613 (280)</v>
      </c>
      <c r="AD284" s="2" t="str">
        <f>'Rate Calculator'!BE295</f>
        <v>AU0047-10-857 (280)</v>
      </c>
    </row>
    <row r="285" spans="28:30">
      <c r="AB285" s="2" t="str">
        <f>'Rate Calculator'!BC296</f>
        <v>P02A120 (281)</v>
      </c>
      <c r="AC285" s="2" t="str">
        <f>'Rate Calculator'!BD296</f>
        <v>V0481135222313 (281)</v>
      </c>
      <c r="AD285" s="2" t="str">
        <f>'Rate Calculator'!BE296</f>
        <v>AU0098-96-344 (281)</v>
      </c>
    </row>
    <row r="286" spans="28:30">
      <c r="AB286" s="2" t="str">
        <f>'Rate Calculator'!BC297</f>
        <v>P02A324 (282)</v>
      </c>
      <c r="AC286" s="2" t="str">
        <f>'Rate Calculator'!BD297</f>
        <v>V0027839798620 (282)</v>
      </c>
      <c r="AD286" s="2" t="str">
        <f>'Rate Calculator'!BE297</f>
        <v>AU0009-75-524 (282)</v>
      </c>
    </row>
    <row r="287" spans="28:30">
      <c r="AB287" s="2" t="str">
        <f>'Rate Calculator'!BC298</f>
        <v>P02A873 (283)</v>
      </c>
      <c r="AC287" s="2" t="str">
        <f>'Rate Calculator'!BD298</f>
        <v>V0595406099787 (283)</v>
      </c>
      <c r="AD287" s="2" t="str">
        <f>'Rate Calculator'!BE298</f>
        <v>AU0089-53-484 (283)</v>
      </c>
    </row>
    <row r="288" spans="28:30">
      <c r="AB288" s="2" t="str">
        <f>'Rate Calculator'!BC299</f>
        <v>P02A407 (284)</v>
      </c>
      <c r="AC288" s="2" t="str">
        <f>'Rate Calculator'!BD299</f>
        <v>V0670854430940 (284)</v>
      </c>
      <c r="AD288" s="2" t="str">
        <f>'Rate Calculator'!BE299</f>
        <v>AU0000-64-031 (284)</v>
      </c>
    </row>
    <row r="289" spans="28:30">
      <c r="AB289" s="2" t="str">
        <f>'Rate Calculator'!BC300</f>
        <v>P02A662 (285)</v>
      </c>
      <c r="AC289" s="2" t="str">
        <f>'Rate Calculator'!BD300</f>
        <v>V0349525512415 (285)</v>
      </c>
      <c r="AD289" s="2" t="str">
        <f>'Rate Calculator'!BE300</f>
        <v>AU0082-03-995 (285)</v>
      </c>
    </row>
    <row r="290" spans="28:30">
      <c r="AB290" s="2" t="str">
        <f>'Rate Calculator'!BC301</f>
        <v>P02A488 (286)</v>
      </c>
      <c r="AC290" s="2" t="str">
        <f>'Rate Calculator'!BD301</f>
        <v>V0345212807687 (286)</v>
      </c>
      <c r="AD290" s="2" t="str">
        <f>'Rate Calculator'!BE301</f>
        <v>AU0096-40-514 (286)</v>
      </c>
    </row>
    <row r="291" spans="28:30">
      <c r="AB291" s="2" t="str">
        <f>'Rate Calculator'!BC302</f>
        <v>P02A850 (287)</v>
      </c>
      <c r="AC291" s="2" t="str">
        <f>'Rate Calculator'!BD302</f>
        <v>V0340764166692 (287)</v>
      </c>
      <c r="AD291" s="2" t="str">
        <f>'Rate Calculator'!BE302</f>
        <v>AU0040-14-335 (287)</v>
      </c>
    </row>
    <row r="292" spans="28:30">
      <c r="AB292" s="2" t="str">
        <f>'Rate Calculator'!BC303</f>
        <v>P02A82 (288)</v>
      </c>
      <c r="AC292" s="2" t="str">
        <f>'Rate Calculator'!BD303</f>
        <v>V0547314258132 (288)</v>
      </c>
      <c r="AD292" s="2" t="str">
        <f>'Rate Calculator'!BE303</f>
        <v>AU0022-10-250 (288)</v>
      </c>
    </row>
    <row r="293" spans="28:30">
      <c r="AB293" s="2" t="str">
        <f>'Rate Calculator'!BC304</f>
        <v>P02A45 (289)</v>
      </c>
      <c r="AC293" s="2" t="str">
        <f>'Rate Calculator'!BD304</f>
        <v>V0724434873044 (289)</v>
      </c>
      <c r="AD293" s="2" t="str">
        <f>'Rate Calculator'!BE304</f>
        <v>AU0084-99-752 (289)</v>
      </c>
    </row>
    <row r="294" spans="28:30">
      <c r="AB294" s="2" t="str">
        <f>'Rate Calculator'!BC305</f>
        <v>P02A50 (290)</v>
      </c>
      <c r="AC294" s="2" t="str">
        <f>'Rate Calculator'!BD305</f>
        <v>V0450020386400 (290)</v>
      </c>
      <c r="AD294" s="2" t="str">
        <f>'Rate Calculator'!BE305</f>
        <v>AU0097-80-111 (290)</v>
      </c>
    </row>
    <row r="295" spans="28:30">
      <c r="AB295" s="2" t="str">
        <f>'Rate Calculator'!BC306</f>
        <v>P02A567 (291)</v>
      </c>
      <c r="AC295" s="2" t="str">
        <f>'Rate Calculator'!BD306</f>
        <v>V0202447774581 (291)</v>
      </c>
      <c r="AD295" s="2" t="str">
        <f>'Rate Calculator'!BE306</f>
        <v>AU0098-30-066 (291)</v>
      </c>
    </row>
    <row r="296" spans="28:30">
      <c r="AB296" s="2" t="str">
        <f>'Rate Calculator'!BC307</f>
        <v>P02A199 (292)</v>
      </c>
      <c r="AC296" s="2" t="str">
        <f>'Rate Calculator'!BD307</f>
        <v>V0091848690271 (292)</v>
      </c>
      <c r="AD296" s="2" t="str">
        <f>'Rate Calculator'!BE307</f>
        <v>AU0002-62-093 (292)</v>
      </c>
    </row>
    <row r="297" spans="28:30">
      <c r="AB297" s="2" t="str">
        <f>'Rate Calculator'!BC308</f>
        <v>P02A460 (293)</v>
      </c>
      <c r="AC297" s="2" t="str">
        <f>'Rate Calculator'!BD308</f>
        <v>V0291352118077 (293)</v>
      </c>
      <c r="AD297" s="2" t="str">
        <f>'Rate Calculator'!BE308</f>
        <v>AU0056-92-749 (293)</v>
      </c>
    </row>
    <row r="298" spans="28:30">
      <c r="AB298" s="2" t="str">
        <f>'Rate Calculator'!BC309</f>
        <v>P02A14 (294)</v>
      </c>
      <c r="AC298" s="2" t="str">
        <f>'Rate Calculator'!BD309</f>
        <v>V0164117399838 (294)</v>
      </c>
      <c r="AD298" s="2" t="str">
        <f>'Rate Calculator'!BE309</f>
        <v>AU0032-65-911 (294)</v>
      </c>
    </row>
    <row r="299" spans="28:30">
      <c r="AB299" s="2" t="str">
        <f>'Rate Calculator'!BC310</f>
        <v>P02A959 (295)</v>
      </c>
      <c r="AC299" s="2" t="str">
        <f>'Rate Calculator'!BD310</f>
        <v>V0632411651961 (295)</v>
      </c>
      <c r="AD299" s="2" t="str">
        <f>'Rate Calculator'!BE310</f>
        <v>AU0006-44-792 (295)</v>
      </c>
    </row>
    <row r="300" spans="28:30">
      <c r="AB300" s="2" t="str">
        <f>'Rate Calculator'!BC311</f>
        <v>P02A201 (296)</v>
      </c>
      <c r="AC300" s="2" t="str">
        <f>'Rate Calculator'!BD311</f>
        <v>V0505517847330 (296)</v>
      </c>
      <c r="AD300" s="2" t="str">
        <f>'Rate Calculator'!BE311</f>
        <v>AU0020-09-736 (296)</v>
      </c>
    </row>
    <row r="301" spans="28:30">
      <c r="AB301" s="2" t="str">
        <f>'Rate Calculator'!BC312</f>
        <v>P02A37 (297)</v>
      </c>
      <c r="AC301" s="2" t="str">
        <f>'Rate Calculator'!BD312</f>
        <v>V0712312269021 (297)</v>
      </c>
      <c r="AD301" s="2" t="str">
        <f>'Rate Calculator'!BE312</f>
        <v>AU0088-10-865 (297)</v>
      </c>
    </row>
    <row r="302" spans="28:30">
      <c r="AB302" s="2" t="str">
        <f>'Rate Calculator'!BC313</f>
        <v>P02A234 (298)</v>
      </c>
      <c r="AC302" s="2" t="str">
        <f>'Rate Calculator'!BD313</f>
        <v>V0119849247434 (298)</v>
      </c>
      <c r="AD302" s="2" t="str">
        <f>'Rate Calculator'!BE313</f>
        <v>AU0048-58-719 (298)</v>
      </c>
    </row>
    <row r="303" spans="28:30">
      <c r="AB303" s="2" t="str">
        <f>'Rate Calculator'!BC314</f>
        <v>P02A495 (299)</v>
      </c>
      <c r="AC303" s="2" t="str">
        <f>'Rate Calculator'!BD314</f>
        <v>V0222052483828 (299)</v>
      </c>
      <c r="AD303" s="2" t="str">
        <f>'Rate Calculator'!BE314</f>
        <v>AU0013-21-308 (299)</v>
      </c>
    </row>
    <row r="304" spans="28:30">
      <c r="AB304" s="2" t="str">
        <f>'Rate Calculator'!BC315</f>
        <v>P02A83 (300)</v>
      </c>
      <c r="AC304" s="2" t="str">
        <f>'Rate Calculator'!BD315</f>
        <v>V0459052651100 (300)</v>
      </c>
      <c r="AD304" s="2" t="str">
        <f>'Rate Calculator'!BE315</f>
        <v>AU0033-92-107 (300)</v>
      </c>
    </row>
    <row r="305" spans="28:30">
      <c r="AB305" s="2" t="str">
        <f>'Rate Calculator'!BC316</f>
        <v>P02A911 (301)</v>
      </c>
      <c r="AC305" s="2" t="str">
        <f>'Rate Calculator'!BD316</f>
        <v>V0195704704669 (301)</v>
      </c>
      <c r="AD305" s="2" t="str">
        <f>'Rate Calculator'!BE316</f>
        <v>AU0033-04-973 (301)</v>
      </c>
    </row>
    <row r="306" spans="28:30">
      <c r="AB306" s="2" t="str">
        <f>'Rate Calculator'!BC317</f>
        <v>P02A182 (302)</v>
      </c>
      <c r="AC306" s="2" t="str">
        <f>'Rate Calculator'!BD317</f>
        <v>V0215441258436 (302)</v>
      </c>
      <c r="AD306" s="2" t="str">
        <f>'Rate Calculator'!BE317</f>
        <v>AU0085-37-034 (302)</v>
      </c>
    </row>
    <row r="307" spans="28:30">
      <c r="AB307" s="2" t="str">
        <f>'Rate Calculator'!BC318</f>
        <v>P02A360 (303)</v>
      </c>
      <c r="AC307" s="2" t="str">
        <f>'Rate Calculator'!BD318</f>
        <v>V0956612205324 (303)</v>
      </c>
      <c r="AD307" s="2" t="str">
        <f>'Rate Calculator'!BE318</f>
        <v>AU0057-65-557 (303)</v>
      </c>
    </row>
    <row r="308" spans="28:30">
      <c r="AB308" s="2" t="str">
        <f>'Rate Calculator'!BC319</f>
        <v>P02A499 (304)</v>
      </c>
      <c r="AC308" s="2" t="str">
        <f>'Rate Calculator'!BD319</f>
        <v>V0471323503288 (304)</v>
      </c>
      <c r="AD308" s="2" t="str">
        <f>'Rate Calculator'!BE319</f>
        <v>AU0001-87-313 (304)</v>
      </c>
    </row>
    <row r="309" spans="28:30">
      <c r="AB309" s="2" t="str">
        <f>'Rate Calculator'!BC320</f>
        <v>P02A518 (305)</v>
      </c>
      <c r="AC309" s="2" t="str">
        <f>'Rate Calculator'!BD320</f>
        <v>V0933592715238 (305)</v>
      </c>
      <c r="AD309" s="2" t="str">
        <f>'Rate Calculator'!BE320</f>
        <v>AU0092-46-688 (305)</v>
      </c>
    </row>
    <row r="310" spans="28:30">
      <c r="AB310" s="2" t="str">
        <f>'Rate Calculator'!BC321</f>
        <v>P02A533 (306)</v>
      </c>
      <c r="AC310" s="2" t="str">
        <f>'Rate Calculator'!BD321</f>
        <v>V0987466257326 (306)</v>
      </c>
      <c r="AD310" s="2" t="str">
        <f>'Rate Calculator'!BE321</f>
        <v>AU0043-59-289 (306)</v>
      </c>
    </row>
    <row r="311" spans="28:30">
      <c r="AB311" s="2" t="str">
        <f>'Rate Calculator'!BC322</f>
        <v>P02A521 (307)</v>
      </c>
      <c r="AC311" s="2" t="str">
        <f>'Rate Calculator'!BD322</f>
        <v>V0919856202154 (307)</v>
      </c>
      <c r="AD311" s="2" t="str">
        <f>'Rate Calculator'!BE322</f>
        <v>AU0093-10-045 (307)</v>
      </c>
    </row>
    <row r="312" spans="28:30">
      <c r="AB312" s="2" t="str">
        <f>'Rate Calculator'!BC323</f>
        <v>P02A907 (308)</v>
      </c>
      <c r="AC312" s="2" t="str">
        <f>'Rate Calculator'!BD323</f>
        <v>V0074884381410 (308)</v>
      </c>
      <c r="AD312" s="2" t="str">
        <f>'Rate Calculator'!BE323</f>
        <v>AU0032-28-544 (308)</v>
      </c>
    </row>
    <row r="313" spans="28:30">
      <c r="AB313" s="2" t="str">
        <f>'Rate Calculator'!BC324</f>
        <v>P02A715 (309)</v>
      </c>
      <c r="AC313" s="2" t="str">
        <f>'Rate Calculator'!BD324</f>
        <v>V0160377651777 (309)</v>
      </c>
      <c r="AD313" s="2" t="str">
        <f>'Rate Calculator'!BE324</f>
        <v>AU0027-89-219 (309)</v>
      </c>
    </row>
    <row r="314" spans="28:30">
      <c r="AB314" s="2" t="str">
        <f>'Rate Calculator'!BC325</f>
        <v>P02A449 (310)</v>
      </c>
      <c r="AC314" s="2" t="str">
        <f>'Rate Calculator'!BD325</f>
        <v>V0583362886164 (310)</v>
      </c>
      <c r="AD314" s="2" t="str">
        <f>'Rate Calculator'!BE325</f>
        <v>AU0066-72-982 (310)</v>
      </c>
    </row>
    <row r="315" spans="28:30">
      <c r="AB315" s="2" t="str">
        <f>'Rate Calculator'!BC326</f>
        <v>P02A442 (311)</v>
      </c>
      <c r="AC315" s="2" t="str">
        <f>'Rate Calculator'!BD326</f>
        <v>V0284279995873 (311)</v>
      </c>
      <c r="AD315" s="2" t="str">
        <f>'Rate Calculator'!BE326</f>
        <v>AU0070-93-855 (311)</v>
      </c>
    </row>
    <row r="316" spans="28:30">
      <c r="AB316" s="2" t="str">
        <f>'Rate Calculator'!BC327</f>
        <v>P02A891 (312)</v>
      </c>
      <c r="AC316" s="2" t="str">
        <f>'Rate Calculator'!BD327</f>
        <v>V0554898529464 (312)</v>
      </c>
      <c r="AD316" s="2" t="str">
        <f>'Rate Calculator'!BE327</f>
        <v>AU0050-93-818 (312)</v>
      </c>
    </row>
    <row r="317" spans="28:30">
      <c r="AB317" s="2" t="str">
        <f>'Rate Calculator'!BC328</f>
        <v>P02A778 (313)</v>
      </c>
      <c r="AC317" s="2" t="str">
        <f>'Rate Calculator'!BD328</f>
        <v>V0616120533432 (313)</v>
      </c>
      <c r="AD317" s="2" t="str">
        <f>'Rate Calculator'!BE328</f>
        <v>AU0002-71-263 (313)</v>
      </c>
    </row>
    <row r="318" spans="28:30">
      <c r="AB318" s="2" t="str">
        <f>'Rate Calculator'!BC329</f>
        <v>P02A516 (314)</v>
      </c>
      <c r="AC318" s="2" t="str">
        <f>'Rate Calculator'!BD329</f>
        <v>V0002469168427 (314)</v>
      </c>
      <c r="AD318" s="2" t="str">
        <f>'Rate Calculator'!BE329</f>
        <v>AU0024-56-285 (314)</v>
      </c>
    </row>
    <row r="319" spans="28:30">
      <c r="AB319" s="2" t="str">
        <f>'Rate Calculator'!BC330</f>
        <v>P02A127 (315)</v>
      </c>
      <c r="AC319" s="2" t="str">
        <f>'Rate Calculator'!BD330</f>
        <v>V0519431920034 (315)</v>
      </c>
      <c r="AD319" s="2" t="str">
        <f>'Rate Calculator'!BE330</f>
        <v>AU0002-87-715 (315)</v>
      </c>
    </row>
    <row r="320" spans="28:30">
      <c r="AB320" s="2" t="str">
        <f>'Rate Calculator'!BC331</f>
        <v>P02A934 (316)</v>
      </c>
      <c r="AC320" s="2" t="str">
        <f>'Rate Calculator'!BD331</f>
        <v>V0223980656840 (316)</v>
      </c>
      <c r="AD320" s="2" t="str">
        <f>'Rate Calculator'!BE331</f>
        <v>AU0051-42-658 (316)</v>
      </c>
    </row>
    <row r="321" spans="28:30">
      <c r="AB321" s="2" t="str">
        <f>'Rate Calculator'!BC332</f>
        <v>P02A828 (317)</v>
      </c>
      <c r="AC321" s="2" t="str">
        <f>'Rate Calculator'!BD332</f>
        <v>V0982563107543 (317)</v>
      </c>
      <c r="AD321" s="2" t="str">
        <f>'Rate Calculator'!BE332</f>
        <v>AU0007-85-158 (317)</v>
      </c>
    </row>
    <row r="322" spans="28:30">
      <c r="AB322" s="2" t="str">
        <f>'Rate Calculator'!BC333</f>
        <v>P02A211 (318)</v>
      </c>
      <c r="AC322" s="2" t="str">
        <f>'Rate Calculator'!BD333</f>
        <v>V0594415291979 (318)</v>
      </c>
      <c r="AD322" s="2" t="str">
        <f>'Rate Calculator'!BE333</f>
        <v>AU0033-28-823 (318)</v>
      </c>
    </row>
    <row r="323" spans="28:30">
      <c r="AB323" s="2" t="str">
        <f>'Rate Calculator'!BC334</f>
        <v>P02A667 (319)</v>
      </c>
      <c r="AC323" s="2" t="str">
        <f>'Rate Calculator'!BD334</f>
        <v>V0673692539095 (319)</v>
      </c>
      <c r="AD323" s="2" t="str">
        <f>'Rate Calculator'!BE334</f>
        <v>AU0093-99-914 (319)</v>
      </c>
    </row>
    <row r="324" spans="28:30">
      <c r="AB324" s="2" t="str">
        <f>'Rate Calculator'!BC335</f>
        <v>P02A845 (320)</v>
      </c>
      <c r="AC324" s="2" t="str">
        <f>'Rate Calculator'!BD335</f>
        <v>V0665294431633 (320)</v>
      </c>
      <c r="AD324" s="2" t="str">
        <f>'Rate Calculator'!BE335</f>
        <v>AU0046-03-246 (320)</v>
      </c>
    </row>
    <row r="325" spans="28:30">
      <c r="AB325" s="2" t="str">
        <f>'Rate Calculator'!BC336</f>
        <v>P02A227 (321)</v>
      </c>
      <c r="AC325" s="2" t="str">
        <f>'Rate Calculator'!BD336</f>
        <v>V0732452234208 (321)</v>
      </c>
      <c r="AD325" s="2" t="str">
        <f>'Rate Calculator'!BE336</f>
        <v>AU0084-43-540 (321)</v>
      </c>
    </row>
    <row r="326" spans="28:30">
      <c r="AB326" s="2" t="str">
        <f>'Rate Calculator'!BC337</f>
        <v>P02A599 (322)</v>
      </c>
      <c r="AC326" s="2" t="str">
        <f>'Rate Calculator'!BD337</f>
        <v>V0253369757130 (322)</v>
      </c>
      <c r="AD326" s="2" t="str">
        <f>'Rate Calculator'!BE337</f>
        <v>AU0076-10-226 (322)</v>
      </c>
    </row>
    <row r="327" spans="28:30">
      <c r="AB327" s="2" t="str">
        <f>'Rate Calculator'!BC338</f>
        <v>P02A382 (323)</v>
      </c>
      <c r="AC327" s="2" t="str">
        <f>'Rate Calculator'!BD338</f>
        <v>V0542839834454 (323)</v>
      </c>
      <c r="AD327" s="2" t="str">
        <f>'Rate Calculator'!BE338</f>
        <v>AU0043-05-187 (323)</v>
      </c>
    </row>
    <row r="328" spans="28:30">
      <c r="AB328" s="2" t="str">
        <f>'Rate Calculator'!BC339</f>
        <v>P02A718 (324)</v>
      </c>
      <c r="AC328" s="2" t="str">
        <f>'Rate Calculator'!BD339</f>
        <v>V0532030351391 (324)</v>
      </c>
      <c r="AD328" s="2" t="str">
        <f>'Rate Calculator'!BE339</f>
        <v>AU0048-03-029 (324)</v>
      </c>
    </row>
    <row r="329" spans="28:30">
      <c r="AB329" s="2" t="str">
        <f>'Rate Calculator'!BC340</f>
        <v>P02A74 (325)</v>
      </c>
      <c r="AC329" s="2" t="str">
        <f>'Rate Calculator'!BD340</f>
        <v>V0334209296919 (325)</v>
      </c>
      <c r="AD329" s="2" t="str">
        <f>'Rate Calculator'!BE340</f>
        <v>AU0000-36-297 (325)</v>
      </c>
    </row>
    <row r="330" spans="28:30">
      <c r="AB330" s="2" t="str">
        <f>'Rate Calculator'!BC341</f>
        <v>P02A750 (326)</v>
      </c>
      <c r="AC330" s="2" t="str">
        <f>'Rate Calculator'!BD341</f>
        <v>V0470392132849 (326)</v>
      </c>
      <c r="AD330" s="2" t="str">
        <f>'Rate Calculator'!BE341</f>
        <v>AU0083-94-148 (326)</v>
      </c>
    </row>
    <row r="331" spans="28:30">
      <c r="AB331" s="2" t="str">
        <f>'Rate Calculator'!BC342</f>
        <v>P02A744 (327)</v>
      </c>
      <c r="AC331" s="2" t="str">
        <f>'Rate Calculator'!BD342</f>
        <v>V0311098116311 (327)</v>
      </c>
      <c r="AD331" s="2" t="str">
        <f>'Rate Calculator'!BE342</f>
        <v>AU0089-84-864 (327)</v>
      </c>
    </row>
    <row r="332" spans="28:30">
      <c r="AB332" s="2" t="str">
        <f>'Rate Calculator'!BC343</f>
        <v>P02A509 (328)</v>
      </c>
      <c r="AC332" s="2" t="str">
        <f>'Rate Calculator'!BD343</f>
        <v>V0822569518287 (328)</v>
      </c>
      <c r="AD332" s="2" t="str">
        <f>'Rate Calculator'!BE343</f>
        <v>AU0075-60-238 (328)</v>
      </c>
    </row>
    <row r="333" spans="28:30">
      <c r="AB333" s="2" t="str">
        <f>'Rate Calculator'!BC344</f>
        <v>P02A720 (329)</v>
      </c>
      <c r="AC333" s="2" t="str">
        <f>'Rate Calculator'!BD344</f>
        <v>V0637685609333 (329)</v>
      </c>
      <c r="AD333" s="2" t="str">
        <f>'Rate Calculator'!BE344</f>
        <v>AU0045-01-462 (329)</v>
      </c>
    </row>
    <row r="334" spans="28:30">
      <c r="AB334" s="2" t="str">
        <f>'Rate Calculator'!BC345</f>
        <v>P02A372 (330)</v>
      </c>
      <c r="AC334" s="2" t="str">
        <f>'Rate Calculator'!BD345</f>
        <v>V0933473280367 (330)</v>
      </c>
      <c r="AD334" s="2" t="str">
        <f>'Rate Calculator'!BE345</f>
        <v>AU0048-77-056 (330)</v>
      </c>
    </row>
    <row r="335" spans="28:30">
      <c r="AB335" s="2" t="str">
        <f>'Rate Calculator'!BC346</f>
        <v>P02A29 (331)</v>
      </c>
      <c r="AC335" s="2" t="str">
        <f>'Rate Calculator'!BD346</f>
        <v>V0339511465651 (331)</v>
      </c>
      <c r="AD335" s="2" t="str">
        <f>'Rate Calculator'!BE346</f>
        <v>AU0079-23-513 (331)</v>
      </c>
    </row>
    <row r="336" spans="28:30">
      <c r="AB336" s="2" t="str">
        <f>'Rate Calculator'!BC347</f>
        <v>P02A942 (332)</v>
      </c>
      <c r="AC336" s="2" t="str">
        <f>'Rate Calculator'!BD347</f>
        <v>V0031897254354 (332)</v>
      </c>
      <c r="AD336" s="2" t="str">
        <f>'Rate Calculator'!BE347</f>
        <v>AU0019-73-265 (332)</v>
      </c>
    </row>
    <row r="337" spans="28:30">
      <c r="AB337" s="2" t="str">
        <f>'Rate Calculator'!BC348</f>
        <v>P02A115 (333)</v>
      </c>
      <c r="AC337" s="2" t="str">
        <f>'Rate Calculator'!BD348</f>
        <v>V0435165096207 (333)</v>
      </c>
      <c r="AD337" s="2" t="str">
        <f>'Rate Calculator'!BE348</f>
        <v>AU0042-79-010 (333)</v>
      </c>
    </row>
    <row r="338" spans="28:30">
      <c r="AB338" s="2" t="str">
        <f>'Rate Calculator'!BC349</f>
        <v>P02A501 (334)</v>
      </c>
      <c r="AC338" s="2" t="str">
        <f>'Rate Calculator'!BD349</f>
        <v>V0463725657356 (334)</v>
      </c>
      <c r="AD338" s="2" t="str">
        <f>'Rate Calculator'!BE349</f>
        <v>AU0016-67-100 (334)</v>
      </c>
    </row>
    <row r="339" spans="28:30">
      <c r="AB339" s="2" t="str">
        <f>'Rate Calculator'!BC350</f>
        <v>P02A286 (335)</v>
      </c>
      <c r="AC339" s="2" t="str">
        <f>'Rate Calculator'!BD350</f>
        <v>V0608029273150 (335)</v>
      </c>
      <c r="AD339" s="2" t="str">
        <f>'Rate Calculator'!BE350</f>
        <v>AU0020-92-475 (335)</v>
      </c>
    </row>
    <row r="340" spans="28:30">
      <c r="AB340" s="2" t="str">
        <f>'Rate Calculator'!BC351</f>
        <v>P02A187 (336)</v>
      </c>
      <c r="AC340" s="2" t="str">
        <f>'Rate Calculator'!BD351</f>
        <v>V0976341000197 (336)</v>
      </c>
      <c r="AD340" s="2" t="str">
        <f>'Rate Calculator'!BE351</f>
        <v>AU0044-65-720 (336)</v>
      </c>
    </row>
    <row r="341" spans="28:30">
      <c r="AB341" s="2" t="str">
        <f>'Rate Calculator'!BC352</f>
        <v>P02A814 (337)</v>
      </c>
      <c r="AC341" s="2" t="str">
        <f>'Rate Calculator'!BD352</f>
        <v>V0625454411784 (337)</v>
      </c>
      <c r="AD341" s="2" t="str">
        <f>'Rate Calculator'!BE352</f>
        <v>AU0019-88-189 (337)</v>
      </c>
    </row>
    <row r="342" spans="28:30">
      <c r="AB342" s="2" t="str">
        <f>'Rate Calculator'!BC353</f>
        <v>P02A327 (338)</v>
      </c>
      <c r="AC342" s="2" t="str">
        <f>'Rate Calculator'!BD353</f>
        <v>V0010196495014 (338)</v>
      </c>
      <c r="AD342" s="2" t="str">
        <f>'Rate Calculator'!BE353</f>
        <v>AU0026-41-029 (338)</v>
      </c>
    </row>
    <row r="343" spans="28:30">
      <c r="AB343" s="2" t="str">
        <f>'Rate Calculator'!BC354</f>
        <v>P02A754 (339)</v>
      </c>
      <c r="AC343" s="2" t="str">
        <f>'Rate Calculator'!BD354</f>
        <v>V0210287526819 (339)</v>
      </c>
      <c r="AD343" s="2" t="str">
        <f>'Rate Calculator'!BE354</f>
        <v>AU0009-38-029 (339)</v>
      </c>
    </row>
    <row r="344" spans="28:30">
      <c r="AB344" s="2" t="str">
        <f>'Rate Calculator'!BC355</f>
        <v>P02A340 (340)</v>
      </c>
      <c r="AC344" s="2" t="str">
        <f>'Rate Calculator'!BD355</f>
        <v>V0336810781980 (340)</v>
      </c>
      <c r="AD344" s="2" t="str">
        <f>'Rate Calculator'!BE355</f>
        <v>AU0063-88-159 (340)</v>
      </c>
    </row>
    <row r="345" spans="28:30">
      <c r="AB345" s="2" t="str">
        <f>'Rate Calculator'!BC356</f>
        <v>P02A858 (341)</v>
      </c>
      <c r="AC345" s="2" t="str">
        <f>'Rate Calculator'!BD356</f>
        <v>V0310379130284 (341)</v>
      </c>
      <c r="AD345" s="2" t="str">
        <f>'Rate Calculator'!BE356</f>
        <v>AU0018-52-102 (341)</v>
      </c>
    </row>
    <row r="346" spans="28:30">
      <c r="AB346" s="2" t="str">
        <f>'Rate Calculator'!BC357</f>
        <v>P02A291 (342)</v>
      </c>
      <c r="AC346" s="2" t="str">
        <f>'Rate Calculator'!BD357</f>
        <v>V0771953824811 (342)</v>
      </c>
      <c r="AD346" s="2" t="str">
        <f>'Rate Calculator'!BE357</f>
        <v>AU0049-91-286 (342)</v>
      </c>
    </row>
    <row r="347" spans="28:30">
      <c r="AB347" s="2" t="str">
        <f>'Rate Calculator'!BC358</f>
        <v>P02A876 (343)</v>
      </c>
      <c r="AC347" s="2" t="str">
        <f>'Rate Calculator'!BD358</f>
        <v>V0462953168309 (343)</v>
      </c>
      <c r="AD347" s="2" t="str">
        <f>'Rate Calculator'!BE358</f>
        <v>AU0062-68-670 (343)</v>
      </c>
    </row>
    <row r="348" spans="28:30">
      <c r="AB348" s="2" t="str">
        <f>'Rate Calculator'!BC359</f>
        <v>P02A963 (344)</v>
      </c>
      <c r="AC348" s="2" t="str">
        <f>'Rate Calculator'!BD359</f>
        <v>V0522894089758 (344)</v>
      </c>
      <c r="AD348" s="2" t="str">
        <f>'Rate Calculator'!BE359</f>
        <v>AU0009-09-642 (344)</v>
      </c>
    </row>
    <row r="349" spans="28:30">
      <c r="AB349" s="2" t="str">
        <f>'Rate Calculator'!BC360</f>
        <v>P02A225 (345)</v>
      </c>
      <c r="AC349" s="2" t="str">
        <f>'Rate Calculator'!BD360</f>
        <v>V0352064384761 (345)</v>
      </c>
      <c r="AD349" s="2" t="str">
        <f>'Rate Calculator'!BE360</f>
        <v>AU0098-67-301 (345)</v>
      </c>
    </row>
    <row r="350" spans="28:30">
      <c r="AB350" s="2" t="str">
        <f>'Rate Calculator'!BC361</f>
        <v>P02A36 (346)</v>
      </c>
      <c r="AC350" s="2" t="str">
        <f>'Rate Calculator'!BD361</f>
        <v>V0754654238525 (346)</v>
      </c>
      <c r="AD350" s="2" t="str">
        <f>'Rate Calculator'!BE361</f>
        <v>AU0010-13-295 (346)</v>
      </c>
    </row>
    <row r="351" spans="28:30">
      <c r="AB351" s="2" t="str">
        <f>'Rate Calculator'!BC362</f>
        <v>P02A917 (347)</v>
      </c>
      <c r="AC351" s="2" t="str">
        <f>'Rate Calculator'!BD362</f>
        <v>V0909190811024 (347)</v>
      </c>
      <c r="AD351" s="2" t="str">
        <f>'Rate Calculator'!BE362</f>
        <v>AU0072-03-388 (347)</v>
      </c>
    </row>
    <row r="352" spans="28:30">
      <c r="AB352" s="2" t="str">
        <f>'Rate Calculator'!BC363</f>
        <v>P02A452 (348)</v>
      </c>
      <c r="AC352" s="2" t="str">
        <f>'Rate Calculator'!BD363</f>
        <v>V0567992098711 (348)</v>
      </c>
      <c r="AD352" s="2" t="str">
        <f>'Rate Calculator'!BE363</f>
        <v>AU0099-52-849 (348)</v>
      </c>
    </row>
    <row r="353" spans="28:30">
      <c r="AB353" s="2" t="str">
        <f>'Rate Calculator'!BC364</f>
        <v>P02A550 (349)</v>
      </c>
      <c r="AC353" s="2" t="str">
        <f>'Rate Calculator'!BD364</f>
        <v>V0576829984697 (349)</v>
      </c>
      <c r="AD353" s="2" t="str">
        <f>'Rate Calculator'!BE364</f>
        <v>AU0021-22-565 (349)</v>
      </c>
    </row>
    <row r="354" spans="28:30">
      <c r="AB354" s="2" t="str">
        <f>'Rate Calculator'!BC365</f>
        <v>P02A22 (350)</v>
      </c>
      <c r="AC354" s="2" t="str">
        <f>'Rate Calculator'!BD365</f>
        <v>V0815155360197 (350)</v>
      </c>
      <c r="AD354" s="2" t="str">
        <f>'Rate Calculator'!BE365</f>
        <v>AU0080-65-348 (350)</v>
      </c>
    </row>
    <row r="355" spans="28:30">
      <c r="AB355" s="2" t="str">
        <f>'Rate Calculator'!BC366</f>
        <v>P02A482 (351)</v>
      </c>
      <c r="AC355" s="2" t="str">
        <f>'Rate Calculator'!BD366</f>
        <v>V0141059455412 (351)</v>
      </c>
      <c r="AD355" s="2" t="str">
        <f>'Rate Calculator'!BE366</f>
        <v>AU0011-62-913 (351)</v>
      </c>
    </row>
    <row r="356" spans="28:30">
      <c r="AB356" s="2" t="str">
        <f>'Rate Calculator'!BC367</f>
        <v>P02A226 (352)</v>
      </c>
      <c r="AC356" s="2" t="str">
        <f>'Rate Calculator'!BD367</f>
        <v>V0396953163550 (352)</v>
      </c>
      <c r="AD356" s="2" t="str">
        <f>'Rate Calculator'!BE367</f>
        <v>AU0004-60-816 (352)</v>
      </c>
    </row>
    <row r="357" spans="28:30">
      <c r="AB357" s="2" t="str">
        <f>'Rate Calculator'!BC368</f>
        <v>P02A301 (353)</v>
      </c>
      <c r="AC357" s="2" t="str">
        <f>'Rate Calculator'!BD368</f>
        <v>V0004328533944 (353)</v>
      </c>
      <c r="AD357" s="2" t="str">
        <f>'Rate Calculator'!BE368</f>
        <v>AU0070-37-055 (353)</v>
      </c>
    </row>
    <row r="358" spans="28:30">
      <c r="AB358" s="2" t="str">
        <f>'Rate Calculator'!BC369</f>
        <v>P02A780 (354)</v>
      </c>
      <c r="AC358" s="2" t="str">
        <f>'Rate Calculator'!BD369</f>
        <v>V0117847587431 (354)</v>
      </c>
      <c r="AD358" s="2" t="str">
        <f>'Rate Calculator'!BE369</f>
        <v>AU0080-97-629 (354)</v>
      </c>
    </row>
    <row r="359" spans="28:30">
      <c r="AB359" s="2" t="str">
        <f>'Rate Calculator'!BC370</f>
        <v>P02A723 (355)</v>
      </c>
      <c r="AC359" s="2" t="str">
        <f>'Rate Calculator'!BD370</f>
        <v>V0337568741830 (355)</v>
      </c>
      <c r="AD359" s="2" t="str">
        <f>'Rate Calculator'!BE370</f>
        <v>AU0078-59-990 (355)</v>
      </c>
    </row>
    <row r="360" spans="28:30">
      <c r="AB360" s="2" t="str">
        <f>'Rate Calculator'!BC371</f>
        <v>P02A415 (356)</v>
      </c>
      <c r="AC360" s="2" t="str">
        <f>'Rate Calculator'!BD371</f>
        <v>V0204359280006 (356)</v>
      </c>
      <c r="AD360" s="2" t="str">
        <f>'Rate Calculator'!BE371</f>
        <v>AU0090-44-885 (356)</v>
      </c>
    </row>
    <row r="361" spans="28:30">
      <c r="AB361" s="2" t="str">
        <f>'Rate Calculator'!BC372</f>
        <v>P02A266 (357)</v>
      </c>
      <c r="AC361" s="2" t="str">
        <f>'Rate Calculator'!BD372</f>
        <v>V0923705257947 (357)</v>
      </c>
      <c r="AD361" s="2" t="str">
        <f>'Rate Calculator'!BE372</f>
        <v>AU0043-34-747 (357)</v>
      </c>
    </row>
    <row r="362" spans="28:30">
      <c r="AB362" s="2" t="str">
        <f>'Rate Calculator'!BC373</f>
        <v>P02A369 (358)</v>
      </c>
      <c r="AC362" s="2" t="str">
        <f>'Rate Calculator'!BD373</f>
        <v>V0735938804666 (358)</v>
      </c>
      <c r="AD362" s="2" t="str">
        <f>'Rate Calculator'!BE373</f>
        <v>AU0064-92-438 (358)</v>
      </c>
    </row>
    <row r="363" spans="28:30">
      <c r="AB363" s="2" t="str">
        <f>'Rate Calculator'!BC374</f>
        <v>P02A208 (359)</v>
      </c>
      <c r="AC363" s="2" t="str">
        <f>'Rate Calculator'!BD374</f>
        <v>V0714704131930 (359)</v>
      </c>
      <c r="AD363" s="2" t="str">
        <f>'Rate Calculator'!BE374</f>
        <v>AU0044-51-132 (359)</v>
      </c>
    </row>
    <row r="364" spans="28:30">
      <c r="AB364" s="2" t="str">
        <f>'Rate Calculator'!BC375</f>
        <v>P02A569 (360)</v>
      </c>
      <c r="AC364" s="2" t="str">
        <f>'Rate Calculator'!BD375</f>
        <v>V0601856626384 (360)</v>
      </c>
      <c r="AD364" s="2" t="str">
        <f>'Rate Calculator'!BE375</f>
        <v>AU0062-58-599 (360)</v>
      </c>
    </row>
    <row r="365" spans="28:30">
      <c r="AB365" s="2" t="str">
        <f>'Rate Calculator'!BC376</f>
        <v>P02A886 (361)</v>
      </c>
      <c r="AC365" s="2" t="str">
        <f>'Rate Calculator'!BD376</f>
        <v>V0761444069437 (361)</v>
      </c>
      <c r="AD365" s="2" t="str">
        <f>'Rate Calculator'!BE376</f>
        <v>AU0073-64-069 (361)</v>
      </c>
    </row>
    <row r="366" spans="28:30">
      <c r="AB366" s="2" t="str">
        <f>'Rate Calculator'!BC377</f>
        <v>P02A624 (362)</v>
      </c>
      <c r="AC366" s="2" t="str">
        <f>'Rate Calculator'!BD377</f>
        <v>V0359987731390 (362)</v>
      </c>
      <c r="AD366" s="2" t="str">
        <f>'Rate Calculator'!BE377</f>
        <v>AU0022-83-576 (362)</v>
      </c>
    </row>
    <row r="367" spans="28:30">
      <c r="AB367" s="2" t="str">
        <f>'Rate Calculator'!BC378</f>
        <v>P02A153 (363)</v>
      </c>
      <c r="AC367" s="2" t="str">
        <f>'Rate Calculator'!BD378</f>
        <v>V0932185055669 (363)</v>
      </c>
      <c r="AD367" s="2" t="str">
        <f>'Rate Calculator'!BE378</f>
        <v>AU0080-11-287 (363)</v>
      </c>
    </row>
    <row r="368" spans="28:30">
      <c r="AB368" s="2" t="str">
        <f>'Rate Calculator'!BC379</f>
        <v>P02A968 (364)</v>
      </c>
      <c r="AC368" s="2" t="str">
        <f>'Rate Calculator'!BD379</f>
        <v>V0285607748406 (364)</v>
      </c>
      <c r="AD368" s="2" t="str">
        <f>'Rate Calculator'!BE379</f>
        <v>AU0058-67-743 (364)</v>
      </c>
    </row>
    <row r="369" spans="28:30">
      <c r="AB369" s="2" t="str">
        <f>'Rate Calculator'!BC380</f>
        <v>P02A682 (365)</v>
      </c>
      <c r="AC369" s="2" t="str">
        <f>'Rate Calculator'!BD380</f>
        <v>V0520668580630 (365)</v>
      </c>
      <c r="AD369" s="2" t="str">
        <f>'Rate Calculator'!BE380</f>
        <v>AU0077-67-360 (365)</v>
      </c>
    </row>
    <row r="370" spans="28:30">
      <c r="AB370" s="2" t="str">
        <f>'Rate Calculator'!BC381</f>
        <v>P02A403 (366)</v>
      </c>
      <c r="AC370" s="2" t="str">
        <f>'Rate Calculator'!BD381</f>
        <v>V0250007152807 (366)</v>
      </c>
      <c r="AD370" s="2" t="str">
        <f>'Rate Calculator'!BE381</f>
        <v>AU0062-78-335 (366)</v>
      </c>
    </row>
    <row r="371" spans="28:30">
      <c r="AB371" s="2" t="str">
        <f>'Rate Calculator'!BC382</f>
        <v>P02A905 (367)</v>
      </c>
      <c r="AC371" s="2" t="str">
        <f>'Rate Calculator'!BD382</f>
        <v>V0854047192292 (367)</v>
      </c>
      <c r="AD371" s="2" t="str">
        <f>'Rate Calculator'!BE382</f>
        <v>AU0097-48-556 (367)</v>
      </c>
    </row>
    <row r="372" spans="28:30">
      <c r="AB372" s="2" t="str">
        <f>'Rate Calculator'!BC383</f>
        <v>P02A525 (368)</v>
      </c>
      <c r="AC372" s="2" t="str">
        <f>'Rate Calculator'!BD383</f>
        <v>V0839405948186 (368)</v>
      </c>
      <c r="AD372" s="2" t="str">
        <f>'Rate Calculator'!BE383</f>
        <v>AU0046-67-044 (368)</v>
      </c>
    </row>
    <row r="373" spans="28:30">
      <c r="AB373" s="2" t="str">
        <f>'Rate Calculator'!BC384</f>
        <v>P02A396 (369)</v>
      </c>
      <c r="AC373" s="2" t="str">
        <f>'Rate Calculator'!BD384</f>
        <v>V0966597855330 (369)</v>
      </c>
      <c r="AD373" s="2" t="str">
        <f>'Rate Calculator'!BE384</f>
        <v>AU0038-95-505 (369)</v>
      </c>
    </row>
    <row r="374" spans="28:30">
      <c r="AB374" s="2" t="str">
        <f>'Rate Calculator'!BC385</f>
        <v>P02A292 (370)</v>
      </c>
      <c r="AC374" s="2" t="str">
        <f>'Rate Calculator'!BD385</f>
        <v>V0155620660210 (370)</v>
      </c>
      <c r="AD374" s="2" t="str">
        <f>'Rate Calculator'!BE385</f>
        <v>AU0011-18-182 (370)</v>
      </c>
    </row>
    <row r="375" spans="28:30">
      <c r="AB375" s="2" t="str">
        <f>'Rate Calculator'!BC386</f>
        <v>P02A500 (371)</v>
      </c>
      <c r="AC375" s="2" t="str">
        <f>'Rate Calculator'!BD386</f>
        <v>V0708564526104 (371)</v>
      </c>
      <c r="AD375" s="2" t="str">
        <f>'Rate Calculator'!BE386</f>
        <v>AU0054-95-940 (371)</v>
      </c>
    </row>
    <row r="376" spans="28:30">
      <c r="AB376" s="2" t="str">
        <f>'Rate Calculator'!BC387</f>
        <v>P02A589 (372)</v>
      </c>
      <c r="AC376" s="2" t="str">
        <f>'Rate Calculator'!BD387</f>
        <v>V0656527674162 (372)</v>
      </c>
      <c r="AD376" s="2" t="str">
        <f>'Rate Calculator'!BE387</f>
        <v>AU0056-23-618 (372)</v>
      </c>
    </row>
    <row r="377" spans="28:30">
      <c r="AB377" s="2" t="str">
        <f>'Rate Calculator'!BC388</f>
        <v>P02A665 (373)</v>
      </c>
      <c r="AC377" s="2" t="str">
        <f>'Rate Calculator'!BD388</f>
        <v>V0446408073920 (373)</v>
      </c>
      <c r="AD377" s="2" t="str">
        <f>'Rate Calculator'!BE388</f>
        <v>AU0020-38-271 (373)</v>
      </c>
    </row>
    <row r="378" spans="28:30">
      <c r="AB378" s="2" t="str">
        <f>'Rate Calculator'!BC389</f>
        <v>P02A546 (374)</v>
      </c>
      <c r="AC378" s="2" t="str">
        <f>'Rate Calculator'!BD389</f>
        <v>V0107428496991 (374)</v>
      </c>
      <c r="AD378" s="2" t="str">
        <f>'Rate Calculator'!BE389</f>
        <v>AU0036-78-290 (374)</v>
      </c>
    </row>
    <row r="379" spans="28:30">
      <c r="AB379" s="2" t="str">
        <f>'Rate Calculator'!BC390</f>
        <v>P02A836 (375)</v>
      </c>
      <c r="AC379" s="2" t="str">
        <f>'Rate Calculator'!BD390</f>
        <v>V0142867669082 (375)</v>
      </c>
      <c r="AD379" s="2" t="str">
        <f>'Rate Calculator'!BE390</f>
        <v>AU0077-27-163 (375)</v>
      </c>
    </row>
    <row r="380" spans="28:30">
      <c r="AB380" s="2" t="str">
        <f>'Rate Calculator'!BC391</f>
        <v>P02A198 (376)</v>
      </c>
      <c r="AC380" s="2" t="str">
        <f>'Rate Calculator'!BD391</f>
        <v>V0757542392614 (376)</v>
      </c>
      <c r="AD380" s="2" t="str">
        <f>'Rate Calculator'!BE391</f>
        <v>AU0000-65-573 (376)</v>
      </c>
    </row>
    <row r="381" spans="28:30">
      <c r="AB381" s="2" t="str">
        <f>'Rate Calculator'!BC392</f>
        <v>P02A837 (377)</v>
      </c>
      <c r="AC381" s="2" t="str">
        <f>'Rate Calculator'!BD392</f>
        <v>V0875350117507 (377)</v>
      </c>
      <c r="AD381" s="2" t="str">
        <f>'Rate Calculator'!BE392</f>
        <v>AU0029-81-576 (377)</v>
      </c>
    </row>
    <row r="382" spans="28:30">
      <c r="AB382" s="2" t="str">
        <f>'Rate Calculator'!BC393</f>
        <v>P02A640 (378)</v>
      </c>
      <c r="AC382" s="2" t="str">
        <f>'Rate Calculator'!BD393</f>
        <v>V0890047495211 (378)</v>
      </c>
      <c r="AD382" s="2" t="str">
        <f>'Rate Calculator'!BE393</f>
        <v>AU0011-09-729 (378)</v>
      </c>
    </row>
    <row r="383" spans="28:30">
      <c r="AB383" s="2" t="str">
        <f>'Rate Calculator'!BC394</f>
        <v>P02A12 (379)</v>
      </c>
      <c r="AC383" s="2" t="str">
        <f>'Rate Calculator'!BD394</f>
        <v>V0326575107026 (379)</v>
      </c>
      <c r="AD383" s="2" t="str">
        <f>'Rate Calculator'!BE394</f>
        <v>AU0057-55-167 (379)</v>
      </c>
    </row>
    <row r="384" spans="28:30">
      <c r="AB384" s="2" t="str">
        <f>'Rate Calculator'!BC395</f>
        <v>P02A871 (380)</v>
      </c>
      <c r="AC384" s="2" t="str">
        <f>'Rate Calculator'!BD395</f>
        <v>V0425043994701 (380)</v>
      </c>
      <c r="AD384" s="2" t="str">
        <f>'Rate Calculator'!BE395</f>
        <v>AU0082-73-614 (380)</v>
      </c>
    </row>
    <row r="385" spans="28:30">
      <c r="AB385" s="2" t="str">
        <f>'Rate Calculator'!BC396</f>
        <v>P02A768 (381)</v>
      </c>
      <c r="AC385" s="2" t="str">
        <f>'Rate Calculator'!BD396</f>
        <v>V0537319042202 (381)</v>
      </c>
      <c r="AD385" s="2" t="str">
        <f>'Rate Calculator'!BE396</f>
        <v>AU0009-43-437 (381)</v>
      </c>
    </row>
    <row r="386" spans="28:30">
      <c r="AB386" s="2" t="str">
        <f>'Rate Calculator'!BC397</f>
        <v>P02A681 (382)</v>
      </c>
      <c r="AC386" s="2" t="str">
        <f>'Rate Calculator'!BD397</f>
        <v>V0882020679824 (382)</v>
      </c>
      <c r="AD386" s="2" t="str">
        <f>'Rate Calculator'!BE397</f>
        <v>AU0062-45-707 (382)</v>
      </c>
    </row>
    <row r="387" spans="28:30">
      <c r="AB387" s="2" t="str">
        <f>'Rate Calculator'!BC398</f>
        <v>P02A807 (383)</v>
      </c>
      <c r="AC387" s="2" t="str">
        <f>'Rate Calculator'!BD398</f>
        <v>V0338917755422 (383)</v>
      </c>
      <c r="AD387" s="2" t="str">
        <f>'Rate Calculator'!BE398</f>
        <v>AU0056-19-990 (383)</v>
      </c>
    </row>
    <row r="388" spans="28:30">
      <c r="AB388" s="2" t="str">
        <f>'Rate Calculator'!BC399</f>
        <v>P02A669 (384)</v>
      </c>
      <c r="AC388" s="2" t="str">
        <f>'Rate Calculator'!BD399</f>
        <v>V0539883684423 (384)</v>
      </c>
      <c r="AD388" s="2" t="str">
        <f>'Rate Calculator'!BE399</f>
        <v>AU0072-78-587 (384)</v>
      </c>
    </row>
    <row r="389" spans="28:30">
      <c r="AB389" s="2" t="str">
        <f>'Rate Calculator'!BC400</f>
        <v>P02A540 (385)</v>
      </c>
      <c r="AC389" s="2" t="str">
        <f>'Rate Calculator'!BD400</f>
        <v>V0653312010762 (385)</v>
      </c>
      <c r="AD389" s="2" t="str">
        <f>'Rate Calculator'!BE400</f>
        <v>AU0096-80-584 (385)</v>
      </c>
    </row>
    <row r="390" spans="28:30">
      <c r="AB390" s="2" t="str">
        <f>'Rate Calculator'!BC401</f>
        <v>P02A795 (386)</v>
      </c>
      <c r="AC390" s="2" t="str">
        <f>'Rate Calculator'!BD401</f>
        <v>V0974461716161 (386)</v>
      </c>
      <c r="AD390" s="2" t="str">
        <f>'Rate Calculator'!BE401</f>
        <v>AU0025-92-128 (386)</v>
      </c>
    </row>
    <row r="391" spans="28:30">
      <c r="AB391" s="2" t="str">
        <f>'Rate Calculator'!BC402</f>
        <v>P02A163 (387)</v>
      </c>
      <c r="AC391" s="2" t="str">
        <f>'Rate Calculator'!BD402</f>
        <v>V0106774411677 (387)</v>
      </c>
      <c r="AD391" s="2" t="str">
        <f>'Rate Calculator'!BE402</f>
        <v>AU0041-76-475 (387)</v>
      </c>
    </row>
    <row r="392" spans="28:30">
      <c r="AB392" s="2" t="str">
        <f>'Rate Calculator'!BC403</f>
        <v>P02A144 (388)</v>
      </c>
      <c r="AC392" s="2" t="str">
        <f>'Rate Calculator'!BD403</f>
        <v>V0918498894091 (388)</v>
      </c>
      <c r="AD392" s="2" t="str">
        <f>'Rate Calculator'!BE403</f>
        <v>AU0039-88-313 (388)</v>
      </c>
    </row>
    <row r="393" spans="28:30">
      <c r="AB393" s="2" t="str">
        <f>'Rate Calculator'!BC404</f>
        <v>P02A272 (389)</v>
      </c>
      <c r="AC393" s="2" t="str">
        <f>'Rate Calculator'!BD404</f>
        <v>V0584593397742 (389)</v>
      </c>
      <c r="AD393" s="2" t="str">
        <f>'Rate Calculator'!BE404</f>
        <v>AU0096-52-641 (389)</v>
      </c>
    </row>
    <row r="394" spans="28:30">
      <c r="AB394" s="2" t="str">
        <f>'Rate Calculator'!BC405</f>
        <v>P02A305 (390)</v>
      </c>
      <c r="AC394" s="2" t="str">
        <f>'Rate Calculator'!BD405</f>
        <v>V0132028462612 (390)</v>
      </c>
      <c r="AD394" s="2" t="str">
        <f>'Rate Calculator'!BE405</f>
        <v>AU0065-05-064 (390)</v>
      </c>
    </row>
    <row r="395" spans="28:30">
      <c r="AB395" s="2" t="str">
        <f>'Rate Calculator'!BC406</f>
        <v>P02A613 (391)</v>
      </c>
      <c r="AC395" s="2" t="str">
        <f>'Rate Calculator'!BD406</f>
        <v>V0713899228434 (391)</v>
      </c>
      <c r="AD395" s="2" t="str">
        <f>'Rate Calculator'!BE406</f>
        <v>AU0025-09-716 (391)</v>
      </c>
    </row>
    <row r="396" spans="28:30">
      <c r="AB396" s="2" t="str">
        <f>'Rate Calculator'!BC407</f>
        <v>P02A804 (392)</v>
      </c>
      <c r="AC396" s="2" t="str">
        <f>'Rate Calculator'!BD407</f>
        <v>V0429477987296 (392)</v>
      </c>
      <c r="AD396" s="2" t="str">
        <f>'Rate Calculator'!BE407</f>
        <v>AU0086-72-976 (392)</v>
      </c>
    </row>
    <row r="397" spans="28:30">
      <c r="AB397" s="2" t="str">
        <f>'Rate Calculator'!BC408</f>
        <v>P02A966 (393)</v>
      </c>
      <c r="AC397" s="2" t="str">
        <f>'Rate Calculator'!BD408</f>
        <v>V0474394793313 (393)</v>
      </c>
      <c r="AD397" s="2" t="str">
        <f>'Rate Calculator'!BE408</f>
        <v>AU0042-74-474 (393)</v>
      </c>
    </row>
    <row r="398" spans="28:30">
      <c r="AB398" s="2" t="str">
        <f>'Rate Calculator'!BC409</f>
        <v>P02A446 (394)</v>
      </c>
      <c r="AC398" s="2" t="str">
        <f>'Rate Calculator'!BD409</f>
        <v>V0995847719264 (394)</v>
      </c>
      <c r="AD398" s="2" t="str">
        <f>'Rate Calculator'!BE409</f>
        <v>AU0037-24-169 (394)</v>
      </c>
    </row>
    <row r="399" spans="28:30">
      <c r="AB399" s="2" t="str">
        <f>'Rate Calculator'!BC410</f>
        <v>P02A677 (395)</v>
      </c>
      <c r="AC399" s="2" t="str">
        <f>'Rate Calculator'!BD410</f>
        <v>V0125319283226 (395)</v>
      </c>
      <c r="AD399" s="2" t="str">
        <f>'Rate Calculator'!BE410</f>
        <v>AU0000-70-107 (395)</v>
      </c>
    </row>
    <row r="400" spans="28:30">
      <c r="AB400" s="2" t="str">
        <f>'Rate Calculator'!BC411</f>
        <v>P02A838 (396)</v>
      </c>
      <c r="AC400" s="2" t="str">
        <f>'Rate Calculator'!BD411</f>
        <v>V0572123078969 (396)</v>
      </c>
      <c r="AD400" s="2" t="str">
        <f>'Rate Calculator'!BE411</f>
        <v>AU0032-64-424 (396)</v>
      </c>
    </row>
    <row r="401" spans="28:30">
      <c r="AB401" s="2" t="str">
        <f>'Rate Calculator'!BC412</f>
        <v>P02A453 (397)</v>
      </c>
      <c r="AC401" s="2" t="str">
        <f>'Rate Calculator'!BD412</f>
        <v>V0261308260494 (397)</v>
      </c>
      <c r="AD401" s="2" t="str">
        <f>'Rate Calculator'!BE412</f>
        <v>AU0092-28-204 (397)</v>
      </c>
    </row>
    <row r="402" spans="28:30">
      <c r="AB402" s="2" t="str">
        <f>'Rate Calculator'!BC413</f>
        <v>P02A623 (398)</v>
      </c>
      <c r="AC402" s="2" t="str">
        <f>'Rate Calculator'!BD413</f>
        <v>V0676548238919 (398)</v>
      </c>
      <c r="AD402" s="2" t="str">
        <f>'Rate Calculator'!BE413</f>
        <v>AU0097-94-609 (398)</v>
      </c>
    </row>
    <row r="403" spans="28:30">
      <c r="AB403" s="2" t="str">
        <f>'Rate Calculator'!BC414</f>
        <v>P02A972 (399)</v>
      </c>
      <c r="AC403" s="2" t="str">
        <f>'Rate Calculator'!BD414</f>
        <v>V0735294885209 (399)</v>
      </c>
      <c r="AD403" s="2" t="str">
        <f>'Rate Calculator'!BE414</f>
        <v>AU0075-52-344 (399)</v>
      </c>
    </row>
    <row r="404" spans="28:30">
      <c r="AB404" s="2" t="str">
        <f>'Rate Calculator'!BC415</f>
        <v>P12B4553 (400)</v>
      </c>
      <c r="AC404" s="2" t="str">
        <f>'Rate Calculator'!BD415</f>
        <v>V0619247347105 (400)</v>
      </c>
      <c r="AD404" s="2" t="str">
        <f>'Rate Calculator'!BE415</f>
        <v>AU0042-85-336 (400)</v>
      </c>
    </row>
    <row r="405" spans="28:30">
      <c r="AB405" s="2" t="str">
        <f>'Rate Calculator'!BC416</f>
        <v>P12B6320 (401)</v>
      </c>
      <c r="AC405" s="2" t="str">
        <f>'Rate Calculator'!BD416</f>
        <v>V0179663435851 (401)</v>
      </c>
      <c r="AD405" s="2" t="str">
        <f>'Rate Calculator'!BE416</f>
        <v>AU0078-59-389 (401)</v>
      </c>
    </row>
    <row r="406" spans="28:30">
      <c r="AB406" s="2" t="str">
        <f>'Rate Calculator'!BC417</f>
        <v>P12B9492 (402)</v>
      </c>
      <c r="AC406" s="2" t="str">
        <f>'Rate Calculator'!BD417</f>
        <v>V0119803659182 (402)</v>
      </c>
      <c r="AD406" s="2" t="str">
        <f>'Rate Calculator'!BE417</f>
        <v>AU0071-34-837 (402)</v>
      </c>
    </row>
    <row r="407" spans="28:30">
      <c r="AB407" s="2" t="str">
        <f>'Rate Calculator'!BC418</f>
        <v>P12B1186 (403)</v>
      </c>
      <c r="AC407" s="2" t="str">
        <f>'Rate Calculator'!BD418</f>
        <v>V0672953378160 (403)</v>
      </c>
      <c r="AD407" s="2" t="str">
        <f>'Rate Calculator'!BE418</f>
        <v>AU0048-41-406 (403)</v>
      </c>
    </row>
    <row r="408" spans="28:30">
      <c r="AB408" s="2" t="str">
        <f>'Rate Calculator'!BC419</f>
        <v>P12B5396 (404)</v>
      </c>
      <c r="AC408" s="2" t="str">
        <f>'Rate Calculator'!BD419</f>
        <v>V0519463131857 (404)</v>
      </c>
      <c r="AD408" s="2" t="str">
        <f>'Rate Calculator'!BE419</f>
        <v>AU0075-35-303 (404)</v>
      </c>
    </row>
    <row r="409" spans="28:30">
      <c r="AB409" s="2" t="str">
        <f>'Rate Calculator'!BC420</f>
        <v>P12B8636 (405)</v>
      </c>
      <c r="AC409" s="2" t="str">
        <f>'Rate Calculator'!BD420</f>
        <v>V0598182678358 (405)</v>
      </c>
      <c r="AD409" s="2" t="str">
        <f>'Rate Calculator'!BE420</f>
        <v>AU0039-13-641 (405)</v>
      </c>
    </row>
    <row r="410" spans="28:30">
      <c r="AB410" s="2" t="str">
        <f>'Rate Calculator'!BC421</f>
        <v>P12B6174 (406)</v>
      </c>
      <c r="AC410" s="2" t="str">
        <f>'Rate Calculator'!BD421</f>
        <v>V0991810111686 (406)</v>
      </c>
      <c r="AD410" s="2" t="str">
        <f>'Rate Calculator'!BE421</f>
        <v>AU0070-12-656 (406)</v>
      </c>
    </row>
    <row r="411" spans="28:30">
      <c r="AB411" s="2" t="str">
        <f>'Rate Calculator'!BC422</f>
        <v>P12B5896 (407)</v>
      </c>
      <c r="AC411" s="2" t="str">
        <f>'Rate Calculator'!BD422</f>
        <v>V0652982110600 (407)</v>
      </c>
      <c r="AD411" s="2" t="str">
        <f>'Rate Calculator'!BE422</f>
        <v>AU0088-45-675 (407)</v>
      </c>
    </row>
    <row r="412" spans="28:30">
      <c r="AB412" s="2" t="str">
        <f>'Rate Calculator'!BC423</f>
        <v>P12B7235 (408)</v>
      </c>
      <c r="AC412" s="2" t="str">
        <f>'Rate Calculator'!BD423</f>
        <v>V0116047202938 (408)</v>
      </c>
      <c r="AD412" s="2" t="str">
        <f>'Rate Calculator'!BE423</f>
        <v>AU0036-36-895 (408)</v>
      </c>
    </row>
    <row r="413" spans="28:30">
      <c r="AB413" s="2" t="str">
        <f>'Rate Calculator'!BC424</f>
        <v>P12B1663 (409)</v>
      </c>
      <c r="AC413" s="2" t="str">
        <f>'Rate Calculator'!BD424</f>
        <v>V0713701268331 (409)</v>
      </c>
      <c r="AD413" s="2" t="str">
        <f>'Rate Calculator'!BE424</f>
        <v>AU0040-61-066 (409)</v>
      </c>
    </row>
    <row r="414" spans="28:30">
      <c r="AB414" s="2" t="str">
        <f>'Rate Calculator'!BC425</f>
        <v>P12B8115 (410)</v>
      </c>
      <c r="AC414" s="2" t="str">
        <f>'Rate Calculator'!BD425</f>
        <v>V0265710948181 (410)</v>
      </c>
      <c r="AD414" s="2" t="str">
        <f>'Rate Calculator'!BE425</f>
        <v>AU0054-40-949 (410)</v>
      </c>
    </row>
    <row r="415" spans="28:30">
      <c r="AB415" s="2" t="str">
        <f>'Rate Calculator'!BC426</f>
        <v>P12B8052 (411)</v>
      </c>
      <c r="AC415" s="2" t="str">
        <f>'Rate Calculator'!BD426</f>
        <v>V0094882865121 (411)</v>
      </c>
      <c r="AD415" s="2" t="str">
        <f>'Rate Calculator'!BE426</f>
        <v>AU0064-55-122 (411)</v>
      </c>
    </row>
    <row r="416" spans="28:30">
      <c r="AB416" s="2" t="str">
        <f>'Rate Calculator'!BC427</f>
        <v>P12B2950 (412)</v>
      </c>
      <c r="AC416" s="2" t="str">
        <f>'Rate Calculator'!BD427</f>
        <v>V0089744617066 (412)</v>
      </c>
      <c r="AD416" s="2" t="str">
        <f>'Rate Calculator'!BE427</f>
        <v>AU0068-89-458 (412)</v>
      </c>
    </row>
    <row r="417" spans="28:30">
      <c r="AB417" s="2" t="str">
        <f>'Rate Calculator'!BC428</f>
        <v>P12B3760 (413)</v>
      </c>
      <c r="AC417" s="2" t="str">
        <f>'Rate Calculator'!BD428</f>
        <v>V0000182664964 (413)</v>
      </c>
      <c r="AD417" s="2" t="str">
        <f>'Rate Calculator'!BE428</f>
        <v>AU0016-09-780 (413)</v>
      </c>
    </row>
    <row r="418" spans="28:30">
      <c r="AB418" s="2" t="str">
        <f>'Rate Calculator'!BC429</f>
        <v>P12B8337 (414)</v>
      </c>
      <c r="AC418" s="2" t="str">
        <f>'Rate Calculator'!BD429</f>
        <v>V0922785158585 (414)</v>
      </c>
      <c r="AD418" s="2" t="str">
        <f>'Rate Calculator'!BE429</f>
        <v>AU0027-41-558 (414)</v>
      </c>
    </row>
    <row r="419" spans="28:30">
      <c r="AB419" s="2" t="str">
        <f>'Rate Calculator'!BC430</f>
        <v>P12B7826 (415)</v>
      </c>
      <c r="AC419" s="2" t="str">
        <f>'Rate Calculator'!BD430</f>
        <v>V0063290870082 (415)</v>
      </c>
      <c r="AD419" s="2" t="str">
        <f>'Rate Calculator'!BE430</f>
        <v>AU0077-25-797 (415)</v>
      </c>
    </row>
    <row r="420" spans="28:30">
      <c r="AB420" s="2" t="str">
        <f>'Rate Calculator'!BC431</f>
        <v>P12B9123 (416)</v>
      </c>
      <c r="AC420" s="2" t="str">
        <f>'Rate Calculator'!BD431</f>
        <v>V0997523071787 (416)</v>
      </c>
      <c r="AD420" s="2" t="str">
        <f>'Rate Calculator'!BE431</f>
        <v>AU0055-92-645 (416)</v>
      </c>
    </row>
    <row r="421" spans="28:30">
      <c r="AB421" s="2" t="str">
        <f>'Rate Calculator'!BC432</f>
        <v>P12B7607 (417)</v>
      </c>
      <c r="AC421" s="2" t="str">
        <f>'Rate Calculator'!BD432</f>
        <v>V0669282481906 (417)</v>
      </c>
      <c r="AD421" s="2" t="str">
        <f>'Rate Calculator'!BE432</f>
        <v>AU0038-35-611 (417)</v>
      </c>
    </row>
    <row r="422" spans="28:30">
      <c r="AB422" s="2" t="str">
        <f>'Rate Calculator'!BC433</f>
        <v>P12B5445 (418)</v>
      </c>
      <c r="AC422" s="2" t="str">
        <f>'Rate Calculator'!BD433</f>
        <v>V0036904583938 (418)</v>
      </c>
      <c r="AD422" s="2" t="str">
        <f>'Rate Calculator'!BE433</f>
        <v>AU0070-75-018 (418)</v>
      </c>
    </row>
    <row r="423" spans="28:30">
      <c r="AB423" s="2" t="str">
        <f>'Rate Calculator'!BC434</f>
        <v>P12B3917 (419)</v>
      </c>
      <c r="AC423" s="2" t="str">
        <f>'Rate Calculator'!BD434</f>
        <v>V0484728440486 (419)</v>
      </c>
      <c r="AD423" s="2" t="str">
        <f>'Rate Calculator'!BE434</f>
        <v>AU0059-31-700 (419)</v>
      </c>
    </row>
    <row r="424" spans="28:30">
      <c r="AB424" s="2" t="str">
        <f>'Rate Calculator'!BC435</f>
        <v>P12B8324 (420)</v>
      </c>
      <c r="AC424" s="2" t="str">
        <f>'Rate Calculator'!BD435</f>
        <v>V0381496407417 (420)</v>
      </c>
      <c r="AD424" s="2" t="str">
        <f>'Rate Calculator'!BE435</f>
        <v>AU0005-17-736 (420)</v>
      </c>
    </row>
    <row r="425" spans="28:30">
      <c r="AB425" s="2" t="str">
        <f>'Rate Calculator'!BC436</f>
        <v>P12B1959 (421)</v>
      </c>
      <c r="AC425" s="2" t="str">
        <f>'Rate Calculator'!BD436</f>
        <v>V0851165250628 (421)</v>
      </c>
      <c r="AD425" s="2" t="str">
        <f>'Rate Calculator'!BE436</f>
        <v>AU0069-25-599 (421)</v>
      </c>
    </row>
    <row r="426" spans="28:30">
      <c r="AB426" s="2" t="str">
        <f>'Rate Calculator'!BC437</f>
        <v>P12B5562 (422)</v>
      </c>
      <c r="AC426" s="2" t="str">
        <f>'Rate Calculator'!BD437</f>
        <v>V0982450133665 (422)</v>
      </c>
      <c r="AD426" s="2" t="str">
        <f>'Rate Calculator'!BE437</f>
        <v>AU0029-61-688 (422)</v>
      </c>
    </row>
    <row r="427" spans="28:30">
      <c r="AB427" s="2" t="str">
        <f>'Rate Calculator'!BC438</f>
        <v>P12B7601 (423)</v>
      </c>
      <c r="AC427" s="2" t="str">
        <f>'Rate Calculator'!BD438</f>
        <v>V0279590349205 (423)</v>
      </c>
      <c r="AD427" s="2" t="str">
        <f>'Rate Calculator'!BE438</f>
        <v>AU0043-09-601 (423)</v>
      </c>
    </row>
    <row r="428" spans="28:30">
      <c r="AB428" s="2" t="str">
        <f>'Rate Calculator'!BC439</f>
        <v>P12B2857 (424)</v>
      </c>
      <c r="AC428" s="2" t="str">
        <f>'Rate Calculator'!BD439</f>
        <v>V0576625317882 (424)</v>
      </c>
      <c r="AD428" s="2" t="str">
        <f>'Rate Calculator'!BE439</f>
        <v>AU0046-52-670 (424)</v>
      </c>
    </row>
    <row r="429" spans="28:30">
      <c r="AB429" s="2" t="str">
        <f>'Rate Calculator'!BC440</f>
        <v>P12B6892 (425)</v>
      </c>
      <c r="AC429" s="2" t="str">
        <f>'Rate Calculator'!BD440</f>
        <v>V0246176341669 (425)</v>
      </c>
      <c r="AD429" s="2" t="str">
        <f>'Rate Calculator'!BE440</f>
        <v>AU0083-20-753 (425)</v>
      </c>
    </row>
    <row r="430" spans="28:30">
      <c r="AB430" s="2" t="str">
        <f>'Rate Calculator'!BC441</f>
        <v>P12B8455 (426)</v>
      </c>
      <c r="AC430" s="2" t="str">
        <f>'Rate Calculator'!BD441</f>
        <v>V0242379993934 (426)</v>
      </c>
      <c r="AD430" s="2" t="str">
        <f>'Rate Calculator'!BE441</f>
        <v>AU0061-26-493 (426)</v>
      </c>
    </row>
    <row r="431" spans="28:30">
      <c r="AB431" s="2" t="str">
        <f>'Rate Calculator'!BC442</f>
        <v>P12B1042 (427)</v>
      </c>
      <c r="AC431" s="2" t="str">
        <f>'Rate Calculator'!BD442</f>
        <v>V0968693367354 (427)</v>
      </c>
      <c r="AD431" s="2" t="str">
        <f>'Rate Calculator'!BE442</f>
        <v>AU0041-36-503 (427)</v>
      </c>
    </row>
    <row r="432" spans="28:30">
      <c r="AB432" s="2" t="str">
        <f>'Rate Calculator'!BC443</f>
        <v>P12B5547 (428)</v>
      </c>
      <c r="AC432" s="2" t="str">
        <f>'Rate Calculator'!BD443</f>
        <v>V0780568787951 (428)</v>
      </c>
      <c r="AD432" s="2" t="str">
        <f>'Rate Calculator'!BE443</f>
        <v>AU0040-56-954 (428)</v>
      </c>
    </row>
    <row r="433" spans="28:30">
      <c r="AB433" s="2" t="str">
        <f>'Rate Calculator'!BC444</f>
        <v>P12B6146 (429)</v>
      </c>
      <c r="AC433" s="2" t="str">
        <f>'Rate Calculator'!BD444</f>
        <v>V0838090839564 (429)</v>
      </c>
      <c r="AD433" s="2" t="str">
        <f>'Rate Calculator'!BE444</f>
        <v>AU0010-07-580 (429)</v>
      </c>
    </row>
    <row r="434" spans="28:30">
      <c r="AB434" s="2" t="str">
        <f>'Rate Calculator'!BC445</f>
        <v>P12B3507 (430)</v>
      </c>
      <c r="AC434" s="2" t="str">
        <f>'Rate Calculator'!BD445</f>
        <v>V0855367200408 (430)</v>
      </c>
      <c r="AD434" s="2" t="str">
        <f>'Rate Calculator'!BE445</f>
        <v>AU0063-47-244 (430)</v>
      </c>
    </row>
    <row r="435" spans="28:30">
      <c r="AB435" s="2" t="str">
        <f>'Rate Calculator'!BC446</f>
        <v>P12B9333 (431)</v>
      </c>
      <c r="AC435" s="2" t="str">
        <f>'Rate Calculator'!BD446</f>
        <v>V0338434563565 (431)</v>
      </c>
      <c r="AD435" s="2" t="str">
        <f>'Rate Calculator'!BE446</f>
        <v>AU0001-37-871 (431)</v>
      </c>
    </row>
    <row r="436" spans="28:30">
      <c r="AB436" s="2" t="str">
        <f>'Rate Calculator'!BC447</f>
        <v>P12B7916 (432)</v>
      </c>
      <c r="AC436" s="2" t="str">
        <f>'Rate Calculator'!BD447</f>
        <v>V0031778965620 (432)</v>
      </c>
      <c r="AD436" s="2" t="str">
        <f>'Rate Calculator'!BE447</f>
        <v>AU0024-97-579 (432)</v>
      </c>
    </row>
    <row r="437" spans="28:30">
      <c r="AB437" s="2" t="str">
        <f>'Rate Calculator'!BC448</f>
        <v>P12B2256 (433)</v>
      </c>
      <c r="AC437" s="2" t="str">
        <f>'Rate Calculator'!BD448</f>
        <v>V0307617291136 (433)</v>
      </c>
      <c r="AD437" s="2" t="str">
        <f>'Rate Calculator'!BE448</f>
        <v>AU0069-86-208 (433)</v>
      </c>
    </row>
    <row r="438" spans="28:30">
      <c r="AB438" s="2" t="str">
        <f>'Rate Calculator'!BC449</f>
        <v>P12B1660 (434)</v>
      </c>
      <c r="AC438" s="2" t="str">
        <f>'Rate Calculator'!BD449</f>
        <v>V0078588541168 (434)</v>
      </c>
      <c r="AD438" s="2" t="str">
        <f>'Rate Calculator'!BE449</f>
        <v>AU0085-83-509 (434)</v>
      </c>
    </row>
    <row r="439" spans="28:30">
      <c r="AB439" s="2" t="str">
        <f>'Rate Calculator'!BC450</f>
        <v>P12B5497 (435)</v>
      </c>
      <c r="AC439" s="2" t="str">
        <f>'Rate Calculator'!BD450</f>
        <v>V0498595430122 (435)</v>
      </c>
      <c r="AD439" s="2" t="str">
        <f>'Rate Calculator'!BE450</f>
        <v>AU0055-54-096 (435)</v>
      </c>
    </row>
    <row r="440" spans="28:30">
      <c r="AB440" s="2" t="str">
        <f>'Rate Calculator'!BC451</f>
        <v>P12B5285 (436)</v>
      </c>
      <c r="AC440" s="2" t="str">
        <f>'Rate Calculator'!BD451</f>
        <v>V0811766164477 (436)</v>
      </c>
      <c r="AD440" s="2" t="str">
        <f>'Rate Calculator'!BE451</f>
        <v>AU0025-52-367 (436)</v>
      </c>
    </row>
    <row r="441" spans="28:30">
      <c r="AB441" s="2" t="str">
        <f>'Rate Calculator'!BC452</f>
        <v>P12B2568 (437)</v>
      </c>
      <c r="AC441" s="2" t="str">
        <f>'Rate Calculator'!BD452</f>
        <v>V0218609557276 (437)</v>
      </c>
      <c r="AD441" s="2" t="str">
        <f>'Rate Calculator'!BE452</f>
        <v>AU0054-00-778 (437)</v>
      </c>
    </row>
    <row r="442" spans="28:30">
      <c r="AB442" s="2" t="str">
        <f>'Rate Calculator'!BC453</f>
        <v>P12B5012 (438)</v>
      </c>
      <c r="AC442" s="2" t="str">
        <f>'Rate Calculator'!BD453</f>
        <v>V0152078142848 (438)</v>
      </c>
      <c r="AD442" s="2" t="str">
        <f>'Rate Calculator'!BE453</f>
        <v>AU0076-99-046 (438)</v>
      </c>
    </row>
    <row r="443" spans="28:30">
      <c r="AB443" s="2" t="str">
        <f>'Rate Calculator'!BC454</f>
        <v>P12B3889 (439)</v>
      </c>
      <c r="AC443" s="2" t="str">
        <f>'Rate Calculator'!BD454</f>
        <v>V0289442876366 (439)</v>
      </c>
      <c r="AD443" s="2" t="str">
        <f>'Rate Calculator'!BE454</f>
        <v>AU0054-22-788 (439)</v>
      </c>
    </row>
    <row r="444" spans="28:30">
      <c r="AB444" s="2" t="str">
        <f>'Rate Calculator'!BC455</f>
        <v>P12B9915 (440)</v>
      </c>
      <c r="AC444" s="2" t="str">
        <f>'Rate Calculator'!BD455</f>
        <v>V0941649532239 (440)</v>
      </c>
      <c r="AD444" s="2" t="str">
        <f>'Rate Calculator'!BE455</f>
        <v>AU0068-05-234 (440)</v>
      </c>
    </row>
    <row r="445" spans="28:30">
      <c r="AB445" s="2" t="str">
        <f>'Rate Calculator'!BC456</f>
        <v>P12B5127 (441)</v>
      </c>
      <c r="AC445" s="2" t="str">
        <f>'Rate Calculator'!BD456</f>
        <v>V0589510873449 (441)</v>
      </c>
      <c r="AD445" s="2" t="str">
        <f>'Rate Calculator'!BE456</f>
        <v>AU0056-17-441 (441)</v>
      </c>
    </row>
    <row r="446" spans="28:30">
      <c r="AB446" s="2" t="str">
        <f>'Rate Calculator'!BC457</f>
        <v>P12B1346 (442)</v>
      </c>
      <c r="AC446" s="2" t="str">
        <f>'Rate Calculator'!BD457</f>
        <v>V0081951962636 (442)</v>
      </c>
      <c r="AD446" s="2" t="str">
        <f>'Rate Calculator'!BE457</f>
        <v>AU0002-97-591 (442)</v>
      </c>
    </row>
    <row r="447" spans="28:30">
      <c r="AB447" s="2" t="str">
        <f>'Rate Calculator'!BC458</f>
        <v>P12B2635 (443)</v>
      </c>
      <c r="AC447" s="2" t="str">
        <f>'Rate Calculator'!BD458</f>
        <v>V0187367945496 (443)</v>
      </c>
      <c r="AD447" s="2" t="str">
        <f>'Rate Calculator'!BE458</f>
        <v>AU0047-45-529 (443)</v>
      </c>
    </row>
    <row r="448" spans="28:30">
      <c r="AB448" s="2" t="str">
        <f>'Rate Calculator'!BC459</f>
        <v>P12B2764 (444)</v>
      </c>
      <c r="AC448" s="2" t="str">
        <f>'Rate Calculator'!BD459</f>
        <v>V0906883906324 (444)</v>
      </c>
      <c r="AD448" s="2" t="str">
        <f>'Rate Calculator'!BE459</f>
        <v>AU0011-56-937 (444)</v>
      </c>
    </row>
    <row r="449" spans="28:30">
      <c r="AB449" s="2" t="str">
        <f>'Rate Calculator'!BC460</f>
        <v>P12B6296 (445)</v>
      </c>
      <c r="AC449" s="2" t="str">
        <f>'Rate Calculator'!BD460</f>
        <v>V0602278277089 (445)</v>
      </c>
      <c r="AD449" s="2" t="str">
        <f>'Rate Calculator'!BE460</f>
        <v>AU0030-20-794 (445)</v>
      </c>
    </row>
    <row r="450" spans="28:30">
      <c r="AB450" s="2" t="str">
        <f>'Rate Calculator'!BC461</f>
        <v>P12B5319 (446)</v>
      </c>
      <c r="AC450" s="2" t="str">
        <f>'Rate Calculator'!BD461</f>
        <v>V0416624596976 (446)</v>
      </c>
      <c r="AD450" s="2" t="str">
        <f>'Rate Calculator'!BE461</f>
        <v>AU0063-64-909 (446)</v>
      </c>
    </row>
    <row r="451" spans="28:30">
      <c r="AB451" s="2" t="str">
        <f>'Rate Calculator'!BC462</f>
        <v>P12B4863 (447)</v>
      </c>
      <c r="AC451" s="2" t="str">
        <f>'Rate Calculator'!BD462</f>
        <v>V0716291792650 (447)</v>
      </c>
      <c r="AD451" s="2" t="str">
        <f>'Rate Calculator'!BE462</f>
        <v>AU0087-27-621 (447)</v>
      </c>
    </row>
    <row r="452" spans="28:30">
      <c r="AB452" s="2" t="str">
        <f>'Rate Calculator'!BC463</f>
        <v>P12B8529 (448)</v>
      </c>
      <c r="AC452" s="2" t="str">
        <f>'Rate Calculator'!BD463</f>
        <v>V0900455528544 (448)</v>
      </c>
      <c r="AD452" s="2" t="str">
        <f>'Rate Calculator'!BE463</f>
        <v>AU0049-40-940 (448)</v>
      </c>
    </row>
    <row r="453" spans="28:30">
      <c r="AB453" s="2" t="str">
        <f>'Rate Calculator'!BC464</f>
        <v>P12B6161 (449)</v>
      </c>
      <c r="AC453" s="2" t="str">
        <f>'Rate Calculator'!BD464</f>
        <v>V0199066352171 (449)</v>
      </c>
      <c r="AD453" s="2" t="str">
        <f>'Rate Calculator'!BE464</f>
        <v>AU0008-55-957 (449)</v>
      </c>
    </row>
    <row r="454" spans="28:30">
      <c r="AB454" s="2" t="str">
        <f>'Rate Calculator'!BC465</f>
        <v>P12B4458 (450)</v>
      </c>
      <c r="AC454" s="2" t="str">
        <f>'Rate Calculator'!BD465</f>
        <v>V0422065648249 (450)</v>
      </c>
      <c r="AD454" s="2" t="str">
        <f>'Rate Calculator'!BE465</f>
        <v>AU0006-35-477 (450)</v>
      </c>
    </row>
    <row r="455" spans="28:30">
      <c r="AB455" s="2" t="str">
        <f>'Rate Calculator'!BC466</f>
        <v>P12B3761 (451)</v>
      </c>
      <c r="AC455" s="2" t="str">
        <f>'Rate Calculator'!BD466</f>
        <v>V0308309455818 (451)</v>
      </c>
      <c r="AD455" s="2" t="str">
        <f>'Rate Calculator'!BE466</f>
        <v>AU0023-84-813 (451)</v>
      </c>
    </row>
    <row r="456" spans="28:30">
      <c r="AB456" s="2" t="str">
        <f>'Rate Calculator'!BC467</f>
        <v>P12B1548 (452)</v>
      </c>
      <c r="AC456" s="2" t="str">
        <f>'Rate Calculator'!BD467</f>
        <v>V0884489653833 (452)</v>
      </c>
      <c r="AD456" s="2" t="str">
        <f>'Rate Calculator'!BE467</f>
        <v>AU0041-42-312 (452)</v>
      </c>
    </row>
    <row r="457" spans="28:30">
      <c r="AB457" s="2" t="str">
        <f>'Rate Calculator'!BC468</f>
        <v>P12B9167 (453)</v>
      </c>
      <c r="AC457" s="2" t="str">
        <f>'Rate Calculator'!BD468</f>
        <v>V0696344689136 (453)</v>
      </c>
      <c r="AD457" s="2" t="str">
        <f>'Rate Calculator'!BE468</f>
        <v>AU0060-45-459 (453)</v>
      </c>
    </row>
    <row r="458" spans="28:30">
      <c r="AB458" s="2" t="str">
        <f>'Rate Calculator'!BC469</f>
        <v>P12B8756 (454)</v>
      </c>
      <c r="AC458" s="2" t="str">
        <f>'Rate Calculator'!BD469</f>
        <v>V0015043925338 (454)</v>
      </c>
      <c r="AD458" s="2" t="str">
        <f>'Rate Calculator'!BE469</f>
        <v>AU0039-19-712 (454)</v>
      </c>
    </row>
    <row r="459" spans="28:30">
      <c r="AB459" s="2" t="str">
        <f>'Rate Calculator'!BC470</f>
        <v>P12B753 (455)</v>
      </c>
      <c r="AC459" s="2" t="str">
        <f>'Rate Calculator'!BD470</f>
        <v>V0047193981538 (455)</v>
      </c>
      <c r="AD459" s="2" t="str">
        <f>'Rate Calculator'!BE470</f>
        <v>AU0069-93-566 (455)</v>
      </c>
    </row>
    <row r="460" spans="28:30">
      <c r="AB460" s="2" t="str">
        <f>'Rate Calculator'!BC471</f>
        <v>P12B5678 (456)</v>
      </c>
      <c r="AC460" s="2" t="str">
        <f>'Rate Calculator'!BD471</f>
        <v>V0563052046287 (456)</v>
      </c>
      <c r="AD460" s="2" t="str">
        <f>'Rate Calculator'!BE471</f>
        <v>AU0086-48-893 (456)</v>
      </c>
    </row>
    <row r="461" spans="28:30">
      <c r="AB461" s="2" t="str">
        <f>'Rate Calculator'!BC472</f>
        <v>P12B8852 (457)</v>
      </c>
      <c r="AC461" s="2" t="str">
        <f>'Rate Calculator'!BD472</f>
        <v>V0483761695459 (457)</v>
      </c>
      <c r="AD461" s="2" t="str">
        <f>'Rate Calculator'!BE472</f>
        <v>AU0007-09-463 (457)</v>
      </c>
    </row>
    <row r="462" spans="28:30">
      <c r="AB462" s="2" t="str">
        <f>'Rate Calculator'!BC473</f>
        <v>P12B9436 (458)</v>
      </c>
      <c r="AC462" s="2" t="str">
        <f>'Rate Calculator'!BD473</f>
        <v>V0487601821118 (458)</v>
      </c>
      <c r="AD462" s="2" t="str">
        <f>'Rate Calculator'!BE473</f>
        <v>AU0074-13-101 (458)</v>
      </c>
    </row>
    <row r="463" spans="28:30">
      <c r="AB463" s="2" t="str">
        <f>'Rate Calculator'!BC474</f>
        <v>P12B7159 (459)</v>
      </c>
      <c r="AC463" s="2" t="str">
        <f>'Rate Calculator'!BD474</f>
        <v>V0769669552163 (459)</v>
      </c>
      <c r="AD463" s="2" t="str">
        <f>'Rate Calculator'!BE474</f>
        <v>AU0045-38-767 (459)</v>
      </c>
    </row>
    <row r="464" spans="28:30">
      <c r="AB464" s="2" t="str">
        <f>'Rate Calculator'!BC475</f>
        <v>P12B2224 (460)</v>
      </c>
      <c r="AC464" s="2" t="str">
        <f>'Rate Calculator'!BD475</f>
        <v>V0095733139400 (460)</v>
      </c>
      <c r="AD464" s="2" t="str">
        <f>'Rate Calculator'!BE475</f>
        <v>AU0070-45-116 (460)</v>
      </c>
    </row>
    <row r="465" spans="28:30">
      <c r="AB465" s="2" t="str">
        <f>'Rate Calculator'!BC476</f>
        <v>P12B8745 (461)</v>
      </c>
      <c r="AC465" s="2" t="str">
        <f>'Rate Calculator'!BD476</f>
        <v>V0174644209445 (461)</v>
      </c>
      <c r="AD465" s="2" t="str">
        <f>'Rate Calculator'!BE476</f>
        <v>AU0051-67-533 (461)</v>
      </c>
    </row>
    <row r="466" spans="28:30">
      <c r="AB466" s="2" t="str">
        <f>'Rate Calculator'!BC477</f>
        <v>P12B8157 (462)</v>
      </c>
      <c r="AC466" s="2" t="str">
        <f>'Rate Calculator'!BD477</f>
        <v>V0027667255998 (462)</v>
      </c>
      <c r="AD466" s="2" t="str">
        <f>'Rate Calculator'!BE477</f>
        <v>AU0082-39-728 (462)</v>
      </c>
    </row>
    <row r="467" spans="28:30">
      <c r="AB467" s="2" t="str">
        <f>'Rate Calculator'!BC478</f>
        <v>P12B3756 (463)</v>
      </c>
      <c r="AC467" s="2" t="str">
        <f>'Rate Calculator'!BD478</f>
        <v>V0895689535415 (463)</v>
      </c>
      <c r="AD467" s="2" t="str">
        <f>'Rate Calculator'!BE478</f>
        <v>AU0017-35-434 (463)</v>
      </c>
    </row>
    <row r="468" spans="28:30">
      <c r="AB468" s="2" t="str">
        <f>'Rate Calculator'!BC479</f>
        <v>P12B2354 (464)</v>
      </c>
      <c r="AC468" s="2" t="str">
        <f>'Rate Calculator'!BD479</f>
        <v>V0269992762205 (464)</v>
      </c>
      <c r="AD468" s="2" t="str">
        <f>'Rate Calculator'!BE479</f>
        <v>AU0075-42-460 (464)</v>
      </c>
    </row>
    <row r="469" spans="28:30">
      <c r="AB469" s="2" t="str">
        <f>'Rate Calculator'!BC480</f>
        <v>P12B9900 (465)</v>
      </c>
      <c r="AC469" s="2" t="str">
        <f>'Rate Calculator'!BD480</f>
        <v>V0948615544343 (465)</v>
      </c>
      <c r="AD469" s="2" t="str">
        <f>'Rate Calculator'!BE480</f>
        <v>AU0087-12-582 (465)</v>
      </c>
    </row>
    <row r="470" spans="28:30">
      <c r="AB470" s="2" t="str">
        <f>'Rate Calculator'!BC481</f>
        <v>P12B3283 (466)</v>
      </c>
      <c r="AC470" s="2" t="str">
        <f>'Rate Calculator'!BD481</f>
        <v>V0807128842340 (466)</v>
      </c>
      <c r="AD470" s="2" t="str">
        <f>'Rate Calculator'!BE481</f>
        <v>AU0065-35-479 (466)</v>
      </c>
    </row>
    <row r="471" spans="28:30">
      <c r="AB471" s="2" t="str">
        <f>'Rate Calculator'!BC482</f>
        <v>P12B8734 (467)</v>
      </c>
      <c r="AC471" s="2" t="str">
        <f>'Rate Calculator'!BD482</f>
        <v>V0314776399928 (467)</v>
      </c>
      <c r="AD471" s="2" t="str">
        <f>'Rate Calculator'!BE482</f>
        <v>AU0091-60-107 (467)</v>
      </c>
    </row>
    <row r="472" spans="28:30">
      <c r="AB472" s="2" t="str">
        <f>'Rate Calculator'!BC483</f>
        <v>P12B7416 (468)</v>
      </c>
      <c r="AC472" s="2" t="str">
        <f>'Rate Calculator'!BD483</f>
        <v>V0229655880490 (468)</v>
      </c>
      <c r="AD472" s="2" t="str">
        <f>'Rate Calculator'!BE483</f>
        <v>AU0045-02-274 (468)</v>
      </c>
    </row>
    <row r="473" spans="28:30">
      <c r="AB473" s="2" t="str">
        <f>'Rate Calculator'!BC484</f>
        <v>P12B142 (469)</v>
      </c>
      <c r="AC473" s="2" t="str">
        <f>'Rate Calculator'!BD484</f>
        <v>V0421964634315 (469)</v>
      </c>
      <c r="AD473" s="2" t="str">
        <f>'Rate Calculator'!BE484</f>
        <v>AU0009-28-231 (469)</v>
      </c>
    </row>
    <row r="474" spans="28:30">
      <c r="AB474" s="2" t="str">
        <f>'Rate Calculator'!BC485</f>
        <v>P12B5745 (470)</v>
      </c>
      <c r="AC474" s="2" t="str">
        <f>'Rate Calculator'!BD485</f>
        <v>V0138882163453 (470)</v>
      </c>
      <c r="AD474" s="2" t="str">
        <f>'Rate Calculator'!BE485</f>
        <v>AU0062-37-170 (470)</v>
      </c>
    </row>
    <row r="475" spans="28:30">
      <c r="AB475" s="2" t="str">
        <f>'Rate Calculator'!BC486</f>
        <v>P12B7833 (471)</v>
      </c>
      <c r="AC475" s="2" t="str">
        <f>'Rate Calculator'!BD486</f>
        <v>V0945727761342 (471)</v>
      </c>
      <c r="AD475" s="2" t="str">
        <f>'Rate Calculator'!BE486</f>
        <v>AU0017-29-379 (471)</v>
      </c>
    </row>
    <row r="476" spans="28:30">
      <c r="AB476" s="2" t="str">
        <f>'Rate Calculator'!BC487</f>
        <v>P12B6026 (472)</v>
      </c>
      <c r="AC476" s="2" t="str">
        <f>'Rate Calculator'!BD487</f>
        <v>V0271383018418 (472)</v>
      </c>
      <c r="AD476" s="2" t="str">
        <f>'Rate Calculator'!BE487</f>
        <v>AU0019-01-445 (472)</v>
      </c>
    </row>
    <row r="477" spans="28:30">
      <c r="AB477" s="2" t="str">
        <f>'Rate Calculator'!BC488</f>
        <v>P12B4832 (473)</v>
      </c>
      <c r="AC477" s="2" t="str">
        <f>'Rate Calculator'!BD488</f>
        <v>V0053872728085 (473)</v>
      </c>
      <c r="AD477" s="2" t="str">
        <f>'Rate Calculator'!BE488</f>
        <v>AU0016-04-405 (473)</v>
      </c>
    </row>
    <row r="478" spans="28:30">
      <c r="AB478" s="2" t="str">
        <f>'Rate Calculator'!BC489</f>
        <v>P12B5203 (474)</v>
      </c>
      <c r="AC478" s="2" t="str">
        <f>'Rate Calculator'!BD489</f>
        <v>V0457575083751 (474)</v>
      </c>
      <c r="AD478" s="2" t="str">
        <f>'Rate Calculator'!BE489</f>
        <v>AU0073-44-892 (474)</v>
      </c>
    </row>
    <row r="479" spans="28:30">
      <c r="AB479" s="2" t="str">
        <f>'Rate Calculator'!BC490</f>
        <v>P12B603 (475)</v>
      </c>
      <c r="AC479" s="2" t="str">
        <f>'Rate Calculator'!BD490</f>
        <v>V0369845856318 (475)</v>
      </c>
      <c r="AD479" s="2" t="str">
        <f>'Rate Calculator'!BE490</f>
        <v>AU0019-03-797 (475)</v>
      </c>
    </row>
    <row r="480" spans="28:30">
      <c r="AB480" s="2" t="str">
        <f>'Rate Calculator'!BC491</f>
        <v>P12B8322 (476)</v>
      </c>
      <c r="AC480" s="2" t="str">
        <f>'Rate Calculator'!BD491</f>
        <v>V0354460163574 (476)</v>
      </c>
      <c r="AD480" s="2" t="str">
        <f>'Rate Calculator'!BE491</f>
        <v>AU0083-54-670 (476)</v>
      </c>
    </row>
    <row r="481" spans="28:30">
      <c r="AB481" s="2" t="str">
        <f>'Rate Calculator'!BC492</f>
        <v>P12B9124 (477)</v>
      </c>
      <c r="AC481" s="2" t="str">
        <f>'Rate Calculator'!BD492</f>
        <v>V0215382303493 (477)</v>
      </c>
      <c r="AD481" s="2" t="str">
        <f>'Rate Calculator'!BE492</f>
        <v>AU0099-89-290 (477)</v>
      </c>
    </row>
    <row r="482" spans="28:30">
      <c r="AB482" s="2" t="str">
        <f>'Rate Calculator'!BC493</f>
        <v>P12B2499 (478)</v>
      </c>
      <c r="AC482" s="2" t="str">
        <f>'Rate Calculator'!BD493</f>
        <v>V0948389276157 (478)</v>
      </c>
      <c r="AD482" s="2" t="str">
        <f>'Rate Calculator'!BE493</f>
        <v>AU0088-93-235 (478)</v>
      </c>
    </row>
    <row r="483" spans="28:30">
      <c r="AB483" s="2" t="str">
        <f>'Rate Calculator'!BC494</f>
        <v>P12B5785 (479)</v>
      </c>
      <c r="AC483" s="2" t="str">
        <f>'Rate Calculator'!BD494</f>
        <v>V0989398857152 (479)</v>
      </c>
      <c r="AD483" s="2" t="str">
        <f>'Rate Calculator'!BE494</f>
        <v>AU0028-41-188 (479)</v>
      </c>
    </row>
    <row r="484" spans="28:30">
      <c r="AB484" s="2" t="str">
        <f>'Rate Calculator'!BC495</f>
        <v>P12B8970 (480)</v>
      </c>
      <c r="AC484" s="2" t="str">
        <f>'Rate Calculator'!BD495</f>
        <v>V0702343191404 (480)</v>
      </c>
      <c r="AD484" s="2" t="str">
        <f>'Rate Calculator'!BE495</f>
        <v>AU0006-95-972 (480)</v>
      </c>
    </row>
    <row r="485" spans="28:30">
      <c r="AB485" s="2" t="str">
        <f>'Rate Calculator'!BC496</f>
        <v>P12B5307 (481)</v>
      </c>
      <c r="AC485" s="2" t="str">
        <f>'Rate Calculator'!BD496</f>
        <v>V0366724295371 (481)</v>
      </c>
      <c r="AD485" s="2" t="str">
        <f>'Rate Calculator'!BE496</f>
        <v>AU0014-89-195 (481)</v>
      </c>
    </row>
    <row r="486" spans="28:30">
      <c r="AB486" s="2" t="str">
        <f>'Rate Calculator'!BC497</f>
        <v>P12B8449 (482)</v>
      </c>
      <c r="AC486" s="2" t="str">
        <f>'Rate Calculator'!BD497</f>
        <v>V0392992299336 (482)</v>
      </c>
      <c r="AD486" s="2" t="str">
        <f>'Rate Calculator'!BE497</f>
        <v>AU0025-87-519 (482)</v>
      </c>
    </row>
    <row r="487" spans="28:30">
      <c r="AB487" s="2" t="str">
        <f>'Rate Calculator'!BC498</f>
        <v>P12B2244 (483)</v>
      </c>
      <c r="AC487" s="2" t="str">
        <f>'Rate Calculator'!BD498</f>
        <v>V0475739371117 (483)</v>
      </c>
      <c r="AD487" s="2" t="str">
        <f>'Rate Calculator'!BE498</f>
        <v>AU0065-19-458 (483)</v>
      </c>
    </row>
    <row r="488" spans="28:30">
      <c r="AB488" s="2" t="str">
        <f>'Rate Calculator'!BC499</f>
        <v>P12B4765 (484)</v>
      </c>
      <c r="AC488" s="2" t="str">
        <f>'Rate Calculator'!BD499</f>
        <v>V0917649565699 (484)</v>
      </c>
      <c r="AD488" s="2" t="str">
        <f>'Rate Calculator'!BE499</f>
        <v>AU0068-88-656 (484)</v>
      </c>
    </row>
    <row r="489" spans="28:30">
      <c r="AB489" s="2" t="str">
        <f>'Rate Calculator'!BC500</f>
        <v>P12B7291 (485)</v>
      </c>
      <c r="AC489" s="2" t="str">
        <f>'Rate Calculator'!BD500</f>
        <v>V0143116303907 (485)</v>
      </c>
      <c r="AD489" s="2" t="str">
        <f>'Rate Calculator'!BE500</f>
        <v>AU0088-59-112 (485)</v>
      </c>
    </row>
    <row r="490" spans="28:30">
      <c r="AB490" s="2" t="str">
        <f>'Rate Calculator'!BC501</f>
        <v>P12B2140 (486)</v>
      </c>
      <c r="AC490" s="2" t="str">
        <f>'Rate Calculator'!BD501</f>
        <v>V0750294394129 (486)</v>
      </c>
      <c r="AD490" s="2" t="str">
        <f>'Rate Calculator'!BE501</f>
        <v>AU0055-30-693 (486)</v>
      </c>
    </row>
    <row r="491" spans="28:30">
      <c r="AB491" s="2" t="str">
        <f>'Rate Calculator'!BC502</f>
        <v>P12B578 (487)</v>
      </c>
      <c r="AC491" s="2" t="str">
        <f>'Rate Calculator'!BD502</f>
        <v>V0777366985147 (487)</v>
      </c>
      <c r="AD491" s="2" t="str">
        <f>'Rate Calculator'!BE502</f>
        <v>AU0089-92-084 (487)</v>
      </c>
    </row>
    <row r="492" spans="28:30">
      <c r="AB492" s="2" t="str">
        <f>'Rate Calculator'!BC503</f>
        <v>P12B2884 (488)</v>
      </c>
      <c r="AC492" s="2" t="str">
        <f>'Rate Calculator'!BD503</f>
        <v>V0867986041024 (488)</v>
      </c>
      <c r="AD492" s="2" t="str">
        <f>'Rate Calculator'!BE503</f>
        <v>AU0046-68-991 (488)</v>
      </c>
    </row>
    <row r="493" spans="28:30">
      <c r="AB493" s="2" t="str">
        <f>'Rate Calculator'!BC504</f>
        <v>P12B4964 (489)</v>
      </c>
      <c r="AC493" s="2" t="str">
        <f>'Rate Calculator'!BD504</f>
        <v>V0645299124847 (489)</v>
      </c>
      <c r="AD493" s="2" t="str">
        <f>'Rate Calculator'!BE504</f>
        <v>AU0049-91-401 (489)</v>
      </c>
    </row>
    <row r="494" spans="28:30">
      <c r="AB494" s="2" t="str">
        <f>'Rate Calculator'!BC505</f>
        <v>P12B5594 (490)</v>
      </c>
      <c r="AC494" s="2" t="str">
        <f>'Rate Calculator'!BD505</f>
        <v>V0478298305937 (490)</v>
      </c>
      <c r="AD494" s="2" t="str">
        <f>'Rate Calculator'!BE505</f>
        <v>AU0021-63-251 (490)</v>
      </c>
    </row>
    <row r="495" spans="28:30">
      <c r="AB495" s="2" t="str">
        <f>'Rate Calculator'!BC506</f>
        <v>P12B8955 (491)</v>
      </c>
      <c r="AC495" s="2" t="str">
        <f>'Rate Calculator'!BD506</f>
        <v>V0787903161568 (491)</v>
      </c>
      <c r="AD495" s="2" t="str">
        <f>'Rate Calculator'!BE506</f>
        <v>AU0017-55-000 (491)</v>
      </c>
    </row>
    <row r="496" spans="28:30">
      <c r="AB496" s="2" t="str">
        <f>'Rate Calculator'!BC507</f>
        <v>P12B6073 (492)</v>
      </c>
      <c r="AC496" s="2" t="str">
        <f>'Rate Calculator'!BD507</f>
        <v>V0763649869250 (492)</v>
      </c>
      <c r="AD496" s="2" t="str">
        <f>'Rate Calculator'!BE507</f>
        <v>AU0065-79-265 (492)</v>
      </c>
    </row>
    <row r="497" spans="28:30">
      <c r="AB497" s="2" t="str">
        <f>'Rate Calculator'!BC508</f>
        <v>P12B118 (493)</v>
      </c>
      <c r="AC497" s="2" t="str">
        <f>'Rate Calculator'!BD508</f>
        <v>V0123474753338 (493)</v>
      </c>
      <c r="AD497" s="2" t="str">
        <f>'Rate Calculator'!BE508</f>
        <v>AU0049-89-738 (493)</v>
      </c>
    </row>
    <row r="498" spans="28:30">
      <c r="AB498" s="2" t="str">
        <f>'Rate Calculator'!BC509</f>
        <v>P12B1497 (494)</v>
      </c>
      <c r="AC498" s="2" t="str">
        <f>'Rate Calculator'!BD509</f>
        <v>V0445028270002 (494)</v>
      </c>
      <c r="AD498" s="2" t="str">
        <f>'Rate Calculator'!BE509</f>
        <v>AU0007-91-015 (494)</v>
      </c>
    </row>
    <row r="499" spans="28:30">
      <c r="AB499" s="2" t="str">
        <f>'Rate Calculator'!BC510</f>
        <v>P12B2279 (495)</v>
      </c>
      <c r="AC499" s="2" t="str">
        <f>'Rate Calculator'!BD510</f>
        <v>V0114368794414 (495)</v>
      </c>
      <c r="AD499" s="2" t="str">
        <f>'Rate Calculator'!BE510</f>
        <v>AU0025-63-206 (495)</v>
      </c>
    </row>
  </sheetData>
  <mergeCells count="9">
    <mergeCell ref="D30:H31"/>
    <mergeCell ref="B33:B36"/>
    <mergeCell ref="E47:E48"/>
    <mergeCell ref="D12:D15"/>
    <mergeCell ref="F12:K12"/>
    <mergeCell ref="F13:K13"/>
    <mergeCell ref="F14:K14"/>
    <mergeCell ref="D20:H21"/>
    <mergeCell ref="B23:B26"/>
  </mergeCells>
  <dataValidations count="4">
    <dataValidation type="list" allowBlank="1" showInputMessage="1" showErrorMessage="1" sqref="C13 C33:C36 C23:C26">
      <formula1>$AC$1:$AC$499</formula1>
    </dataValidation>
    <dataValidation type="list" allowBlank="1" showInputMessage="1" showErrorMessage="1" sqref="C14 C20 C30">
      <formula1>$AB$1:$AB$499</formula1>
    </dataValidation>
    <dataValidation type="list" allowBlank="1" showInputMessage="1" showErrorMessage="1" sqref="C15 C21 D32:K32">
      <formula1>$AG$1:$AG$7</formula1>
    </dataValidation>
    <dataValidation type="list" allowBlank="1" showInputMessage="1" showErrorMessage="1" sqref="C12 D22:K22 C31">
      <formula1>$AD$1:$AD$499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rgb="FFC00000"/>
  </sheetPr>
  <dimension ref="A1:GE774"/>
  <sheetViews>
    <sheetView showGridLines="0" tabSelected="1" topLeftCell="C50" zoomScale="70" zoomScaleNormal="70" workbookViewId="0">
      <selection activeCell="G52" sqref="G52"/>
    </sheetView>
  </sheetViews>
  <sheetFormatPr defaultRowHeight="15" outlineLevelRow="2" outlineLevelCol="1"/>
  <cols>
    <col min="1" max="1" width="23.7109375" customWidth="1"/>
    <col min="2" max="2" width="32.28515625" customWidth="1"/>
    <col min="3" max="3" width="30.85546875" customWidth="1"/>
    <col min="4" max="4" width="21.42578125" customWidth="1"/>
    <col min="5" max="5" width="29.140625" customWidth="1"/>
    <col min="6" max="6" width="24.85546875" customWidth="1"/>
    <col min="7" max="7" width="20" customWidth="1"/>
    <col min="8" max="8" width="13.85546875" customWidth="1"/>
    <col min="9" max="9" width="28" style="63" customWidth="1"/>
    <col min="10" max="10" width="14.85546875" style="63" customWidth="1"/>
    <col min="11" max="11" width="9" style="63" customWidth="1"/>
    <col min="12" max="12" width="29.28515625" customWidth="1"/>
    <col min="13" max="13" width="9.5703125" style="63" customWidth="1"/>
    <col min="14" max="14" width="15.7109375" style="63" customWidth="1"/>
    <col min="15" max="15" width="10" style="63" customWidth="1"/>
    <col min="16" max="16" width="22.85546875" customWidth="1"/>
    <col min="17" max="18" width="17.85546875" customWidth="1"/>
    <col min="19" max="19" width="12" customWidth="1"/>
    <col min="20" max="20" width="13.7109375" customWidth="1"/>
    <col min="21" max="21" width="15.42578125" customWidth="1"/>
    <col min="22" max="22" width="9.28515625" bestFit="1" customWidth="1"/>
    <col min="23" max="23" width="11.7109375" bestFit="1" customWidth="1"/>
    <col min="24" max="24" width="9.28515625" bestFit="1" customWidth="1"/>
    <col min="25" max="26" width="9.5703125" bestFit="1" customWidth="1"/>
    <col min="27" max="34" width="9.28515625" bestFit="1" customWidth="1"/>
    <col min="39" max="39" width="11" customWidth="1"/>
    <col min="40" max="40" width="10.42578125" customWidth="1"/>
    <col min="43" max="43" width="10.5703125" customWidth="1" collapsed="1"/>
    <col min="44" max="44" width="9.140625" customWidth="1" outlineLevel="1"/>
    <col min="45" max="45" width="6.5703125" customWidth="1" outlineLevel="1"/>
    <col min="46" max="49" width="9.140625" customWidth="1" outlineLevel="1"/>
    <col min="50" max="50" width="13.85546875" customWidth="1" outlineLevel="1"/>
    <col min="51" max="51" width="20.42578125" customWidth="1" outlineLevel="1"/>
    <col min="52" max="54" width="9.140625" customWidth="1" outlineLevel="1"/>
    <col min="55" max="55" width="9.5703125" customWidth="1" outlineLevel="1"/>
    <col min="56" max="58" width="9.140625" customWidth="1" outlineLevel="1"/>
    <col min="69" max="69" width="9.140625" customWidth="1"/>
    <col min="107" max="107" width="9.28515625" customWidth="1"/>
    <col min="109" max="109" width="10.42578125" customWidth="1"/>
    <col min="133" max="133" width="11.140625" bestFit="1" customWidth="1"/>
    <col min="232" max="232" width="9.5703125" bestFit="1" customWidth="1"/>
  </cols>
  <sheetData>
    <row r="1" spans="1:185" ht="26.25">
      <c r="C1" s="872" t="s">
        <v>32</v>
      </c>
      <c r="D1" s="872"/>
      <c r="E1" s="872"/>
      <c r="F1" s="872"/>
      <c r="G1" s="872"/>
      <c r="I1" s="60" t="s">
        <v>33</v>
      </c>
      <c r="J1" s="61">
        <f>'Run Time Parameters'!E5</f>
        <v>40115</v>
      </c>
      <c r="K1" s="62"/>
    </row>
    <row r="2" spans="1:185" s="64" customFormat="1" ht="18.75" thickBot="1">
      <c r="AR2" s="873" t="s">
        <v>34</v>
      </c>
      <c r="AS2" s="873"/>
      <c r="AT2" s="873"/>
      <c r="AU2" s="873"/>
      <c r="AV2" s="873"/>
      <c r="AW2" s="873"/>
      <c r="AX2" s="873"/>
      <c r="AY2" s="873"/>
      <c r="AZ2" s="873"/>
      <c r="BA2" s="873"/>
    </row>
    <row r="3" spans="1:185" s="64" customFormat="1" ht="96" customHeight="1">
      <c r="C3" s="883" t="e">
        <f ca="1">LE_DECLARE_ENTRY_POINT("PYDPremiumCalculator",(C1,D13),(C6,D6),(C7,D7),(C8,D8),(C9,D9),(C10,D10))</f>
        <v>#NAME?</v>
      </c>
      <c r="D3" s="884"/>
      <c r="E3" s="884"/>
      <c r="F3" s="884"/>
      <c r="G3" s="885"/>
      <c r="AR3" s="65"/>
      <c r="AS3" s="65"/>
      <c r="AT3" s="65"/>
      <c r="AU3" s="65"/>
      <c r="AV3" s="65"/>
      <c r="AW3" s="65"/>
      <c r="AX3" s="65"/>
      <c r="AY3" s="65"/>
      <c r="AZ3" s="65"/>
      <c r="BA3" s="65"/>
    </row>
    <row r="4" spans="1:185" s="64" customFormat="1" ht="18.75" thickBot="1">
      <c r="AR4" s="65"/>
      <c r="AS4" s="65"/>
      <c r="AT4" s="65"/>
      <c r="AU4" s="65"/>
      <c r="AV4" s="65"/>
      <c r="AW4" s="65"/>
      <c r="AX4" s="65"/>
      <c r="AY4" s="65"/>
      <c r="AZ4" s="65"/>
      <c r="BA4" s="65"/>
    </row>
    <row r="5" spans="1:185" s="64" customFormat="1" ht="18">
      <c r="C5" s="893" t="s">
        <v>35</v>
      </c>
      <c r="D5" s="894"/>
      <c r="F5" s="895" t="s">
        <v>36</v>
      </c>
      <c r="G5" s="896"/>
      <c r="AR5" s="65"/>
      <c r="AS5" s="65"/>
      <c r="AT5" s="65"/>
      <c r="AU5" s="65"/>
      <c r="AV5" s="65"/>
      <c r="AW5" s="65"/>
      <c r="AX5" s="65"/>
      <c r="AY5" s="65"/>
      <c r="AZ5" s="65"/>
      <c r="BA5" s="65"/>
    </row>
    <row r="6" spans="1:185" s="64" customFormat="1" ht="18">
      <c r="C6" s="68" t="s">
        <v>7</v>
      </c>
      <c r="D6" s="69" t="s">
        <v>3062</v>
      </c>
      <c r="F6" s="70" t="str">
        <f>F74</f>
        <v>Accident_Premium</v>
      </c>
      <c r="G6" s="71" t="e">
        <f>G74</f>
        <v>#REF!</v>
      </c>
      <c r="AR6" s="65"/>
      <c r="AS6" s="65"/>
      <c r="AT6" s="65"/>
      <c r="AU6" s="65"/>
      <c r="AV6" s="65"/>
      <c r="AW6" s="65"/>
      <c r="AX6" s="65"/>
      <c r="AY6" s="65"/>
      <c r="AZ6" s="65"/>
      <c r="BA6" s="65"/>
    </row>
    <row r="7" spans="1:185" s="64" customFormat="1" ht="18">
      <c r="C7" s="68" t="s">
        <v>9</v>
      </c>
      <c r="D7" s="69" t="s">
        <v>18</v>
      </c>
      <c r="F7" s="70" t="str">
        <f>F111</f>
        <v>Theft_Premium</v>
      </c>
      <c r="G7" s="71" t="e">
        <f>G111</f>
        <v>#REF!</v>
      </c>
      <c r="AR7" s="65"/>
      <c r="AS7" s="65"/>
      <c r="AT7" s="65"/>
      <c r="AU7" s="65"/>
      <c r="AV7" s="65"/>
      <c r="AW7" s="65"/>
      <c r="AX7" s="65"/>
      <c r="AY7" s="65"/>
      <c r="AZ7" s="65"/>
      <c r="BA7" s="65"/>
    </row>
    <row r="8" spans="1:185" s="64" customFormat="1" ht="18">
      <c r="C8" s="68" t="s">
        <v>10</v>
      </c>
      <c r="D8" s="69" t="s">
        <v>13</v>
      </c>
      <c r="F8" s="70" t="str">
        <f>F136</f>
        <v>Hail_Premium</v>
      </c>
      <c r="G8" s="71" t="e">
        <f>G136</f>
        <v>#REF!</v>
      </c>
      <c r="AR8" s="65"/>
      <c r="AS8" s="65"/>
      <c r="AT8" s="65"/>
      <c r="AU8" s="65"/>
      <c r="AV8" s="65"/>
      <c r="AW8" s="65"/>
      <c r="AX8" s="65"/>
      <c r="AY8" s="65"/>
      <c r="AZ8" s="65"/>
      <c r="BA8" s="65"/>
    </row>
    <row r="9" spans="1:185" s="64" customFormat="1" ht="18">
      <c r="C9" s="68" t="s">
        <v>83</v>
      </c>
      <c r="D9" s="69" t="s">
        <v>12</v>
      </c>
      <c r="F9" s="70" t="str">
        <f>F156</f>
        <v>Fire_Premium</v>
      </c>
      <c r="G9" s="71" t="e">
        <f>G156</f>
        <v>#REF!</v>
      </c>
      <c r="AR9" s="65"/>
      <c r="AS9" s="65"/>
      <c r="AT9" s="65"/>
      <c r="AU9" s="65"/>
      <c r="AV9" s="65"/>
      <c r="AW9" s="65"/>
      <c r="AX9" s="65"/>
      <c r="AY9" s="65"/>
      <c r="AZ9" s="65"/>
      <c r="BA9" s="65"/>
    </row>
    <row r="10" spans="1:185" s="64" customFormat="1" ht="18.75" thickBot="1">
      <c r="C10" s="72" t="s">
        <v>3087</v>
      </c>
      <c r="D10" s="73"/>
      <c r="F10" s="70" t="str">
        <f>C165</f>
        <v>WS_Premium</v>
      </c>
      <c r="G10" s="71" t="e">
        <f>D165</f>
        <v>#REF!</v>
      </c>
      <c r="AR10" s="65"/>
      <c r="AS10" s="65"/>
      <c r="AT10" s="65"/>
      <c r="AU10" s="65"/>
      <c r="AV10" s="65"/>
      <c r="AW10" s="65"/>
      <c r="AX10" s="65"/>
      <c r="AY10" s="65"/>
      <c r="AZ10" s="65"/>
      <c r="BA10" s="65"/>
    </row>
    <row r="11" spans="1:185" s="64" customFormat="1" ht="18.75" thickBot="1">
      <c r="F11" s="70" t="str">
        <f>F193</f>
        <v>Net Total Premium</v>
      </c>
      <c r="G11" s="71" t="e">
        <f ca="1">G193</f>
        <v>#REF!</v>
      </c>
      <c r="AR11" s="65"/>
      <c r="AS11" s="65"/>
      <c r="AT11" s="65"/>
      <c r="AU11" s="65"/>
      <c r="AV11" s="65"/>
      <c r="AW11" s="65"/>
      <c r="AX11" s="65"/>
      <c r="AY11" s="65"/>
      <c r="AZ11" s="65"/>
      <c r="BA11" s="65"/>
    </row>
    <row r="12" spans="1:185" s="64" customFormat="1" ht="18">
      <c r="C12" s="66" t="s">
        <v>37</v>
      </c>
      <c r="D12" s="67"/>
      <c r="F12" s="75" t="str">
        <f>F194</f>
        <v>Gross Total Premium</v>
      </c>
      <c r="G12" s="76" t="e">
        <f ca="1">G194</f>
        <v>#REF!</v>
      </c>
      <c r="AR12" s="65"/>
      <c r="AS12" s="65"/>
      <c r="AT12" s="65"/>
      <c r="AU12" s="65"/>
      <c r="AV12" s="65"/>
      <c r="AW12" s="65"/>
      <c r="AX12" s="65"/>
      <c r="AY12" s="65"/>
      <c r="AZ12" s="65"/>
      <c r="BA12" s="65"/>
    </row>
    <row r="13" spans="1:185" s="64" customFormat="1" ht="18.75" thickBot="1">
      <c r="C13" s="72" t="s">
        <v>38</v>
      </c>
      <c r="D13" s="74" t="e">
        <f>VLOOKUP(D10,F6:G12,2,FALSE)</f>
        <v>#N/A</v>
      </c>
      <c r="AR13" s="65"/>
      <c r="AS13" s="65"/>
      <c r="AT13" s="65"/>
      <c r="AU13" s="65"/>
      <c r="AV13" s="65"/>
      <c r="AW13" s="65"/>
      <c r="AX13" s="65"/>
      <c r="AY13" s="65"/>
      <c r="AZ13" s="65"/>
      <c r="BA13" s="65"/>
    </row>
    <row r="14" spans="1:185" s="77" customFormat="1">
      <c r="A14" s="51"/>
      <c r="C14" s="64"/>
      <c r="D14" s="64"/>
      <c r="E14" s="64"/>
      <c r="F14" s="64"/>
      <c r="G14" s="64"/>
      <c r="AR14" s="78" t="s">
        <v>39</v>
      </c>
      <c r="AS14" s="79"/>
      <c r="AT14" s="79"/>
      <c r="AU14" s="79"/>
      <c r="AV14" s="79"/>
      <c r="AW14" s="79"/>
      <c r="AX14" s="79" t="s">
        <v>40</v>
      </c>
      <c r="AY14" s="79" t="s">
        <v>41</v>
      </c>
      <c r="AZ14" s="79" t="s">
        <v>42</v>
      </c>
      <c r="BA14" s="80"/>
    </row>
    <row r="15" spans="1:185" s="77" customFormat="1" ht="15.75">
      <c r="A15" s="775"/>
      <c r="C15" s="81"/>
      <c r="D15" s="82"/>
      <c r="E15" s="82"/>
      <c r="G15" s="82"/>
      <c r="J15" s="83"/>
      <c r="K15" s="84"/>
      <c r="M15" s="85"/>
      <c r="N15" s="85"/>
      <c r="P15" s="86"/>
      <c r="Q15" s="86"/>
      <c r="R15" s="87"/>
      <c r="X15" s="81"/>
      <c r="Z15" s="81"/>
      <c r="AB15" s="82"/>
      <c r="AC15" s="82"/>
      <c r="AD15" s="88"/>
      <c r="AE15" s="89"/>
      <c r="AG15" s="90"/>
      <c r="AH15" s="90"/>
      <c r="AI15" s="91"/>
      <c r="AJ15" s="86"/>
      <c r="AL15" s="88"/>
      <c r="AM15" s="86"/>
      <c r="AN15" s="87"/>
      <c r="AR15" s="92"/>
      <c r="AS15" s="93"/>
      <c r="AT15" s="93"/>
      <c r="AU15" s="93"/>
      <c r="AV15" s="93"/>
      <c r="AW15" s="93"/>
      <c r="AX15" s="93"/>
      <c r="AY15" s="93"/>
      <c r="AZ15" s="93"/>
      <c r="BA15" s="94"/>
      <c r="BC15" s="85"/>
      <c r="BD15" s="88"/>
      <c r="BE15" s="89"/>
      <c r="BG15" s="83"/>
      <c r="BH15" s="87"/>
      <c r="BK15" s="85"/>
      <c r="BL15" s="95"/>
      <c r="BM15" s="85"/>
      <c r="BO15" s="96"/>
      <c r="BP15" s="96"/>
      <c r="BQ15" s="97"/>
      <c r="BR15" s="97"/>
      <c r="BS15" s="98"/>
      <c r="BT15" s="87"/>
      <c r="BV15" s="99"/>
      <c r="BW15" s="99"/>
      <c r="BX15" s="99"/>
      <c r="BY15" s="99"/>
      <c r="BZ15" s="99"/>
      <c r="CA15" s="99"/>
      <c r="CB15" s="100"/>
      <c r="CC15" s="87"/>
      <c r="CE15" s="85"/>
      <c r="CF15" s="85"/>
      <c r="CG15" s="99"/>
      <c r="CH15" s="101"/>
      <c r="CI15" s="102"/>
      <c r="CJ15" s="99"/>
      <c r="CK15" s="99"/>
      <c r="CL15" s="85"/>
      <c r="CM15" s="87"/>
      <c r="CO15" s="85"/>
      <c r="CQ15" s="99"/>
      <c r="CR15" s="103"/>
      <c r="CT15" s="103"/>
      <c r="CV15" s="95"/>
      <c r="CW15" s="104"/>
      <c r="CX15" s="104"/>
      <c r="CY15" s="95"/>
      <c r="CZ15" s="95"/>
      <c r="DA15" s="95"/>
      <c r="DB15" s="95"/>
      <c r="DC15" s="95"/>
      <c r="DD15" s="95"/>
      <c r="DF15" s="105"/>
      <c r="DG15" s="105"/>
      <c r="DH15" s="105"/>
      <c r="DI15" s="105"/>
      <c r="DJ15" s="105"/>
      <c r="DK15" s="105"/>
      <c r="DL15" s="105"/>
      <c r="DM15" s="105"/>
      <c r="DN15" s="105"/>
      <c r="DO15" s="105"/>
      <c r="DP15" s="105"/>
      <c r="DQ15" s="105"/>
      <c r="DR15" s="105"/>
      <c r="DS15" s="105"/>
      <c r="DT15" s="105"/>
      <c r="DU15" s="105"/>
      <c r="DW15" s="106"/>
      <c r="DX15" s="107"/>
      <c r="DY15" s="107"/>
      <c r="DZ15" s="107"/>
      <c r="EA15" s="107"/>
      <c r="EB15" s="107"/>
      <c r="EC15" s="108"/>
      <c r="ED15" s="108"/>
      <c r="EE15" s="107"/>
      <c r="EF15" s="107"/>
      <c r="EG15" s="107"/>
      <c r="EH15" s="107"/>
      <c r="EI15" s="107"/>
      <c r="EJ15" s="109"/>
      <c r="EK15" s="109"/>
      <c r="EL15" s="105"/>
      <c r="EM15" s="105"/>
      <c r="EO15" s="105"/>
      <c r="EP15" s="105"/>
      <c r="EQ15" s="105"/>
      <c r="ER15" s="105"/>
      <c r="ES15" s="105"/>
      <c r="EU15" s="104"/>
      <c r="EV15" s="105"/>
      <c r="EW15" s="105"/>
      <c r="EX15" s="105"/>
      <c r="EY15" s="105"/>
      <c r="FB15" s="110"/>
      <c r="FC15" s="110"/>
      <c r="FD15" s="110"/>
      <c r="FF15" s="105"/>
      <c r="FH15" s="111"/>
      <c r="FI15" s="111"/>
      <c r="FJ15" s="111"/>
      <c r="FK15" s="105"/>
      <c r="FL15" s="105"/>
      <c r="FM15" s="105"/>
      <c r="FN15" s="105"/>
      <c r="FO15" s="105"/>
      <c r="FP15" s="105"/>
      <c r="FQ15" s="105"/>
    </row>
    <row r="16" spans="1:185" s="77" customFormat="1" ht="15.75">
      <c r="A16" s="85"/>
      <c r="B16" s="85"/>
      <c r="C16" s="874" t="s">
        <v>43</v>
      </c>
      <c r="D16" s="875"/>
      <c r="E16" s="875"/>
      <c r="F16" s="875"/>
      <c r="G16" s="875"/>
      <c r="H16" s="875"/>
      <c r="I16" s="875"/>
      <c r="J16" s="876"/>
      <c r="K16" s="81"/>
      <c r="M16" s="81"/>
      <c r="O16" s="81"/>
      <c r="P16" s="82"/>
      <c r="Q16" s="82"/>
      <c r="S16" s="82"/>
      <c r="V16" s="83"/>
      <c r="W16" s="84"/>
      <c r="Y16" s="85"/>
      <c r="Z16" s="85"/>
      <c r="AB16" s="86"/>
      <c r="AC16" s="86"/>
      <c r="AD16" s="87"/>
      <c r="AJ16" s="81"/>
      <c r="AL16" s="81"/>
      <c r="AN16" s="82"/>
      <c r="AO16" s="82"/>
      <c r="AP16" s="88"/>
      <c r="AQ16" s="89"/>
      <c r="AR16" s="112">
        <v>1</v>
      </c>
      <c r="AS16" s="113"/>
      <c r="AT16" s="114"/>
      <c r="AU16" s="115"/>
      <c r="AV16" s="116"/>
      <c r="AW16" s="117"/>
      <c r="AX16" s="113" t="str">
        <f>'Data Sample'!G12</f>
        <v>P02A122</v>
      </c>
      <c r="AY16" s="113" t="str">
        <f>'Data Sample'!G1021</f>
        <v>V0908500462562</v>
      </c>
      <c r="AZ16" s="113" t="str">
        <f>'Data Sample'!G517</f>
        <v>AU0014-76-845</v>
      </c>
      <c r="BA16" s="118"/>
      <c r="BC16" s="119" t="str">
        <f t="shared" ref="BC16:BC79" si="0">AX16 &amp; " ("&amp; $AR16 &amp; ")"</f>
        <v>P02A122 (1)</v>
      </c>
      <c r="BD16" s="119" t="str">
        <f t="shared" ref="BD16:BD79" si="1">AY16 &amp; " ("&amp; $AR16 &amp; ")"</f>
        <v>V0908500462562 (1)</v>
      </c>
      <c r="BE16" s="119" t="str">
        <f t="shared" ref="BE16:BE79" si="2">AZ16 &amp; " ("&amp; $AR16 &amp; ")"</f>
        <v>AU0014-76-845 (1)</v>
      </c>
      <c r="BF16" s="120"/>
      <c r="BG16" s="91"/>
      <c r="BH16" s="86"/>
      <c r="BI16" s="87"/>
      <c r="BM16" s="95"/>
      <c r="BO16" s="85"/>
      <c r="BP16" s="88"/>
      <c r="BQ16" s="89"/>
      <c r="BS16" s="83"/>
      <c r="BT16" s="87"/>
      <c r="BW16" s="85"/>
      <c r="BX16" s="95"/>
      <c r="BY16" s="85"/>
      <c r="CA16" s="96"/>
      <c r="CB16" s="96"/>
      <c r="CC16" s="97"/>
      <c r="CD16" s="97"/>
      <c r="CE16" s="98"/>
      <c r="CF16" s="87"/>
      <c r="CH16" s="99"/>
      <c r="CI16" s="99"/>
      <c r="CJ16" s="99"/>
      <c r="CK16" s="99"/>
      <c r="CL16" s="99"/>
      <c r="CM16" s="99"/>
      <c r="CN16" s="100"/>
      <c r="CO16" s="87"/>
      <c r="CQ16" s="85"/>
      <c r="CR16" s="85"/>
      <c r="CS16" s="99"/>
      <c r="CT16" s="101"/>
      <c r="CU16" s="102"/>
      <c r="CV16" s="99"/>
      <c r="CW16" s="99"/>
      <c r="CX16" s="85"/>
      <c r="CY16" s="87"/>
      <c r="DA16" s="85"/>
      <c r="DC16" s="99"/>
      <c r="DD16" s="103"/>
      <c r="DF16" s="103"/>
      <c r="DH16" s="95"/>
      <c r="DI16" s="104"/>
      <c r="DJ16" s="104"/>
      <c r="DK16" s="95"/>
      <c r="DL16" s="95"/>
      <c r="DM16" s="95"/>
      <c r="DN16" s="95"/>
      <c r="DO16" s="95"/>
      <c r="DP16" s="95"/>
      <c r="DR16" s="105"/>
      <c r="DS16" s="105"/>
      <c r="DT16" s="105"/>
      <c r="DU16" s="105"/>
      <c r="DV16" s="105"/>
      <c r="DW16" s="105"/>
      <c r="DX16" s="105"/>
      <c r="DY16" s="105"/>
      <c r="DZ16" s="105"/>
      <c r="EA16" s="105"/>
      <c r="EB16" s="105"/>
      <c r="EC16" s="105"/>
      <c r="ED16" s="105"/>
      <c r="EE16" s="105"/>
      <c r="EF16" s="105"/>
      <c r="EG16" s="105"/>
      <c r="EI16" s="106"/>
      <c r="EJ16" s="107"/>
      <c r="EK16" s="107"/>
      <c r="EL16" s="107"/>
      <c r="EM16" s="107"/>
      <c r="EN16" s="107"/>
      <c r="EO16" s="108"/>
      <c r="EP16" s="108"/>
      <c r="EQ16" s="107"/>
      <c r="ER16" s="107"/>
      <c r="ES16" s="107"/>
      <c r="ET16" s="107"/>
      <c r="EU16" s="107"/>
      <c r="EV16" s="109"/>
      <c r="EW16" s="109"/>
      <c r="EX16" s="105"/>
      <c r="EY16" s="105"/>
      <c r="FA16" s="105"/>
      <c r="FB16" s="105"/>
      <c r="FC16" s="105"/>
      <c r="FD16" s="105"/>
      <c r="FE16" s="105"/>
      <c r="FG16" s="104"/>
      <c r="FH16" s="105"/>
      <c r="FI16" s="105"/>
      <c r="FJ16" s="105"/>
      <c r="FK16" s="105"/>
      <c r="FN16" s="110"/>
      <c r="FO16" s="110"/>
      <c r="FP16" s="110"/>
      <c r="FR16" s="105"/>
      <c r="FT16" s="111"/>
      <c r="FU16" s="111"/>
      <c r="FV16" s="111"/>
      <c r="FW16" s="105"/>
      <c r="FX16" s="105"/>
      <c r="FY16" s="105"/>
      <c r="FZ16" s="105"/>
      <c r="GA16" s="105"/>
      <c r="GB16" s="105"/>
      <c r="GC16" s="105"/>
    </row>
    <row r="17" spans="1:185" s="77" customFormat="1" ht="15.75">
      <c r="A17" s="85"/>
      <c r="B17" s="85"/>
      <c r="C17" s="49"/>
      <c r="D17" s="50"/>
      <c r="E17" s="121"/>
      <c r="F17" s="121"/>
      <c r="G17" s="121"/>
      <c r="H17" s="82"/>
      <c r="I17" s="121"/>
      <c r="J17" s="122"/>
      <c r="K17" s="81"/>
      <c r="M17" s="81"/>
      <c r="O17" s="81"/>
      <c r="P17" s="82"/>
      <c r="Q17" s="82"/>
      <c r="S17" s="82"/>
      <c r="V17" s="83"/>
      <c r="W17" s="84"/>
      <c r="Y17" s="85"/>
      <c r="Z17" s="85"/>
      <c r="AB17" s="86"/>
      <c r="AC17" s="86"/>
      <c r="AD17" s="87"/>
      <c r="AJ17" s="81"/>
      <c r="AL17" s="81"/>
      <c r="AN17" s="82"/>
      <c r="AO17" s="82"/>
      <c r="AP17" s="88"/>
      <c r="AQ17" s="89"/>
      <c r="AR17" s="112">
        <f t="shared" ref="AR17:AR40" si="3">1+AR16</f>
        <v>2</v>
      </c>
      <c r="AS17" s="123"/>
      <c r="AT17" s="123"/>
      <c r="AU17" s="115"/>
      <c r="AV17" s="116"/>
      <c r="AW17" s="113"/>
      <c r="AX17" s="113" t="str">
        <f>'Data Sample'!G13</f>
        <v>P02A193</v>
      </c>
      <c r="AY17" s="113" t="str">
        <f>'Data Sample'!G1022</f>
        <v>V0082161349972</v>
      </c>
      <c r="AZ17" s="113" t="str">
        <f>'Data Sample'!G518</f>
        <v>AU0040-71-935</v>
      </c>
      <c r="BA17" s="118"/>
      <c r="BC17" s="119" t="str">
        <f t="shared" si="0"/>
        <v>P02A193 (2)</v>
      </c>
      <c r="BD17" s="119" t="str">
        <f t="shared" si="1"/>
        <v>V0082161349972 (2)</v>
      </c>
      <c r="BE17" s="119" t="str">
        <f t="shared" si="2"/>
        <v>AU0040-71-935 (2)</v>
      </c>
      <c r="BF17" s="95"/>
      <c r="BG17" s="91"/>
      <c r="BH17" s="86"/>
      <c r="BI17" s="87"/>
      <c r="BM17" s="95"/>
      <c r="BO17" s="85"/>
      <c r="BP17" s="88"/>
      <c r="BQ17" s="89"/>
      <c r="BS17" s="83"/>
      <c r="BT17" s="87"/>
      <c r="BW17" s="85"/>
      <c r="BX17" s="95"/>
      <c r="BY17" s="85"/>
      <c r="CA17" s="96"/>
      <c r="CB17" s="96"/>
      <c r="CC17" s="97"/>
      <c r="CD17" s="97"/>
      <c r="CE17" s="98"/>
      <c r="CF17" s="87"/>
      <c r="CH17" s="99"/>
      <c r="CI17" s="99"/>
      <c r="CJ17" s="99"/>
      <c r="CK17" s="99"/>
      <c r="CL17" s="99"/>
      <c r="CM17" s="99"/>
      <c r="CN17" s="100"/>
      <c r="CO17" s="87"/>
      <c r="CQ17" s="85"/>
      <c r="CR17" s="85"/>
      <c r="CS17" s="99"/>
      <c r="CT17" s="101"/>
      <c r="CU17" s="102"/>
      <c r="CV17" s="99"/>
      <c r="CW17" s="99"/>
      <c r="CX17" s="85"/>
      <c r="CY17" s="87"/>
      <c r="DA17" s="85"/>
      <c r="DC17" s="99"/>
      <c r="DD17" s="103"/>
      <c r="DF17" s="103"/>
      <c r="DH17" s="95"/>
      <c r="DI17" s="104"/>
      <c r="DJ17" s="104"/>
      <c r="DK17" s="95"/>
      <c r="DL17" s="95"/>
      <c r="DM17" s="95"/>
      <c r="DN17" s="95"/>
      <c r="DO17" s="95"/>
      <c r="DP17" s="95"/>
      <c r="DR17" s="105"/>
      <c r="DS17" s="105"/>
      <c r="DT17" s="105"/>
      <c r="DU17" s="105"/>
      <c r="DV17" s="105"/>
      <c r="DW17" s="105"/>
      <c r="DX17" s="105"/>
      <c r="DY17" s="105"/>
      <c r="DZ17" s="105"/>
      <c r="EA17" s="105"/>
      <c r="EB17" s="105"/>
      <c r="EC17" s="105"/>
      <c r="ED17" s="105"/>
      <c r="EE17" s="105"/>
      <c r="EF17" s="105"/>
      <c r="EG17" s="105"/>
      <c r="EI17" s="106"/>
      <c r="EJ17" s="107"/>
      <c r="EK17" s="107"/>
      <c r="EL17" s="107"/>
      <c r="EM17" s="107"/>
      <c r="EN17" s="107"/>
      <c r="EO17" s="108"/>
      <c r="EP17" s="108"/>
      <c r="EQ17" s="107"/>
      <c r="ER17" s="107"/>
      <c r="ES17" s="107"/>
      <c r="ET17" s="107"/>
      <c r="EU17" s="107"/>
      <c r="EV17" s="109"/>
      <c r="EW17" s="109"/>
      <c r="EX17" s="105"/>
      <c r="EY17" s="105"/>
      <c r="FA17" s="105"/>
      <c r="FB17" s="105"/>
      <c r="FC17" s="105"/>
      <c r="FD17" s="105"/>
      <c r="FE17" s="105"/>
      <c r="FG17" s="104"/>
      <c r="FH17" s="105"/>
      <c r="FI17" s="105"/>
      <c r="FJ17" s="105"/>
      <c r="FK17" s="105"/>
      <c r="FN17" s="110"/>
      <c r="FO17" s="110"/>
      <c r="FP17" s="110"/>
      <c r="FR17" s="105"/>
      <c r="FT17" s="111"/>
      <c r="FU17" s="111"/>
      <c r="FV17" s="111"/>
      <c r="FW17" s="105"/>
      <c r="FX17" s="105"/>
      <c r="FY17" s="105"/>
      <c r="FZ17" s="105"/>
      <c r="GA17" s="105"/>
      <c r="GB17" s="105"/>
      <c r="GC17" s="105"/>
    </row>
    <row r="18" spans="1:185" s="77" customFormat="1" ht="15.75">
      <c r="A18" s="85"/>
      <c r="B18" s="85"/>
      <c r="C18" s="877" t="s">
        <v>44</v>
      </c>
      <c r="D18" s="878"/>
      <c r="E18" s="121"/>
      <c r="F18" s="879" t="s">
        <v>45</v>
      </c>
      <c r="G18" s="880"/>
      <c r="H18" s="82"/>
      <c r="I18" s="881" t="s">
        <v>46</v>
      </c>
      <c r="J18" s="882"/>
      <c r="K18" s="81"/>
      <c r="M18" s="81"/>
      <c r="O18" s="81"/>
      <c r="P18" s="82"/>
      <c r="Q18" s="82"/>
      <c r="S18" s="82"/>
      <c r="V18" s="83"/>
      <c r="W18" s="84"/>
      <c r="Y18" s="85"/>
      <c r="Z18" s="85"/>
      <c r="AB18" s="86"/>
      <c r="AC18" s="86"/>
      <c r="AD18" s="87"/>
      <c r="AJ18" s="81"/>
      <c r="AL18" s="81"/>
      <c r="AN18" s="82"/>
      <c r="AO18" s="82"/>
      <c r="AP18" s="88"/>
      <c r="AQ18" s="89"/>
      <c r="AR18" s="112">
        <f t="shared" si="3"/>
        <v>3</v>
      </c>
      <c r="AS18" s="123"/>
      <c r="AT18" s="123"/>
      <c r="AU18" s="115"/>
      <c r="AV18" s="116"/>
      <c r="AW18" s="113"/>
      <c r="AX18" s="113" t="str">
        <f>'Data Sample'!G14</f>
        <v>P02A520</v>
      </c>
      <c r="AY18" s="113" t="str">
        <f>'Data Sample'!G1023</f>
        <v>V0012258337626</v>
      </c>
      <c r="AZ18" s="113" t="str">
        <f>'Data Sample'!G519</f>
        <v>AU0064-73-998</v>
      </c>
      <c r="BA18" s="118"/>
      <c r="BC18" s="119" t="str">
        <f t="shared" si="0"/>
        <v>P02A520 (3)</v>
      </c>
      <c r="BD18" s="119" t="str">
        <f t="shared" si="1"/>
        <v>V0012258337626 (3)</v>
      </c>
      <c r="BE18" s="119" t="str">
        <f t="shared" si="2"/>
        <v>AU0064-73-998 (3)</v>
      </c>
      <c r="BF18" s="95"/>
      <c r="BG18" s="91"/>
      <c r="BH18" s="86"/>
      <c r="BI18" s="87"/>
      <c r="BM18" s="95"/>
      <c r="BO18" s="85"/>
      <c r="BP18" s="88"/>
      <c r="BQ18" s="89"/>
      <c r="BS18" s="83"/>
      <c r="BT18" s="87"/>
      <c r="BW18" s="85"/>
      <c r="BX18" s="95"/>
      <c r="BY18" s="85"/>
      <c r="CA18" s="96"/>
      <c r="CB18" s="96"/>
      <c r="CC18" s="97"/>
      <c r="CD18" s="97"/>
      <c r="CE18" s="98"/>
      <c r="CF18" s="87"/>
      <c r="CH18" s="99"/>
      <c r="CI18" s="99"/>
      <c r="CJ18" s="99"/>
      <c r="CK18" s="99"/>
      <c r="CL18" s="99"/>
      <c r="CM18" s="99"/>
      <c r="CN18" s="100"/>
      <c r="CO18" s="87"/>
      <c r="CQ18" s="85"/>
      <c r="CR18" s="85"/>
      <c r="CS18" s="99"/>
      <c r="CT18" s="101"/>
      <c r="CU18" s="102"/>
      <c r="CV18" s="99"/>
      <c r="CW18" s="99"/>
      <c r="CX18" s="85"/>
      <c r="CY18" s="87"/>
      <c r="DA18" s="85"/>
      <c r="DC18" s="99"/>
      <c r="DD18" s="103"/>
      <c r="DF18" s="103"/>
      <c r="DH18" s="95"/>
      <c r="DI18" s="104"/>
      <c r="DJ18" s="104"/>
      <c r="DK18" s="95"/>
      <c r="DL18" s="95"/>
      <c r="DM18" s="95"/>
      <c r="DN18" s="95"/>
      <c r="DO18" s="95"/>
      <c r="DP18" s="95"/>
      <c r="DR18" s="105"/>
      <c r="DS18" s="105"/>
      <c r="DT18" s="105"/>
      <c r="DU18" s="105"/>
      <c r="DV18" s="105"/>
      <c r="DW18" s="105"/>
      <c r="DX18" s="105"/>
      <c r="DY18" s="105"/>
      <c r="DZ18" s="105"/>
      <c r="EA18" s="105"/>
      <c r="EB18" s="105"/>
      <c r="EC18" s="105"/>
      <c r="ED18" s="105"/>
      <c r="EE18" s="105"/>
      <c r="EF18" s="105"/>
      <c r="EG18" s="105"/>
      <c r="EI18" s="106"/>
      <c r="EJ18" s="107"/>
      <c r="EK18" s="107"/>
      <c r="EL18" s="107"/>
      <c r="EM18" s="107"/>
      <c r="EN18" s="107"/>
      <c r="EO18" s="108"/>
      <c r="EP18" s="108"/>
      <c r="EQ18" s="107"/>
      <c r="ER18" s="107"/>
      <c r="ES18" s="107"/>
      <c r="ET18" s="107"/>
      <c r="EU18" s="107"/>
      <c r="EV18" s="109"/>
      <c r="EW18" s="109"/>
      <c r="EX18" s="105"/>
      <c r="EY18" s="105"/>
      <c r="FA18" s="105"/>
      <c r="FB18" s="105"/>
      <c r="FC18" s="105"/>
      <c r="FD18" s="105"/>
      <c r="FE18" s="105"/>
      <c r="FG18" s="104"/>
      <c r="FH18" s="105"/>
      <c r="FI18" s="105"/>
      <c r="FJ18" s="105"/>
      <c r="FK18" s="105"/>
      <c r="FN18" s="110"/>
      <c r="FO18" s="110"/>
      <c r="FP18" s="110"/>
      <c r="FR18" s="105"/>
      <c r="FT18" s="111"/>
      <c r="FU18" s="111"/>
      <c r="FV18" s="111"/>
      <c r="FW18" s="105"/>
      <c r="FX18" s="105"/>
      <c r="FY18" s="105"/>
      <c r="FZ18" s="105"/>
      <c r="GA18" s="105"/>
      <c r="GB18" s="105"/>
      <c r="GC18" s="105"/>
    </row>
    <row r="19" spans="1:185" s="77" customFormat="1" ht="15.75">
      <c r="A19" s="776"/>
      <c r="B19" s="776"/>
      <c r="C19" s="49" t="s">
        <v>47</v>
      </c>
      <c r="D19" s="85">
        <f>TBASELE(C19,iQuote_Version)</f>
        <v>8.2745319999999997E-2</v>
      </c>
      <c r="E19" s="124"/>
      <c r="F19" s="50" t="s">
        <v>48</v>
      </c>
      <c r="G19" s="85">
        <f>TBASELE(F19,iQuote_Version)</f>
        <v>4.1372659999999997E-3</v>
      </c>
      <c r="H19" s="82"/>
      <c r="I19" s="50"/>
      <c r="J19" s="52"/>
      <c r="K19" s="81"/>
      <c r="M19" s="81"/>
      <c r="O19" s="81"/>
      <c r="P19" s="82"/>
      <c r="Q19" s="82"/>
      <c r="S19" s="82"/>
      <c r="V19" s="83"/>
      <c r="W19" s="84"/>
      <c r="Y19" s="85"/>
      <c r="Z19" s="85"/>
      <c r="AB19" s="86"/>
      <c r="AC19" s="86"/>
      <c r="AD19" s="87"/>
      <c r="AJ19" s="81"/>
      <c r="AL19" s="81"/>
      <c r="AN19" s="82"/>
      <c r="AO19" s="82"/>
      <c r="AP19" s="88"/>
      <c r="AQ19" s="89"/>
      <c r="AR19" s="112">
        <f t="shared" si="3"/>
        <v>4</v>
      </c>
      <c r="AS19" s="123"/>
      <c r="AT19" s="123"/>
      <c r="AU19" s="115"/>
      <c r="AV19" s="116"/>
      <c r="AW19" s="113"/>
      <c r="AX19" s="113" t="str">
        <f>'Data Sample'!G15</f>
        <v>P02A78</v>
      </c>
      <c r="AY19" s="113" t="str">
        <f>'Data Sample'!G1024</f>
        <v>V0166024461183</v>
      </c>
      <c r="AZ19" s="113" t="str">
        <f>'Data Sample'!G520</f>
        <v>AU0090-86-084</v>
      </c>
      <c r="BA19" s="118"/>
      <c r="BC19" s="119" t="str">
        <f t="shared" si="0"/>
        <v>P02A78 (4)</v>
      </c>
      <c r="BD19" s="119" t="str">
        <f t="shared" si="1"/>
        <v>V0166024461183 (4)</v>
      </c>
      <c r="BE19" s="119" t="str">
        <f t="shared" si="2"/>
        <v>AU0090-86-084 (4)</v>
      </c>
      <c r="BF19" s="95"/>
      <c r="BG19" s="91"/>
      <c r="BH19" s="86"/>
      <c r="BI19" s="87"/>
      <c r="BM19" s="95"/>
      <c r="BO19" s="85"/>
      <c r="BP19" s="88"/>
      <c r="BQ19" s="89"/>
      <c r="BS19" s="83"/>
      <c r="BT19" s="87"/>
      <c r="BW19" s="85"/>
      <c r="BX19" s="95"/>
      <c r="BY19" s="85"/>
      <c r="CA19" s="96"/>
      <c r="CB19" s="96"/>
      <c r="CC19" s="97"/>
      <c r="CD19" s="97"/>
      <c r="CE19" s="98"/>
      <c r="CF19" s="87"/>
      <c r="CH19" s="99"/>
      <c r="CI19" s="99"/>
      <c r="CJ19" s="99"/>
      <c r="CK19" s="99"/>
      <c r="CL19" s="99"/>
      <c r="CM19" s="99"/>
      <c r="CN19" s="100"/>
      <c r="CO19" s="87"/>
      <c r="CQ19" s="85"/>
      <c r="CR19" s="85"/>
      <c r="CS19" s="99"/>
      <c r="CT19" s="101"/>
      <c r="CU19" s="102"/>
      <c r="CV19" s="99"/>
      <c r="CW19" s="99"/>
      <c r="CX19" s="85"/>
      <c r="CY19" s="87"/>
      <c r="DA19" s="85"/>
      <c r="DC19" s="99"/>
      <c r="DD19" s="103"/>
      <c r="DF19" s="103"/>
      <c r="DH19" s="95"/>
      <c r="DI19" s="104"/>
      <c r="DJ19" s="104"/>
      <c r="DK19" s="95"/>
      <c r="DL19" s="95"/>
      <c r="DM19" s="95"/>
      <c r="DN19" s="95"/>
      <c r="DO19" s="95"/>
      <c r="DP19" s="95"/>
      <c r="DR19" s="105"/>
      <c r="DS19" s="105"/>
      <c r="DT19" s="105"/>
      <c r="DU19" s="105"/>
      <c r="DV19" s="105"/>
      <c r="DW19" s="105"/>
      <c r="DX19" s="105"/>
      <c r="DY19" s="105"/>
      <c r="DZ19" s="105"/>
      <c r="EA19" s="105"/>
      <c r="EB19" s="105"/>
      <c r="EC19" s="105"/>
      <c r="ED19" s="105"/>
      <c r="EE19" s="105"/>
      <c r="EF19" s="105"/>
      <c r="EG19" s="105"/>
      <c r="EI19" s="106"/>
      <c r="EJ19" s="107"/>
      <c r="EK19" s="107"/>
      <c r="EL19" s="107"/>
      <c r="EM19" s="107"/>
      <c r="EN19" s="107"/>
      <c r="EO19" s="108"/>
      <c r="EP19" s="108"/>
      <c r="EQ19" s="107"/>
      <c r="ER19" s="107"/>
      <c r="ES19" s="107"/>
      <c r="ET19" s="107"/>
      <c r="EU19" s="107"/>
      <c r="EV19" s="109"/>
      <c r="EW19" s="109"/>
      <c r="EX19" s="105"/>
      <c r="EY19" s="105"/>
      <c r="FA19" s="105"/>
      <c r="FB19" s="105"/>
      <c r="FC19" s="105"/>
      <c r="FD19" s="105"/>
      <c r="FE19" s="105"/>
      <c r="FG19" s="104"/>
      <c r="FH19" s="105"/>
      <c r="FI19" s="105"/>
      <c r="FJ19" s="105"/>
      <c r="FK19" s="105"/>
      <c r="FN19" s="110"/>
      <c r="FO19" s="110"/>
      <c r="FP19" s="110"/>
      <c r="FR19" s="105"/>
      <c r="FT19" s="111"/>
      <c r="FU19" s="111"/>
      <c r="FV19" s="111"/>
      <c r="FW19" s="105"/>
      <c r="FX19" s="105"/>
      <c r="FY19" s="105"/>
      <c r="FZ19" s="105"/>
      <c r="GA19" s="105"/>
      <c r="GB19" s="105"/>
      <c r="GC19" s="105"/>
    </row>
    <row r="20" spans="1:185" s="77" customFormat="1" ht="15.75">
      <c r="A20" s="776"/>
      <c r="B20" s="776"/>
      <c r="C20" s="49" t="s">
        <v>49</v>
      </c>
      <c r="D20" s="85">
        <f>TBASELE(C20,iQuote_Version)</f>
        <v>0.55000000000000004</v>
      </c>
      <c r="E20" s="124"/>
      <c r="F20" s="50" t="s">
        <v>50</v>
      </c>
      <c r="G20" s="85">
        <f>TBASELE(F20,iQuote_Version)</f>
        <v>0.1</v>
      </c>
      <c r="H20" s="82"/>
      <c r="I20" s="50" t="s">
        <v>51</v>
      </c>
      <c r="J20" s="125">
        <f>TBASELE(I20,iQuote_Version)</f>
        <v>15</v>
      </c>
      <c r="K20" s="81"/>
      <c r="M20" s="81"/>
      <c r="O20" s="81"/>
      <c r="P20" s="82"/>
      <c r="Q20" s="82"/>
      <c r="S20" s="82"/>
      <c r="V20" s="83"/>
      <c r="W20" s="84"/>
      <c r="Y20" s="85"/>
      <c r="Z20" s="85"/>
      <c r="AB20" s="86"/>
      <c r="AC20" s="86"/>
      <c r="AD20" s="87"/>
      <c r="AJ20" s="81"/>
      <c r="AL20" s="81"/>
      <c r="AN20" s="82"/>
      <c r="AO20" s="82"/>
      <c r="AP20" s="88"/>
      <c r="AQ20" s="89"/>
      <c r="AR20" s="112">
        <f t="shared" si="3"/>
        <v>5</v>
      </c>
      <c r="AS20" s="123"/>
      <c r="AT20" s="123"/>
      <c r="AU20" s="115"/>
      <c r="AV20" s="116"/>
      <c r="AW20" s="113"/>
      <c r="AX20" s="113" t="str">
        <f>'Data Sample'!G16</f>
        <v>P02A672</v>
      </c>
      <c r="AY20" s="113" t="str">
        <f>'Data Sample'!G1025</f>
        <v>V0229805826221</v>
      </c>
      <c r="AZ20" s="113" t="str">
        <f>'Data Sample'!G521</f>
        <v>AU0041-09-213</v>
      </c>
      <c r="BA20" s="118"/>
      <c r="BC20" s="119" t="str">
        <f t="shared" si="0"/>
        <v>P02A672 (5)</v>
      </c>
      <c r="BD20" s="119" t="str">
        <f t="shared" si="1"/>
        <v>V0229805826221 (5)</v>
      </c>
      <c r="BE20" s="119" t="str">
        <f t="shared" si="2"/>
        <v>AU0041-09-213 (5)</v>
      </c>
      <c r="BF20" s="95"/>
      <c r="BG20" s="91"/>
      <c r="BH20" s="86"/>
      <c r="BI20" s="87"/>
      <c r="BM20" s="95"/>
      <c r="BO20" s="85"/>
      <c r="BP20" s="88"/>
      <c r="BQ20" s="89"/>
      <c r="BS20" s="83"/>
      <c r="BT20" s="87"/>
      <c r="BW20" s="85"/>
      <c r="BX20" s="95"/>
      <c r="BY20" s="85"/>
      <c r="CA20" s="96"/>
      <c r="CB20" s="96"/>
      <c r="CC20" s="97"/>
      <c r="CD20" s="97"/>
      <c r="CE20" s="98"/>
      <c r="CF20" s="87"/>
      <c r="CH20" s="99"/>
      <c r="CI20" s="99"/>
      <c r="CJ20" s="99"/>
      <c r="CK20" s="99"/>
      <c r="CL20" s="99"/>
      <c r="CM20" s="99"/>
      <c r="CN20" s="100"/>
      <c r="CO20" s="87"/>
      <c r="CQ20" s="85"/>
      <c r="CR20" s="85"/>
      <c r="CS20" s="99"/>
      <c r="CT20" s="101"/>
      <c r="CU20" s="102"/>
      <c r="CV20" s="99"/>
      <c r="CW20" s="99"/>
      <c r="CX20" s="85"/>
      <c r="CY20" s="87"/>
      <c r="DA20" s="85"/>
      <c r="DC20" s="99"/>
      <c r="DD20" s="103"/>
      <c r="DF20" s="103"/>
      <c r="DH20" s="95"/>
      <c r="DI20" s="104"/>
      <c r="DJ20" s="104"/>
      <c r="DK20" s="95"/>
      <c r="DL20" s="95"/>
      <c r="DM20" s="95"/>
      <c r="DN20" s="95"/>
      <c r="DO20" s="95"/>
      <c r="DP20" s="95"/>
      <c r="DR20" s="105"/>
      <c r="DS20" s="105"/>
      <c r="DT20" s="105"/>
      <c r="DU20" s="105"/>
      <c r="DV20" s="105"/>
      <c r="DW20" s="105"/>
      <c r="DX20" s="105"/>
      <c r="DY20" s="105"/>
      <c r="DZ20" s="105"/>
      <c r="EA20" s="105"/>
      <c r="EB20" s="105"/>
      <c r="EC20" s="105"/>
      <c r="ED20" s="105"/>
      <c r="EE20" s="105"/>
      <c r="EF20" s="105"/>
      <c r="EG20" s="105"/>
      <c r="EI20" s="106"/>
      <c r="EJ20" s="107"/>
      <c r="EK20" s="107"/>
      <c r="EL20" s="107"/>
      <c r="EM20" s="107"/>
      <c r="EN20" s="107"/>
      <c r="EO20" s="108"/>
      <c r="EP20" s="108"/>
      <c r="EQ20" s="107"/>
      <c r="ER20" s="107"/>
      <c r="ES20" s="107"/>
      <c r="ET20" s="107"/>
      <c r="EU20" s="107"/>
      <c r="EV20" s="109"/>
      <c r="EW20" s="109"/>
      <c r="EX20" s="105"/>
      <c r="EY20" s="105"/>
      <c r="FA20" s="105"/>
      <c r="FB20" s="105"/>
      <c r="FC20" s="105"/>
      <c r="FD20" s="105"/>
      <c r="FE20" s="105"/>
      <c r="FG20" s="104"/>
      <c r="FH20" s="105"/>
      <c r="FI20" s="105"/>
      <c r="FJ20" s="105"/>
      <c r="FK20" s="105"/>
      <c r="FN20" s="110"/>
      <c r="FO20" s="110"/>
      <c r="FP20" s="110"/>
      <c r="FR20" s="105"/>
      <c r="FT20" s="111"/>
      <c r="FU20" s="111"/>
      <c r="FV20" s="111"/>
      <c r="FW20" s="105"/>
      <c r="FX20" s="105"/>
      <c r="FY20" s="105"/>
      <c r="FZ20" s="105"/>
      <c r="GA20" s="105"/>
      <c r="GB20" s="105"/>
      <c r="GC20" s="105"/>
    </row>
    <row r="21" spans="1:185" s="77" customFormat="1" ht="15.75">
      <c r="A21" s="776"/>
      <c r="B21" s="776"/>
      <c r="C21" s="49" t="s">
        <v>52</v>
      </c>
      <c r="D21" s="85">
        <f>TBASELE(C21,iQuote_Version)</f>
        <v>0.05</v>
      </c>
      <c r="E21" s="124"/>
      <c r="F21" s="50" t="s">
        <v>53</v>
      </c>
      <c r="G21" s="85">
        <f>TBASELE(F21,iQuote_Version)</f>
        <v>1E-3</v>
      </c>
      <c r="H21" s="82"/>
      <c r="I21" s="50"/>
      <c r="J21" s="52"/>
      <c r="K21" s="81"/>
      <c r="M21" s="81"/>
      <c r="O21" s="81"/>
      <c r="P21" s="82"/>
      <c r="Q21" s="82"/>
      <c r="S21" s="82"/>
      <c r="V21" s="83"/>
      <c r="W21" s="84"/>
      <c r="Y21" s="85"/>
      <c r="Z21" s="85"/>
      <c r="AB21" s="86"/>
      <c r="AC21" s="86"/>
      <c r="AD21" s="87"/>
      <c r="AJ21" s="81"/>
      <c r="AL21" s="81"/>
      <c r="AN21" s="82"/>
      <c r="AO21" s="82"/>
      <c r="AP21" s="88"/>
      <c r="AQ21" s="89"/>
      <c r="AR21" s="112">
        <f t="shared" si="3"/>
        <v>6</v>
      </c>
      <c r="AS21" s="123"/>
      <c r="AT21" s="123"/>
      <c r="AU21" s="115"/>
      <c r="AV21" s="116"/>
      <c r="AW21" s="113"/>
      <c r="AX21" s="113" t="str">
        <f>'Data Sample'!G17</f>
        <v>P02A406</v>
      </c>
      <c r="AY21" s="113" t="str">
        <f>'Data Sample'!G1026</f>
        <v>V0641594609344</v>
      </c>
      <c r="AZ21" s="113" t="str">
        <f>'Data Sample'!G522</f>
        <v>AU0034-17-662</v>
      </c>
      <c r="BA21" s="118"/>
      <c r="BC21" s="119" t="str">
        <f t="shared" si="0"/>
        <v>P02A406 (6)</v>
      </c>
      <c r="BD21" s="119" t="str">
        <f t="shared" si="1"/>
        <v>V0641594609344 (6)</v>
      </c>
      <c r="BE21" s="119" t="str">
        <f t="shared" si="2"/>
        <v>AU0034-17-662 (6)</v>
      </c>
      <c r="BF21" s="95"/>
      <c r="BG21" s="91"/>
      <c r="BH21" s="86"/>
      <c r="BI21" s="87"/>
      <c r="BM21" s="95"/>
      <c r="BO21" s="85"/>
      <c r="BP21" s="88"/>
      <c r="BQ21" s="89"/>
      <c r="BS21" s="83"/>
      <c r="BT21" s="87"/>
      <c r="BW21" s="85"/>
      <c r="BX21" s="95"/>
      <c r="BY21" s="85"/>
      <c r="CA21" s="96"/>
      <c r="CB21" s="96"/>
      <c r="CC21" s="97"/>
      <c r="CD21" s="97"/>
      <c r="CE21" s="98"/>
      <c r="CF21" s="87"/>
      <c r="CH21" s="99"/>
      <c r="CI21" s="99"/>
      <c r="CJ21" s="99"/>
      <c r="CK21" s="99"/>
      <c r="CL21" s="99"/>
      <c r="CM21" s="99"/>
      <c r="CN21" s="100"/>
      <c r="CO21" s="87"/>
      <c r="CQ21" s="85"/>
      <c r="CR21" s="85"/>
      <c r="CS21" s="99"/>
      <c r="CT21" s="101"/>
      <c r="CU21" s="102"/>
      <c r="CV21" s="99"/>
      <c r="CW21" s="99"/>
      <c r="CX21" s="85"/>
      <c r="CY21" s="87"/>
      <c r="DA21" s="85"/>
      <c r="DC21" s="99"/>
      <c r="DD21" s="103"/>
      <c r="DF21" s="103"/>
      <c r="DH21" s="95"/>
      <c r="DI21" s="104"/>
      <c r="DJ21" s="104"/>
      <c r="DK21" s="95"/>
      <c r="DL21" s="95"/>
      <c r="DM21" s="95"/>
      <c r="DN21" s="95"/>
      <c r="DO21" s="95"/>
      <c r="DP21" s="95"/>
      <c r="DR21" s="105"/>
      <c r="DS21" s="105"/>
      <c r="DT21" s="105"/>
      <c r="DU21" s="105"/>
      <c r="DV21" s="105"/>
      <c r="DW21" s="105"/>
      <c r="DX21" s="105"/>
      <c r="DY21" s="105"/>
      <c r="DZ21" s="105"/>
      <c r="EA21" s="105"/>
      <c r="EB21" s="105"/>
      <c r="EC21" s="105"/>
      <c r="ED21" s="105"/>
      <c r="EE21" s="105"/>
      <c r="EF21" s="105"/>
      <c r="EG21" s="105"/>
      <c r="EI21" s="106"/>
      <c r="EJ21" s="107"/>
      <c r="EK21" s="107"/>
      <c r="EL21" s="107"/>
      <c r="EM21" s="107"/>
      <c r="EN21" s="107"/>
      <c r="EO21" s="108"/>
      <c r="EP21" s="108"/>
      <c r="EQ21" s="107"/>
      <c r="ER21" s="107"/>
      <c r="ES21" s="107"/>
      <c r="ET21" s="107"/>
      <c r="EU21" s="107"/>
      <c r="EV21" s="109"/>
      <c r="EW21" s="109"/>
      <c r="EX21" s="105"/>
      <c r="EY21" s="105"/>
      <c r="FA21" s="105"/>
      <c r="FB21" s="105"/>
      <c r="FC21" s="105"/>
      <c r="FD21" s="105"/>
      <c r="FE21" s="105"/>
      <c r="FG21" s="104"/>
      <c r="FH21" s="105"/>
      <c r="FI21" s="105"/>
      <c r="FJ21" s="105"/>
      <c r="FK21" s="105"/>
      <c r="FN21" s="110"/>
      <c r="FO21" s="110"/>
      <c r="FP21" s="110"/>
      <c r="FR21" s="105"/>
      <c r="FT21" s="111"/>
      <c r="FU21" s="111"/>
      <c r="FV21" s="111"/>
      <c r="FW21" s="105"/>
      <c r="FX21" s="105"/>
      <c r="FY21" s="105"/>
      <c r="FZ21" s="105"/>
      <c r="GA21" s="105"/>
      <c r="GB21" s="105"/>
      <c r="GC21" s="105"/>
    </row>
    <row r="22" spans="1:185" s="77" customFormat="1" ht="15.75">
      <c r="A22" s="776"/>
      <c r="B22" s="776"/>
      <c r="C22" s="49" t="s">
        <v>54</v>
      </c>
      <c r="D22" s="85">
        <f>TBASELE(C22,iQuote_Version)</f>
        <v>0.6</v>
      </c>
      <c r="E22" s="124"/>
      <c r="F22" s="50" t="s">
        <v>55</v>
      </c>
      <c r="G22" s="126">
        <f>TBASELE(F22,iQuote_Version)</f>
        <v>0.4</v>
      </c>
      <c r="H22" s="82"/>
      <c r="I22" s="50" t="s">
        <v>56</v>
      </c>
      <c r="J22" s="127">
        <f>TBASELE(I22,iQuote_Version)</f>
        <v>0.04</v>
      </c>
      <c r="K22" s="81"/>
      <c r="M22" s="81"/>
      <c r="O22" s="81"/>
      <c r="P22" s="82"/>
      <c r="Q22" s="82"/>
      <c r="S22" s="82"/>
      <c r="V22" s="83"/>
      <c r="W22" s="84"/>
      <c r="Y22" s="85"/>
      <c r="Z22" s="85"/>
      <c r="AB22" s="86"/>
      <c r="AC22" s="86"/>
      <c r="AD22" s="87"/>
      <c r="AJ22" s="81"/>
      <c r="AL22" s="81"/>
      <c r="AN22" s="82"/>
      <c r="AO22" s="82"/>
      <c r="AP22" s="88"/>
      <c r="AQ22" s="89"/>
      <c r="AR22" s="112">
        <f t="shared" si="3"/>
        <v>7</v>
      </c>
      <c r="AS22" s="123"/>
      <c r="AT22" s="123"/>
      <c r="AU22" s="115"/>
      <c r="AV22" s="116"/>
      <c r="AW22" s="113"/>
      <c r="AX22" s="113" t="str">
        <f>'Data Sample'!G18</f>
        <v>P02A307</v>
      </c>
      <c r="AY22" s="113" t="str">
        <f>'Data Sample'!G1027</f>
        <v>V0526249085383</v>
      </c>
      <c r="AZ22" s="113" t="str">
        <f>'Data Sample'!G523</f>
        <v>AU0076-83-088</v>
      </c>
      <c r="BA22" s="118"/>
      <c r="BC22" s="119" t="str">
        <f t="shared" si="0"/>
        <v>P02A307 (7)</v>
      </c>
      <c r="BD22" s="119" t="str">
        <f t="shared" si="1"/>
        <v>V0526249085383 (7)</v>
      </c>
      <c r="BE22" s="119" t="str">
        <f t="shared" si="2"/>
        <v>AU0076-83-088 (7)</v>
      </c>
      <c r="BF22" s="95"/>
      <c r="BG22" s="91"/>
      <c r="BH22" s="86"/>
      <c r="BI22" s="87"/>
      <c r="BM22" s="95"/>
      <c r="BO22" s="85"/>
      <c r="BP22" s="88"/>
      <c r="BQ22" s="89"/>
      <c r="BS22" s="83"/>
      <c r="BT22" s="87"/>
      <c r="BW22" s="85"/>
      <c r="BX22" s="95"/>
      <c r="BY22" s="85"/>
      <c r="CA22" s="96"/>
      <c r="CB22" s="96"/>
      <c r="CC22" s="97"/>
      <c r="CD22" s="97"/>
      <c r="CE22" s="98"/>
      <c r="CF22" s="87"/>
      <c r="CH22" s="99"/>
      <c r="CI22" s="99"/>
      <c r="CJ22" s="99"/>
      <c r="CK22" s="99"/>
      <c r="CL22" s="99"/>
      <c r="CM22" s="99"/>
      <c r="CN22" s="100"/>
      <c r="CO22" s="87"/>
      <c r="CQ22" s="85"/>
      <c r="CR22" s="85"/>
      <c r="CS22" s="99"/>
      <c r="CT22" s="101"/>
      <c r="CU22" s="102"/>
      <c r="CV22" s="99"/>
      <c r="CW22" s="99"/>
      <c r="CX22" s="85"/>
      <c r="CY22" s="87"/>
      <c r="DA22" s="85"/>
      <c r="DC22" s="99"/>
      <c r="DD22" s="103"/>
      <c r="DF22" s="103"/>
      <c r="DH22" s="95"/>
      <c r="DI22" s="104"/>
      <c r="DJ22" s="104"/>
      <c r="DK22" s="95"/>
      <c r="DL22" s="95"/>
      <c r="DM22" s="95"/>
      <c r="DN22" s="95"/>
      <c r="DO22" s="95"/>
      <c r="DP22" s="95"/>
      <c r="DR22" s="105"/>
      <c r="DS22" s="105"/>
      <c r="DT22" s="105"/>
      <c r="DU22" s="105"/>
      <c r="DV22" s="105"/>
      <c r="DW22" s="105"/>
      <c r="DX22" s="105"/>
      <c r="DY22" s="105"/>
      <c r="DZ22" s="105"/>
      <c r="EA22" s="105"/>
      <c r="EB22" s="105"/>
      <c r="EC22" s="105"/>
      <c r="ED22" s="105"/>
      <c r="EE22" s="105"/>
      <c r="EF22" s="105"/>
      <c r="EG22" s="105"/>
      <c r="EI22" s="106"/>
      <c r="EJ22" s="107"/>
      <c r="EK22" s="107"/>
      <c r="EL22" s="107"/>
      <c r="EM22" s="107"/>
      <c r="EN22" s="107"/>
      <c r="EO22" s="108"/>
      <c r="EP22" s="108"/>
      <c r="EQ22" s="107"/>
      <c r="ER22" s="107"/>
      <c r="ES22" s="107"/>
      <c r="ET22" s="107"/>
      <c r="EU22" s="107"/>
      <c r="EV22" s="109"/>
      <c r="EW22" s="109"/>
      <c r="EX22" s="105"/>
      <c r="EY22" s="105"/>
      <c r="FA22" s="105"/>
      <c r="FB22" s="105"/>
      <c r="FC22" s="105"/>
      <c r="FD22" s="105"/>
      <c r="FE22" s="105"/>
      <c r="FG22" s="104"/>
      <c r="FH22" s="105"/>
      <c r="FI22" s="105"/>
      <c r="FJ22" s="105"/>
      <c r="FK22" s="105"/>
      <c r="FN22" s="110"/>
      <c r="FO22" s="110"/>
      <c r="FP22" s="110"/>
      <c r="FR22" s="105"/>
      <c r="FT22" s="111"/>
      <c r="FU22" s="111"/>
      <c r="FV22" s="111"/>
      <c r="FW22" s="105"/>
      <c r="FX22" s="105"/>
      <c r="FY22" s="105"/>
      <c r="FZ22" s="105"/>
      <c r="GA22" s="105"/>
      <c r="GB22" s="105"/>
      <c r="GC22" s="105"/>
    </row>
    <row r="23" spans="1:185" s="77" customFormat="1" ht="15.75">
      <c r="A23" s="776"/>
      <c r="B23" s="776"/>
      <c r="C23" s="49" t="s">
        <v>57</v>
      </c>
      <c r="D23" s="85">
        <f>TBASELE(C23,iQuote_Version)</f>
        <v>0.6</v>
      </c>
      <c r="E23" s="124"/>
      <c r="F23" s="50" t="s">
        <v>58</v>
      </c>
      <c r="G23" s="126">
        <f>TBASELE(F23,iQuote_Version)</f>
        <v>0.4</v>
      </c>
      <c r="H23" s="82"/>
      <c r="I23" s="50" t="s">
        <v>59</v>
      </c>
      <c r="J23" s="127">
        <f>TBASELE(I23,iQuote_Version)</f>
        <v>2.5000000000000001E-2</v>
      </c>
      <c r="K23" s="81"/>
      <c r="M23" s="81"/>
      <c r="O23" s="81"/>
      <c r="P23" s="82"/>
      <c r="Q23" s="82"/>
      <c r="S23" s="82"/>
      <c r="V23" s="83"/>
      <c r="W23" s="84"/>
      <c r="Y23" s="85"/>
      <c r="Z23" s="85"/>
      <c r="AB23" s="86"/>
      <c r="AC23" s="86"/>
      <c r="AD23" s="87"/>
      <c r="AJ23" s="81"/>
      <c r="AL23" s="81"/>
      <c r="AN23" s="82"/>
      <c r="AO23" s="82"/>
      <c r="AP23" s="88"/>
      <c r="AQ23" s="89"/>
      <c r="AR23" s="112">
        <f t="shared" si="3"/>
        <v>8</v>
      </c>
      <c r="AS23" s="123"/>
      <c r="AT23" s="123"/>
      <c r="AU23" s="115"/>
      <c r="AV23" s="116"/>
      <c r="AW23" s="113"/>
      <c r="AX23" s="113" t="str">
        <f>'Data Sample'!G19</f>
        <v>P02A213</v>
      </c>
      <c r="AY23" s="113" t="str">
        <f>'Data Sample'!G1028</f>
        <v>V0131067247526</v>
      </c>
      <c r="AZ23" s="113" t="str">
        <f>'Data Sample'!G524</f>
        <v>AU0080-27-610</v>
      </c>
      <c r="BA23" s="118"/>
      <c r="BC23" s="119" t="str">
        <f t="shared" si="0"/>
        <v>P02A213 (8)</v>
      </c>
      <c r="BD23" s="119" t="str">
        <f t="shared" si="1"/>
        <v>V0131067247526 (8)</v>
      </c>
      <c r="BE23" s="119" t="str">
        <f t="shared" si="2"/>
        <v>AU0080-27-610 (8)</v>
      </c>
      <c r="BF23" s="95"/>
      <c r="BG23" s="91"/>
      <c r="BH23" s="86"/>
      <c r="BI23" s="87"/>
      <c r="BM23" s="95"/>
      <c r="BO23" s="85"/>
      <c r="BP23" s="88"/>
      <c r="BQ23" s="89"/>
      <c r="BS23" s="83"/>
      <c r="BT23" s="87"/>
      <c r="BW23" s="85"/>
      <c r="BX23" s="95"/>
      <c r="BY23" s="85"/>
      <c r="CA23" s="96"/>
      <c r="CB23" s="96"/>
      <c r="CC23" s="97"/>
      <c r="CD23" s="97"/>
      <c r="CE23" s="98"/>
      <c r="CF23" s="87"/>
      <c r="CH23" s="99"/>
      <c r="CI23" s="99"/>
      <c r="CJ23" s="99"/>
      <c r="CK23" s="99"/>
      <c r="CL23" s="99"/>
      <c r="CM23" s="99"/>
      <c r="CN23" s="100"/>
      <c r="CO23" s="87"/>
      <c r="CQ23" s="85"/>
      <c r="CR23" s="85"/>
      <c r="CS23" s="99"/>
      <c r="CT23" s="101"/>
      <c r="CU23" s="102"/>
      <c r="CV23" s="99"/>
      <c r="CW23" s="99"/>
      <c r="CX23" s="85"/>
      <c r="CY23" s="87"/>
      <c r="DA23" s="85"/>
      <c r="DC23" s="99"/>
      <c r="DD23" s="103"/>
      <c r="DF23" s="103"/>
      <c r="DH23" s="95"/>
      <c r="DI23" s="104"/>
      <c r="DJ23" s="104"/>
      <c r="DK23" s="95"/>
      <c r="DL23" s="95"/>
      <c r="DM23" s="95"/>
      <c r="DN23" s="95"/>
      <c r="DO23" s="95"/>
      <c r="DP23" s="95"/>
      <c r="DR23" s="105"/>
      <c r="DS23" s="105"/>
      <c r="DT23" s="105"/>
      <c r="DU23" s="105"/>
      <c r="DV23" s="105"/>
      <c r="DW23" s="105"/>
      <c r="DX23" s="105"/>
      <c r="DY23" s="105"/>
      <c r="DZ23" s="105"/>
      <c r="EA23" s="105"/>
      <c r="EB23" s="105"/>
      <c r="EC23" s="105"/>
      <c r="ED23" s="105"/>
      <c r="EE23" s="105"/>
      <c r="EF23" s="105"/>
      <c r="EG23" s="105"/>
      <c r="EI23" s="106"/>
      <c r="EJ23" s="107"/>
      <c r="EK23" s="107"/>
      <c r="EL23" s="107"/>
      <c r="EM23" s="107"/>
      <c r="EN23" s="107"/>
      <c r="EO23" s="108"/>
      <c r="EP23" s="108"/>
      <c r="EQ23" s="107"/>
      <c r="ER23" s="107"/>
      <c r="ES23" s="107"/>
      <c r="ET23" s="107"/>
      <c r="EU23" s="107"/>
      <c r="EV23" s="109"/>
      <c r="EW23" s="109"/>
      <c r="EX23" s="105"/>
      <c r="EY23" s="105"/>
      <c r="FA23" s="105"/>
      <c r="FB23" s="105"/>
      <c r="FC23" s="105"/>
      <c r="FD23" s="105"/>
      <c r="FE23" s="105"/>
      <c r="FG23" s="104"/>
      <c r="FH23" s="105"/>
      <c r="FI23" s="105"/>
      <c r="FJ23" s="105"/>
      <c r="FK23" s="105"/>
      <c r="FN23" s="110"/>
      <c r="FO23" s="110"/>
      <c r="FP23" s="110"/>
      <c r="FR23" s="105"/>
      <c r="FT23" s="111"/>
      <c r="FU23" s="111"/>
      <c r="FV23" s="111"/>
      <c r="FW23" s="105"/>
      <c r="FX23" s="105"/>
      <c r="FY23" s="105"/>
      <c r="FZ23" s="105"/>
      <c r="GA23" s="105"/>
      <c r="GB23" s="105"/>
      <c r="GC23" s="105"/>
    </row>
    <row r="24" spans="1:185" s="77" customFormat="1" ht="15.75">
      <c r="A24" s="776"/>
      <c r="B24" s="776"/>
      <c r="C24" s="49"/>
      <c r="D24" s="128"/>
      <c r="E24" s="124"/>
      <c r="F24" s="121"/>
      <c r="G24" s="121"/>
      <c r="H24" s="82"/>
      <c r="I24" s="50" t="s">
        <v>60</v>
      </c>
      <c r="J24" s="129">
        <f>TBASELE(I24,iQuote_Version)</f>
        <v>25</v>
      </c>
      <c r="K24" s="81"/>
      <c r="M24" s="81"/>
      <c r="O24" s="81"/>
      <c r="P24" s="82"/>
      <c r="Q24" s="82"/>
      <c r="S24" s="82"/>
      <c r="V24" s="83"/>
      <c r="W24" s="84"/>
      <c r="Y24" s="85"/>
      <c r="Z24" s="85"/>
      <c r="AB24" s="86"/>
      <c r="AC24" s="86"/>
      <c r="AD24" s="87"/>
      <c r="AJ24" s="81"/>
      <c r="AL24" s="81"/>
      <c r="AN24" s="82"/>
      <c r="AO24" s="82"/>
      <c r="AP24" s="88"/>
      <c r="AQ24" s="89"/>
      <c r="AR24" s="112">
        <f t="shared" si="3"/>
        <v>9</v>
      </c>
      <c r="AS24" s="123"/>
      <c r="AT24" s="123"/>
      <c r="AU24" s="115"/>
      <c r="AV24" s="116"/>
      <c r="AW24" s="113"/>
      <c r="AX24" s="113" t="str">
        <f>'Data Sample'!G20</f>
        <v>P02A913</v>
      </c>
      <c r="AY24" s="113" t="str">
        <f>'Data Sample'!G1029</f>
        <v>V0052456517593</v>
      </c>
      <c r="AZ24" s="113" t="str">
        <f>'Data Sample'!G525</f>
        <v>AU0018-77-519</v>
      </c>
      <c r="BA24" s="118"/>
      <c r="BC24" s="119" t="str">
        <f t="shared" si="0"/>
        <v>P02A913 (9)</v>
      </c>
      <c r="BD24" s="119" t="str">
        <f t="shared" si="1"/>
        <v>V0052456517593 (9)</v>
      </c>
      <c r="BE24" s="119" t="str">
        <f t="shared" si="2"/>
        <v>AU0018-77-519 (9)</v>
      </c>
      <c r="BF24" s="95"/>
      <c r="BG24" s="91"/>
      <c r="BH24" s="86"/>
      <c r="BI24" s="87"/>
      <c r="BM24" s="95"/>
      <c r="BO24" s="85"/>
      <c r="BP24" s="88"/>
      <c r="BQ24" s="89"/>
      <c r="BS24" s="83"/>
      <c r="BT24" s="87"/>
      <c r="BW24" s="85"/>
      <c r="BX24" s="95"/>
      <c r="BY24" s="85"/>
      <c r="CA24" s="96"/>
      <c r="CB24" s="96"/>
      <c r="CC24" s="97"/>
      <c r="CD24" s="97"/>
      <c r="CE24" s="98"/>
      <c r="CF24" s="87"/>
      <c r="CH24" s="99"/>
      <c r="CI24" s="99"/>
      <c r="CJ24" s="99"/>
      <c r="CK24" s="99"/>
      <c r="CL24" s="99"/>
      <c r="CM24" s="99"/>
      <c r="CN24" s="100"/>
      <c r="CO24" s="87"/>
      <c r="CQ24" s="85"/>
      <c r="CR24" s="85"/>
      <c r="CS24" s="99"/>
      <c r="CT24" s="101"/>
      <c r="CU24" s="102"/>
      <c r="CV24" s="99"/>
      <c r="CW24" s="99"/>
      <c r="CX24" s="85"/>
      <c r="CY24" s="87"/>
      <c r="DA24" s="85"/>
      <c r="DC24" s="99"/>
      <c r="DD24" s="103"/>
      <c r="DF24" s="103"/>
      <c r="DH24" s="95"/>
      <c r="DI24" s="104"/>
      <c r="DJ24" s="104"/>
      <c r="DK24" s="95"/>
      <c r="DL24" s="95"/>
      <c r="DM24" s="95"/>
      <c r="DN24" s="95"/>
      <c r="DO24" s="95"/>
      <c r="DP24" s="95"/>
      <c r="DR24" s="105"/>
      <c r="DS24" s="105"/>
      <c r="DT24" s="105"/>
      <c r="DU24" s="105"/>
      <c r="DV24" s="105"/>
      <c r="DW24" s="105"/>
      <c r="DX24" s="105"/>
      <c r="DY24" s="105"/>
      <c r="DZ24" s="105"/>
      <c r="EA24" s="105"/>
      <c r="EB24" s="105"/>
      <c r="EC24" s="105"/>
      <c r="ED24" s="105"/>
      <c r="EE24" s="105"/>
      <c r="EF24" s="105"/>
      <c r="EG24" s="105"/>
      <c r="EI24" s="106"/>
      <c r="EJ24" s="107"/>
      <c r="EK24" s="107"/>
      <c r="EL24" s="107"/>
      <c r="EM24" s="107"/>
      <c r="EN24" s="107"/>
      <c r="EO24" s="108"/>
      <c r="EP24" s="108"/>
      <c r="EQ24" s="107"/>
      <c r="ER24" s="107"/>
      <c r="ES24" s="107"/>
      <c r="ET24" s="107"/>
      <c r="EU24" s="107"/>
      <c r="EV24" s="109"/>
      <c r="EW24" s="109"/>
      <c r="EX24" s="105"/>
      <c r="EY24" s="105"/>
      <c r="FA24" s="105"/>
      <c r="FB24" s="105"/>
      <c r="FC24" s="105"/>
      <c r="FD24" s="105"/>
      <c r="FE24" s="105"/>
      <c r="FG24" s="104"/>
      <c r="FH24" s="105"/>
      <c r="FI24" s="105"/>
      <c r="FJ24" s="105"/>
      <c r="FK24" s="105"/>
      <c r="FN24" s="110"/>
      <c r="FO24" s="110"/>
      <c r="FP24" s="110"/>
      <c r="FR24" s="105"/>
      <c r="FT24" s="111"/>
      <c r="FU24" s="111"/>
      <c r="FV24" s="111"/>
      <c r="FW24" s="105"/>
      <c r="FX24" s="105"/>
      <c r="FY24" s="105"/>
      <c r="FZ24" s="105"/>
      <c r="GA24" s="105"/>
      <c r="GB24" s="105"/>
      <c r="GC24" s="105"/>
    </row>
    <row r="25" spans="1:185" s="77" customFormat="1" ht="15.75">
      <c r="A25"/>
      <c r="B25"/>
      <c r="C25" s="49" t="s">
        <v>61</v>
      </c>
      <c r="D25" s="130">
        <f t="shared" ref="D25:D30" si="4">TBASELE(C25,iQuote_Version)</f>
        <v>0</v>
      </c>
      <c r="E25" s="124"/>
      <c r="F25" s="50" t="s">
        <v>62</v>
      </c>
      <c r="G25" s="77">
        <f>TBASELE(F25,iQuote_Version)</f>
        <v>3.35454E-3</v>
      </c>
      <c r="H25" s="82"/>
      <c r="I25" s="50" t="s">
        <v>63</v>
      </c>
      <c r="J25" s="131">
        <f>TBASELE(I25,iQuote_Version)</f>
        <v>0.04</v>
      </c>
      <c r="K25" s="81"/>
      <c r="M25" s="81"/>
      <c r="O25" s="81"/>
      <c r="P25" s="82"/>
      <c r="Q25" s="82"/>
      <c r="S25" s="82"/>
      <c r="V25" s="83"/>
      <c r="W25" s="84"/>
      <c r="Y25" s="85"/>
      <c r="Z25" s="85"/>
      <c r="AB25" s="86"/>
      <c r="AC25" s="86"/>
      <c r="AD25" s="87"/>
      <c r="AJ25" s="81"/>
      <c r="AL25" s="81"/>
      <c r="AN25" s="82"/>
      <c r="AO25" s="82"/>
      <c r="AP25" s="88"/>
      <c r="AQ25" s="89"/>
      <c r="AR25" s="112">
        <f t="shared" si="3"/>
        <v>10</v>
      </c>
      <c r="AS25" s="123"/>
      <c r="AT25" s="123"/>
      <c r="AU25" s="115"/>
      <c r="AV25" s="116"/>
      <c r="AW25" s="113"/>
      <c r="AX25" s="113" t="str">
        <f>'Data Sample'!G21</f>
        <v>P02A541</v>
      </c>
      <c r="AY25" s="113" t="str">
        <f>'Data Sample'!G1030</f>
        <v>V0843992493105</v>
      </c>
      <c r="AZ25" s="113" t="str">
        <f>'Data Sample'!G526</f>
        <v>AU0032-30-167</v>
      </c>
      <c r="BA25" s="118"/>
      <c r="BC25" s="119" t="str">
        <f t="shared" si="0"/>
        <v>P02A541 (10)</v>
      </c>
      <c r="BD25" s="119" t="str">
        <f t="shared" si="1"/>
        <v>V0843992493105 (10)</v>
      </c>
      <c r="BE25" s="119" t="str">
        <f t="shared" si="2"/>
        <v>AU0032-30-167 (10)</v>
      </c>
      <c r="BF25" s="95"/>
      <c r="BG25" s="91"/>
      <c r="BH25" s="86"/>
      <c r="BI25" s="87"/>
      <c r="BM25" s="95"/>
      <c r="BO25" s="85"/>
      <c r="BP25" s="88"/>
      <c r="BQ25" s="89"/>
      <c r="BS25" s="83"/>
      <c r="BT25" s="87"/>
      <c r="BW25" s="85"/>
      <c r="BX25" s="95"/>
      <c r="BY25" s="85"/>
      <c r="CA25" s="96"/>
      <c r="CB25" s="96"/>
      <c r="CC25" s="97"/>
      <c r="CD25" s="97"/>
      <c r="CE25" s="98"/>
      <c r="CF25" s="87"/>
      <c r="CH25" s="99"/>
      <c r="CI25" s="99"/>
      <c r="CJ25" s="99"/>
      <c r="CK25" s="99"/>
      <c r="CL25" s="99"/>
      <c r="CM25" s="99"/>
      <c r="CN25" s="100"/>
      <c r="CO25" s="87"/>
      <c r="CQ25" s="85"/>
      <c r="CR25" s="85"/>
      <c r="CS25" s="99"/>
      <c r="CT25" s="101"/>
      <c r="CU25" s="102"/>
      <c r="CV25" s="99"/>
      <c r="CW25" s="99"/>
      <c r="CX25" s="85"/>
      <c r="CY25" s="87"/>
      <c r="DA25" s="85"/>
      <c r="DC25" s="99"/>
      <c r="DD25" s="103"/>
      <c r="DF25" s="103"/>
      <c r="DH25" s="95"/>
      <c r="DI25" s="104"/>
      <c r="DJ25" s="104"/>
      <c r="DK25" s="95"/>
      <c r="DL25" s="95"/>
      <c r="DM25" s="95"/>
      <c r="DN25" s="95"/>
      <c r="DO25" s="95"/>
      <c r="DP25" s="9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I25" s="106"/>
      <c r="EJ25" s="107"/>
      <c r="EK25" s="107"/>
      <c r="EL25" s="107"/>
      <c r="EM25" s="107"/>
      <c r="EN25" s="107"/>
      <c r="EO25" s="108"/>
      <c r="EP25" s="108"/>
      <c r="EQ25" s="107"/>
      <c r="ER25" s="107"/>
      <c r="ES25" s="107"/>
      <c r="ET25" s="107"/>
      <c r="EU25" s="107"/>
      <c r="EV25" s="109"/>
      <c r="EW25" s="109"/>
      <c r="EX25" s="105"/>
      <c r="EY25" s="105"/>
      <c r="FA25" s="105"/>
      <c r="FB25" s="105"/>
      <c r="FC25" s="105"/>
      <c r="FD25" s="105"/>
      <c r="FE25" s="105"/>
      <c r="FG25" s="104"/>
      <c r="FH25" s="105"/>
      <c r="FI25" s="105"/>
      <c r="FJ25" s="105"/>
      <c r="FK25" s="105"/>
      <c r="FN25" s="110"/>
      <c r="FO25" s="110"/>
      <c r="FP25" s="110"/>
      <c r="FR25" s="105"/>
      <c r="FT25" s="111"/>
      <c r="FU25" s="111"/>
      <c r="FV25" s="111"/>
      <c r="FW25" s="105"/>
      <c r="FX25" s="105"/>
      <c r="FY25" s="105"/>
      <c r="FZ25" s="105"/>
      <c r="GA25" s="105"/>
      <c r="GB25" s="105"/>
      <c r="GC25" s="105"/>
    </row>
    <row r="26" spans="1:185" s="77" customFormat="1" ht="15.75">
      <c r="A26"/>
      <c r="B26"/>
      <c r="C26" s="49" t="s">
        <v>64</v>
      </c>
      <c r="D26" s="85">
        <f t="shared" si="4"/>
        <v>261.12639999999999</v>
      </c>
      <c r="E26" s="124"/>
      <c r="F26" s="50" t="s">
        <v>65</v>
      </c>
      <c r="G26" s="90">
        <f>TBASELE(F26,iQuote_Version)</f>
        <v>2832.8</v>
      </c>
      <c r="H26" s="82"/>
      <c r="I26" s="50" t="s">
        <v>66</v>
      </c>
      <c r="J26" s="132">
        <f>TBASELE(I26,iQuote_Version)</f>
        <v>4</v>
      </c>
      <c r="K26" s="81"/>
      <c r="M26" s="81"/>
      <c r="O26" s="81"/>
      <c r="P26" s="82"/>
      <c r="Q26" s="82"/>
      <c r="S26" s="82"/>
      <c r="V26" s="83"/>
      <c r="W26" s="84"/>
      <c r="Y26" s="85"/>
      <c r="Z26" s="85"/>
      <c r="AB26" s="86"/>
      <c r="AC26" s="86"/>
      <c r="AD26" s="87"/>
      <c r="AJ26" s="81"/>
      <c r="AL26" s="81"/>
      <c r="AN26" s="82"/>
      <c r="AO26" s="82"/>
      <c r="AP26" s="88"/>
      <c r="AQ26" s="89"/>
      <c r="AR26" s="112">
        <f t="shared" si="3"/>
        <v>11</v>
      </c>
      <c r="AS26" s="123"/>
      <c r="AT26" s="123"/>
      <c r="AU26" s="115"/>
      <c r="AV26" s="116"/>
      <c r="AW26" s="113"/>
      <c r="AX26" s="113" t="str">
        <f>'Data Sample'!G22</f>
        <v>P02A313</v>
      </c>
      <c r="AY26" s="113" t="str">
        <f>'Data Sample'!G1031</f>
        <v>V0240487404467</v>
      </c>
      <c r="AZ26" s="113" t="str">
        <f>'Data Sample'!G527</f>
        <v>AU0013-35-482</v>
      </c>
      <c r="BA26" s="118"/>
      <c r="BC26" s="119" t="str">
        <f t="shared" si="0"/>
        <v>P02A313 (11)</v>
      </c>
      <c r="BD26" s="119" t="str">
        <f t="shared" si="1"/>
        <v>V0240487404467 (11)</v>
      </c>
      <c r="BE26" s="119" t="str">
        <f t="shared" si="2"/>
        <v>AU0013-35-482 (11)</v>
      </c>
      <c r="BF26" s="95"/>
      <c r="BG26" s="91"/>
      <c r="BH26" s="86"/>
      <c r="BI26" s="87"/>
      <c r="BM26" s="95"/>
      <c r="BO26" s="85"/>
      <c r="BP26" s="88"/>
      <c r="BQ26" s="89"/>
      <c r="BS26" s="83"/>
      <c r="BT26" s="87"/>
      <c r="BW26" s="85"/>
      <c r="BX26" s="95"/>
      <c r="BY26" s="85"/>
      <c r="CA26" s="96"/>
      <c r="CB26" s="96"/>
      <c r="CC26" s="97"/>
      <c r="CD26" s="97"/>
      <c r="CE26" s="98"/>
      <c r="CF26" s="87"/>
      <c r="CH26" s="99"/>
      <c r="CI26" s="99"/>
      <c r="CJ26" s="99"/>
      <c r="CK26" s="99"/>
      <c r="CL26" s="99"/>
      <c r="CM26" s="99"/>
      <c r="CN26" s="100"/>
      <c r="CO26" s="87"/>
      <c r="CQ26" s="85"/>
      <c r="CR26" s="85"/>
      <c r="CS26" s="99"/>
      <c r="CT26" s="101"/>
      <c r="CU26" s="102"/>
      <c r="CV26" s="99"/>
      <c r="CW26" s="99"/>
      <c r="CX26" s="85"/>
      <c r="CY26" s="87"/>
      <c r="DA26" s="85"/>
      <c r="DC26" s="99"/>
      <c r="DD26" s="103"/>
      <c r="DF26" s="103"/>
      <c r="DH26" s="95"/>
      <c r="DI26" s="104"/>
      <c r="DJ26" s="104"/>
      <c r="DK26" s="95"/>
      <c r="DL26" s="95"/>
      <c r="DM26" s="95"/>
      <c r="DN26" s="95"/>
      <c r="DO26" s="95"/>
      <c r="DP26" s="95"/>
      <c r="DR26" s="105"/>
      <c r="DS26" s="105"/>
      <c r="DT26" s="105"/>
      <c r="DU26" s="105"/>
      <c r="DV26" s="105"/>
      <c r="DW26" s="105"/>
      <c r="DX26" s="105"/>
      <c r="DY26" s="105"/>
      <c r="DZ26" s="105"/>
      <c r="EA26" s="105"/>
      <c r="EB26" s="105"/>
      <c r="EC26" s="105"/>
      <c r="ED26" s="105"/>
      <c r="EE26" s="105"/>
      <c r="EF26" s="105"/>
      <c r="EG26" s="105"/>
      <c r="EI26" s="106"/>
      <c r="EJ26" s="107"/>
      <c r="EK26" s="107"/>
      <c r="EL26" s="107"/>
      <c r="EM26" s="107"/>
      <c r="EN26" s="107"/>
      <c r="EO26" s="108"/>
      <c r="EP26" s="108"/>
      <c r="EQ26" s="107"/>
      <c r="ER26" s="107"/>
      <c r="ES26" s="107"/>
      <c r="ET26" s="107"/>
      <c r="EU26" s="107"/>
      <c r="EV26" s="109"/>
      <c r="EW26" s="109"/>
      <c r="EX26" s="105"/>
      <c r="EY26" s="105"/>
      <c r="FA26" s="105"/>
      <c r="FB26" s="105"/>
      <c r="FC26" s="105"/>
      <c r="FD26" s="105"/>
      <c r="FE26" s="105"/>
      <c r="FG26" s="104"/>
      <c r="FH26" s="105"/>
      <c r="FI26" s="105"/>
      <c r="FJ26" s="105"/>
      <c r="FK26" s="105"/>
      <c r="FN26" s="110"/>
      <c r="FO26" s="110"/>
      <c r="FP26" s="110"/>
      <c r="FR26" s="105"/>
      <c r="FT26" s="111"/>
      <c r="FU26" s="111"/>
      <c r="FV26" s="111"/>
      <c r="FW26" s="105"/>
      <c r="FX26" s="105"/>
      <c r="FY26" s="105"/>
      <c r="FZ26" s="105"/>
      <c r="GA26" s="105"/>
      <c r="GB26" s="105"/>
      <c r="GC26" s="105"/>
    </row>
    <row r="27" spans="1:185" s="77" customFormat="1" ht="15.75">
      <c r="A27"/>
      <c r="B27"/>
      <c r="C27" s="49" t="s">
        <v>67</v>
      </c>
      <c r="D27" s="130">
        <f t="shared" si="4"/>
        <v>0.22</v>
      </c>
      <c r="E27" s="124"/>
      <c r="F27" s="50" t="s">
        <v>68</v>
      </c>
      <c r="G27" s="90">
        <f>TBASELE(F27,iQuote_Version)</f>
        <v>7.8</v>
      </c>
      <c r="H27" s="82"/>
      <c r="I27" s="50"/>
      <c r="J27" s="52"/>
      <c r="K27" s="81"/>
      <c r="M27" s="81"/>
      <c r="O27" s="81"/>
      <c r="P27" s="82"/>
      <c r="Q27" s="82"/>
      <c r="S27" s="82"/>
      <c r="V27" s="83"/>
      <c r="W27" s="84"/>
      <c r="Y27" s="85"/>
      <c r="Z27" s="85"/>
      <c r="AB27" s="86"/>
      <c r="AC27" s="86"/>
      <c r="AD27" s="87"/>
      <c r="AJ27" s="81"/>
      <c r="AL27" s="81"/>
      <c r="AN27" s="82"/>
      <c r="AO27" s="82"/>
      <c r="AP27" s="88"/>
      <c r="AQ27" s="89"/>
      <c r="AR27" s="112">
        <f t="shared" si="3"/>
        <v>12</v>
      </c>
      <c r="AS27" s="123"/>
      <c r="AT27" s="123"/>
      <c r="AU27" s="115"/>
      <c r="AV27" s="116"/>
      <c r="AW27" s="113"/>
      <c r="AX27" s="113" t="str">
        <f>'Data Sample'!G23</f>
        <v>P02A524</v>
      </c>
      <c r="AY27" s="113" t="str">
        <f>'Data Sample'!G1032</f>
        <v>V0449651536981</v>
      </c>
      <c r="AZ27" s="113" t="str">
        <f>'Data Sample'!G528</f>
        <v>AU0091-02-077</v>
      </c>
      <c r="BA27" s="118"/>
      <c r="BC27" s="119" t="str">
        <f t="shared" si="0"/>
        <v>P02A524 (12)</v>
      </c>
      <c r="BD27" s="119" t="str">
        <f t="shared" si="1"/>
        <v>V0449651536981 (12)</v>
      </c>
      <c r="BE27" s="119" t="str">
        <f t="shared" si="2"/>
        <v>AU0091-02-077 (12)</v>
      </c>
      <c r="BF27" s="95"/>
      <c r="BG27" s="91"/>
      <c r="BH27" s="86"/>
      <c r="BI27" s="87"/>
      <c r="BM27" s="95"/>
      <c r="BO27" s="85"/>
      <c r="BP27" s="88"/>
      <c r="BQ27" s="89"/>
      <c r="BS27" s="83"/>
      <c r="BT27" s="87"/>
      <c r="BW27" s="85"/>
      <c r="BX27" s="95"/>
      <c r="BY27" s="85"/>
      <c r="CA27" s="96"/>
      <c r="CB27" s="96"/>
      <c r="CC27" s="97"/>
      <c r="CD27" s="97"/>
      <c r="CE27" s="98"/>
      <c r="CF27" s="87"/>
      <c r="CH27" s="99"/>
      <c r="CI27" s="99"/>
      <c r="CJ27" s="99"/>
      <c r="CK27" s="99"/>
      <c r="CL27" s="99"/>
      <c r="CM27" s="99"/>
      <c r="CN27" s="100"/>
      <c r="CO27" s="87"/>
      <c r="CQ27" s="85"/>
      <c r="CR27" s="85"/>
      <c r="CS27" s="99"/>
      <c r="CT27" s="101"/>
      <c r="CU27" s="102"/>
      <c r="CV27" s="99"/>
      <c r="CW27" s="99"/>
      <c r="CX27" s="85"/>
      <c r="CY27" s="87"/>
      <c r="DA27" s="85"/>
      <c r="DC27" s="99"/>
      <c r="DD27" s="103"/>
      <c r="DF27" s="103"/>
      <c r="DH27" s="95"/>
      <c r="DI27" s="104"/>
      <c r="DJ27" s="104"/>
      <c r="DK27" s="95"/>
      <c r="DL27" s="95"/>
      <c r="DM27" s="95"/>
      <c r="DN27" s="95"/>
      <c r="DO27" s="95"/>
      <c r="DP27" s="95"/>
      <c r="DR27" s="105"/>
      <c r="DS27" s="105"/>
      <c r="DT27" s="105"/>
      <c r="DU27" s="105"/>
      <c r="DV27" s="105"/>
      <c r="DW27" s="105"/>
      <c r="DX27" s="105"/>
      <c r="DY27" s="105"/>
      <c r="DZ27" s="105"/>
      <c r="EA27" s="105"/>
      <c r="EB27" s="105"/>
      <c r="EC27" s="105"/>
      <c r="ED27" s="105"/>
      <c r="EE27" s="105"/>
      <c r="EF27" s="105"/>
      <c r="EG27" s="105"/>
      <c r="EI27" s="106"/>
      <c r="EJ27" s="107"/>
      <c r="EK27" s="107"/>
      <c r="EL27" s="107"/>
      <c r="EM27" s="107"/>
      <c r="EN27" s="107"/>
      <c r="EO27" s="108"/>
      <c r="EP27" s="108"/>
      <c r="EQ27" s="107"/>
      <c r="ER27" s="107"/>
      <c r="ES27" s="107"/>
      <c r="ET27" s="107"/>
      <c r="EU27" s="107"/>
      <c r="EV27" s="109"/>
      <c r="EW27" s="109"/>
      <c r="EX27" s="105"/>
      <c r="EY27" s="105"/>
      <c r="FA27" s="105"/>
      <c r="FB27" s="105"/>
      <c r="FC27" s="105"/>
      <c r="FD27" s="105"/>
      <c r="FE27" s="105"/>
      <c r="FG27" s="104"/>
      <c r="FH27" s="105"/>
      <c r="FI27" s="105"/>
      <c r="FJ27" s="105"/>
      <c r="FK27" s="105"/>
      <c r="FN27" s="110"/>
      <c r="FO27" s="110"/>
      <c r="FP27" s="110"/>
      <c r="FR27" s="105"/>
      <c r="FT27" s="111"/>
      <c r="FU27" s="111"/>
      <c r="FV27" s="111"/>
      <c r="FW27" s="105"/>
      <c r="FX27" s="105"/>
      <c r="FY27" s="105"/>
      <c r="FZ27" s="105"/>
      <c r="GA27" s="105"/>
      <c r="GB27" s="105"/>
      <c r="GC27" s="105"/>
    </row>
    <row r="28" spans="1:185" s="77" customFormat="1" ht="15.75">
      <c r="A28"/>
      <c r="B28"/>
      <c r="C28" s="49" t="s">
        <v>69</v>
      </c>
      <c r="D28" s="130">
        <f t="shared" si="4"/>
        <v>1.5</v>
      </c>
      <c r="E28" s="124"/>
      <c r="F28" s="121"/>
      <c r="G28" s="121"/>
      <c r="H28" s="82"/>
      <c r="I28" s="50" t="s">
        <v>70</v>
      </c>
      <c r="J28" s="127">
        <f>TBASELE(I28,iQuote_Version)</f>
        <v>6.25E-2</v>
      </c>
      <c r="K28" s="81"/>
      <c r="M28" s="81"/>
      <c r="O28" s="81"/>
      <c r="P28" s="82"/>
      <c r="Q28" s="82"/>
      <c r="S28" s="82"/>
      <c r="V28" s="83"/>
      <c r="W28" s="84"/>
      <c r="Y28" s="85"/>
      <c r="Z28" s="85"/>
      <c r="AB28" s="86"/>
      <c r="AC28" s="86"/>
      <c r="AD28" s="87"/>
      <c r="AJ28" s="81"/>
      <c r="AL28" s="81"/>
      <c r="AN28" s="82"/>
      <c r="AO28" s="82"/>
      <c r="AP28" s="88"/>
      <c r="AQ28" s="89"/>
      <c r="AR28" s="112">
        <f t="shared" si="3"/>
        <v>13</v>
      </c>
      <c r="AS28" s="123"/>
      <c r="AT28" s="123"/>
      <c r="AU28" s="115"/>
      <c r="AV28" s="116"/>
      <c r="AW28" s="113"/>
      <c r="AX28" s="113" t="str">
        <f>'Data Sample'!G24</f>
        <v>P02A962</v>
      </c>
      <c r="AY28" s="113" t="str">
        <f>'Data Sample'!G1033</f>
        <v>V0437925819217</v>
      </c>
      <c r="AZ28" s="113" t="str">
        <f>'Data Sample'!G529</f>
        <v>AU0069-10-404</v>
      </c>
      <c r="BA28" s="118"/>
      <c r="BC28" s="119" t="str">
        <f t="shared" si="0"/>
        <v>P02A962 (13)</v>
      </c>
      <c r="BD28" s="119" t="str">
        <f t="shared" si="1"/>
        <v>V0437925819217 (13)</v>
      </c>
      <c r="BE28" s="119" t="str">
        <f t="shared" si="2"/>
        <v>AU0069-10-404 (13)</v>
      </c>
      <c r="BF28" s="95"/>
      <c r="BG28" s="91"/>
      <c r="BH28" s="86"/>
      <c r="BI28" s="87"/>
      <c r="BM28" s="95"/>
      <c r="BO28" s="85"/>
      <c r="BP28" s="88"/>
      <c r="BQ28" s="89"/>
      <c r="BS28" s="83"/>
      <c r="BT28" s="87"/>
      <c r="BW28" s="85"/>
      <c r="BX28" s="95"/>
      <c r="BY28" s="85"/>
      <c r="CA28" s="96"/>
      <c r="CB28" s="96"/>
      <c r="CC28" s="97"/>
      <c r="CD28" s="97"/>
      <c r="CE28" s="98"/>
      <c r="CF28" s="87"/>
      <c r="CH28" s="99"/>
      <c r="CI28" s="99"/>
      <c r="CJ28" s="99"/>
      <c r="CK28" s="99"/>
      <c r="CL28" s="99"/>
      <c r="CM28" s="99"/>
      <c r="CN28" s="100"/>
      <c r="CO28" s="87"/>
      <c r="CQ28" s="85"/>
      <c r="CR28" s="85"/>
      <c r="CS28" s="99"/>
      <c r="CT28" s="101"/>
      <c r="CU28" s="102"/>
      <c r="CV28" s="99"/>
      <c r="CW28" s="99"/>
      <c r="CX28" s="85"/>
      <c r="CY28" s="87"/>
      <c r="DA28" s="85"/>
      <c r="DC28" s="99"/>
      <c r="DD28" s="103"/>
      <c r="DF28" s="103"/>
      <c r="DH28" s="95"/>
      <c r="DI28" s="104"/>
      <c r="DJ28" s="104"/>
      <c r="DK28" s="95"/>
      <c r="DL28" s="95"/>
      <c r="DM28" s="95"/>
      <c r="DN28" s="95"/>
      <c r="DO28" s="95"/>
      <c r="DP28" s="95"/>
      <c r="DR28" s="105"/>
      <c r="DS28" s="105"/>
      <c r="DT28" s="105"/>
      <c r="DU28" s="105"/>
      <c r="DV28" s="105"/>
      <c r="DW28" s="105"/>
      <c r="DX28" s="105"/>
      <c r="DY28" s="105"/>
      <c r="DZ28" s="105"/>
      <c r="EA28" s="105"/>
      <c r="EB28" s="105"/>
      <c r="EC28" s="105"/>
      <c r="ED28" s="105"/>
      <c r="EE28" s="105"/>
      <c r="EF28" s="105"/>
      <c r="EG28" s="105"/>
      <c r="EI28" s="106"/>
      <c r="EJ28" s="107"/>
      <c r="EK28" s="107"/>
      <c r="EL28" s="107"/>
      <c r="EM28" s="107"/>
      <c r="EN28" s="107"/>
      <c r="EO28" s="108"/>
      <c r="EP28" s="108"/>
      <c r="EQ28" s="107"/>
      <c r="ER28" s="107"/>
      <c r="ES28" s="107"/>
      <c r="ET28" s="107"/>
      <c r="EU28" s="107"/>
      <c r="EV28" s="109"/>
      <c r="EW28" s="109"/>
      <c r="EX28" s="105"/>
      <c r="EY28" s="105"/>
      <c r="FA28" s="105"/>
      <c r="FB28" s="105"/>
      <c r="FC28" s="105"/>
      <c r="FD28" s="105"/>
      <c r="FE28" s="105"/>
      <c r="FG28" s="104"/>
      <c r="FH28" s="105"/>
      <c r="FI28" s="105"/>
      <c r="FJ28" s="105"/>
      <c r="FK28" s="105"/>
      <c r="FN28" s="110"/>
      <c r="FO28" s="110"/>
      <c r="FP28" s="110"/>
      <c r="FR28" s="105"/>
      <c r="FT28" s="111"/>
      <c r="FU28" s="111"/>
      <c r="FV28" s="111"/>
      <c r="FW28" s="105"/>
      <c r="FX28" s="105"/>
      <c r="FY28" s="105"/>
      <c r="FZ28" s="105"/>
      <c r="GA28" s="105"/>
      <c r="GB28" s="105"/>
      <c r="GC28" s="105"/>
    </row>
    <row r="29" spans="1:185" s="77" customFormat="1" ht="15.75">
      <c r="A29"/>
      <c r="B29"/>
      <c r="C29" s="49" t="s">
        <v>71</v>
      </c>
      <c r="D29" s="130">
        <f t="shared" si="4"/>
        <v>0.43</v>
      </c>
      <c r="E29" s="124"/>
      <c r="F29" s="50" t="s">
        <v>72</v>
      </c>
      <c r="G29" s="77">
        <f t="shared" ref="G29:G34" si="5">TBASELE(F29,iQuote_Version)</f>
        <v>7.4918060000000002E-3</v>
      </c>
      <c r="H29" s="82"/>
      <c r="I29" s="50" t="s">
        <v>73</v>
      </c>
      <c r="J29" s="133">
        <f>TBASELE(I29,iQuote_Version)</f>
        <v>40</v>
      </c>
      <c r="K29" s="81"/>
      <c r="M29" s="81"/>
      <c r="O29" s="81"/>
      <c r="P29" s="82"/>
      <c r="Q29" s="82"/>
      <c r="S29" s="82"/>
      <c r="V29" s="83"/>
      <c r="W29" s="84"/>
      <c r="Y29" s="85"/>
      <c r="Z29" s="85"/>
      <c r="AB29" s="86"/>
      <c r="AC29" s="86"/>
      <c r="AD29" s="87"/>
      <c r="AJ29" s="81"/>
      <c r="AL29" s="81"/>
      <c r="AN29" s="82"/>
      <c r="AO29" s="82"/>
      <c r="AP29" s="88"/>
      <c r="AQ29" s="89"/>
      <c r="AR29" s="112">
        <f t="shared" si="3"/>
        <v>14</v>
      </c>
      <c r="AS29" s="123"/>
      <c r="AT29" s="123"/>
      <c r="AU29" s="115"/>
      <c r="AV29" s="116"/>
      <c r="AW29" s="113"/>
      <c r="AX29" s="113" t="str">
        <f>'Data Sample'!G25</f>
        <v>P02A5</v>
      </c>
      <c r="AY29" s="113" t="str">
        <f>'Data Sample'!G1034</f>
        <v>V0001841589799</v>
      </c>
      <c r="AZ29" s="113" t="str">
        <f>'Data Sample'!G530</f>
        <v>AU0037-70-659</v>
      </c>
      <c r="BA29" s="118"/>
      <c r="BC29" s="119" t="str">
        <f t="shared" si="0"/>
        <v>P02A5 (14)</v>
      </c>
      <c r="BD29" s="119" t="str">
        <f t="shared" si="1"/>
        <v>V0001841589799 (14)</v>
      </c>
      <c r="BE29" s="119" t="str">
        <f t="shared" si="2"/>
        <v>AU0037-70-659 (14)</v>
      </c>
      <c r="BF29" s="95"/>
      <c r="BG29" s="91"/>
      <c r="BH29" s="86"/>
      <c r="BI29" s="87"/>
      <c r="BM29" s="95"/>
      <c r="BO29" s="85"/>
      <c r="BP29" s="88"/>
      <c r="BQ29" s="89"/>
      <c r="BS29" s="83"/>
      <c r="BT29" s="87"/>
      <c r="BW29" s="85"/>
      <c r="BX29" s="95"/>
      <c r="BY29" s="85"/>
      <c r="CA29" s="96"/>
      <c r="CB29" s="96"/>
      <c r="CC29" s="97"/>
      <c r="CD29" s="97"/>
      <c r="CE29" s="98"/>
      <c r="CF29" s="87"/>
      <c r="CH29" s="99"/>
      <c r="CI29" s="99"/>
      <c r="CJ29" s="99"/>
      <c r="CK29" s="99"/>
      <c r="CL29" s="99"/>
      <c r="CM29" s="99"/>
      <c r="CN29" s="100"/>
      <c r="CO29" s="87"/>
      <c r="CQ29" s="85"/>
      <c r="CR29" s="85"/>
      <c r="CS29" s="99"/>
      <c r="CT29" s="101"/>
      <c r="CU29" s="102"/>
      <c r="CV29" s="99"/>
      <c r="CW29" s="99"/>
      <c r="CX29" s="85"/>
      <c r="CY29" s="87"/>
      <c r="DA29" s="85"/>
      <c r="DC29" s="99"/>
      <c r="DD29" s="103"/>
      <c r="DF29" s="103"/>
      <c r="DH29" s="95"/>
      <c r="DI29" s="104"/>
      <c r="DJ29" s="104"/>
      <c r="DK29" s="95"/>
      <c r="DL29" s="95"/>
      <c r="DM29" s="95"/>
      <c r="DN29" s="95"/>
      <c r="DO29" s="95"/>
      <c r="DP29" s="95"/>
      <c r="DR29" s="105"/>
      <c r="DS29" s="105"/>
      <c r="DT29" s="105"/>
      <c r="DU29" s="105"/>
      <c r="DV29" s="105"/>
      <c r="DW29" s="105"/>
      <c r="DX29" s="105"/>
      <c r="DY29" s="105"/>
      <c r="DZ29" s="105"/>
      <c r="EA29" s="105"/>
      <c r="EB29" s="105"/>
      <c r="EC29" s="105"/>
      <c r="ED29" s="105"/>
      <c r="EE29" s="105"/>
      <c r="EF29" s="105"/>
      <c r="EG29" s="105"/>
      <c r="EI29" s="106"/>
      <c r="EJ29" s="107"/>
      <c r="EK29" s="107"/>
      <c r="EL29" s="107"/>
      <c r="EM29" s="107"/>
      <c r="EN29" s="107"/>
      <c r="EO29" s="108"/>
      <c r="EP29" s="108"/>
      <c r="EQ29" s="107"/>
      <c r="ER29" s="107"/>
      <c r="ES29" s="107"/>
      <c r="ET29" s="107"/>
      <c r="EU29" s="107"/>
      <c r="EV29" s="109"/>
      <c r="EW29" s="109"/>
      <c r="EX29" s="105"/>
      <c r="EY29" s="105"/>
      <c r="FA29" s="105"/>
      <c r="FB29" s="105"/>
      <c r="FC29" s="105"/>
      <c r="FD29" s="105"/>
      <c r="FE29" s="105"/>
      <c r="FG29" s="104"/>
      <c r="FH29" s="105"/>
      <c r="FI29" s="105"/>
      <c r="FJ29" s="105"/>
      <c r="FK29" s="105"/>
      <c r="FN29" s="110"/>
      <c r="FO29" s="110"/>
      <c r="FP29" s="110"/>
      <c r="FR29" s="105"/>
      <c r="FT29" s="111"/>
      <c r="FU29" s="111"/>
      <c r="FV29" s="111"/>
      <c r="FW29" s="105"/>
      <c r="FX29" s="105"/>
      <c r="FY29" s="105"/>
      <c r="FZ29" s="105"/>
      <c r="GA29" s="105"/>
      <c r="GB29" s="105"/>
      <c r="GC29" s="105"/>
    </row>
    <row r="30" spans="1:185" s="77" customFormat="1" ht="15.75">
      <c r="C30" s="49" t="s">
        <v>74</v>
      </c>
      <c r="D30" s="130">
        <f t="shared" si="4"/>
        <v>1000</v>
      </c>
      <c r="E30" s="124"/>
      <c r="F30" s="50" t="s">
        <v>75</v>
      </c>
      <c r="G30" s="95">
        <f t="shared" si="5"/>
        <v>0.2</v>
      </c>
      <c r="H30" s="82"/>
      <c r="I30" s="50" t="s">
        <v>76</v>
      </c>
      <c r="J30" s="52">
        <f>TBASELE(I30,iQuote_Version)</f>
        <v>250</v>
      </c>
      <c r="K30" s="81"/>
      <c r="M30" s="81"/>
      <c r="O30" s="81"/>
      <c r="P30" s="82"/>
      <c r="Q30" s="82"/>
      <c r="S30" s="82"/>
      <c r="V30" s="83"/>
      <c r="W30" s="84"/>
      <c r="Y30" s="85"/>
      <c r="Z30" s="85"/>
      <c r="AB30" s="86"/>
      <c r="AC30" s="86"/>
      <c r="AD30" s="87"/>
      <c r="AJ30" s="81"/>
      <c r="AL30" s="81"/>
      <c r="AN30" s="82"/>
      <c r="AO30" s="82"/>
      <c r="AP30" s="88"/>
      <c r="AQ30" s="89"/>
      <c r="AR30" s="112">
        <f t="shared" si="3"/>
        <v>15</v>
      </c>
      <c r="AS30" s="123"/>
      <c r="AT30" s="123"/>
      <c r="AU30" s="115"/>
      <c r="AV30" s="116"/>
      <c r="AW30" s="113"/>
      <c r="AX30" s="113" t="str">
        <f>'Data Sample'!G26</f>
        <v>P02A418</v>
      </c>
      <c r="AY30" s="113" t="str">
        <f>'Data Sample'!G1035</f>
        <v>V0449452567396</v>
      </c>
      <c r="AZ30" s="113" t="str">
        <f>'Data Sample'!G531</f>
        <v>AU0017-23-924</v>
      </c>
      <c r="BA30" s="118"/>
      <c r="BC30" s="119" t="str">
        <f t="shared" si="0"/>
        <v>P02A418 (15)</v>
      </c>
      <c r="BD30" s="119" t="str">
        <f t="shared" si="1"/>
        <v>V0449452567396 (15)</v>
      </c>
      <c r="BE30" s="119" t="str">
        <f t="shared" si="2"/>
        <v>AU0017-23-924 (15)</v>
      </c>
      <c r="BF30" s="95"/>
      <c r="BG30" s="91"/>
      <c r="BH30" s="86"/>
      <c r="BI30" s="87"/>
      <c r="BM30" s="95"/>
      <c r="BO30" s="85"/>
      <c r="BP30" s="88"/>
      <c r="BQ30" s="89"/>
      <c r="BS30" s="83"/>
      <c r="BT30" s="87"/>
      <c r="BW30" s="85"/>
      <c r="BX30" s="95"/>
      <c r="BY30" s="85"/>
      <c r="CA30" s="96"/>
      <c r="CB30" s="96"/>
      <c r="CC30" s="97"/>
      <c r="CD30" s="97"/>
      <c r="CE30" s="98"/>
      <c r="CF30" s="87"/>
      <c r="CH30" s="99"/>
      <c r="CI30" s="99"/>
      <c r="CJ30" s="99"/>
      <c r="CK30" s="99"/>
      <c r="CL30" s="99"/>
      <c r="CM30" s="99"/>
      <c r="CN30" s="100"/>
      <c r="CO30" s="87"/>
      <c r="CQ30" s="85"/>
      <c r="CR30" s="85"/>
      <c r="CS30" s="99"/>
      <c r="CT30" s="101"/>
      <c r="CU30" s="102"/>
      <c r="CV30" s="99"/>
      <c r="CW30" s="99"/>
      <c r="CX30" s="85"/>
      <c r="CY30" s="87"/>
      <c r="DA30" s="85"/>
      <c r="DC30" s="99"/>
      <c r="DD30" s="103"/>
      <c r="DF30" s="103"/>
      <c r="DH30" s="95"/>
      <c r="DI30" s="104"/>
      <c r="DJ30" s="104"/>
      <c r="DK30" s="95"/>
      <c r="DL30" s="95"/>
      <c r="DM30" s="95"/>
      <c r="DN30" s="95"/>
      <c r="DO30" s="95"/>
      <c r="DP30" s="9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I30" s="106"/>
      <c r="EJ30" s="107"/>
      <c r="EK30" s="107"/>
      <c r="EL30" s="107"/>
      <c r="EM30" s="107"/>
      <c r="EN30" s="107"/>
      <c r="EO30" s="108"/>
      <c r="EP30" s="108"/>
      <c r="EQ30" s="107"/>
      <c r="ER30" s="107"/>
      <c r="ES30" s="107"/>
      <c r="ET30" s="107"/>
      <c r="EU30" s="107"/>
      <c r="EV30" s="109"/>
      <c r="EW30" s="109"/>
      <c r="EX30" s="105"/>
      <c r="EY30" s="105"/>
      <c r="FA30" s="105"/>
      <c r="FB30" s="105"/>
      <c r="FC30" s="105"/>
      <c r="FD30" s="105"/>
      <c r="FE30" s="105"/>
      <c r="FG30" s="104"/>
      <c r="FH30" s="105"/>
      <c r="FI30" s="105"/>
      <c r="FJ30" s="105"/>
      <c r="FK30" s="105"/>
      <c r="FN30" s="110"/>
      <c r="FO30" s="110"/>
      <c r="FP30" s="110"/>
      <c r="FR30" s="105"/>
      <c r="FT30" s="111"/>
      <c r="FU30" s="111"/>
      <c r="FV30" s="111"/>
      <c r="FW30" s="105"/>
      <c r="FX30" s="105"/>
      <c r="FY30" s="105"/>
      <c r="FZ30" s="105"/>
      <c r="GA30" s="105"/>
      <c r="GB30" s="105"/>
      <c r="GC30" s="105"/>
    </row>
    <row r="31" spans="1:185" s="77" customFormat="1" ht="15.75">
      <c r="A31" s="85"/>
      <c r="B31" s="124"/>
      <c r="C31" s="49"/>
      <c r="D31" s="50"/>
      <c r="E31" s="124"/>
      <c r="F31" s="50" t="s">
        <v>77</v>
      </c>
      <c r="G31" s="134">
        <f t="shared" si="5"/>
        <v>2.0015421999999998E-2</v>
      </c>
      <c r="H31" s="82"/>
      <c r="I31" s="121"/>
      <c r="J31" s="122"/>
      <c r="K31" s="81"/>
      <c r="M31" s="81"/>
      <c r="O31" s="81"/>
      <c r="P31" s="82"/>
      <c r="Q31" s="82"/>
      <c r="S31" s="82"/>
      <c r="V31" s="83"/>
      <c r="W31" s="84"/>
      <c r="Y31" s="85"/>
      <c r="Z31" s="85"/>
      <c r="AB31" s="86"/>
      <c r="AC31" s="86"/>
      <c r="AD31" s="87"/>
      <c r="AJ31" s="81"/>
      <c r="AL31" s="81"/>
      <c r="AN31" s="82"/>
      <c r="AO31" s="82"/>
      <c r="AP31" s="88"/>
      <c r="AQ31" s="89"/>
      <c r="AR31" s="112">
        <f t="shared" si="3"/>
        <v>16</v>
      </c>
      <c r="AS31" s="123"/>
      <c r="AT31" s="123"/>
      <c r="AU31" s="115"/>
      <c r="AV31" s="116"/>
      <c r="AW31" s="113"/>
      <c r="AX31" s="113" t="str">
        <f>'Data Sample'!G27</f>
        <v>P02A919</v>
      </c>
      <c r="AY31" s="113" t="str">
        <f>'Data Sample'!G1036</f>
        <v>V0668046582644</v>
      </c>
      <c r="AZ31" s="113" t="str">
        <f>'Data Sample'!G532</f>
        <v>AU0005-72-558</v>
      </c>
      <c r="BA31" s="118"/>
      <c r="BC31" s="119" t="str">
        <f t="shared" si="0"/>
        <v>P02A919 (16)</v>
      </c>
      <c r="BD31" s="119" t="str">
        <f t="shared" si="1"/>
        <v>V0668046582644 (16)</v>
      </c>
      <c r="BE31" s="119" t="str">
        <f t="shared" si="2"/>
        <v>AU0005-72-558 (16)</v>
      </c>
      <c r="BF31" s="95"/>
      <c r="BG31" s="91"/>
      <c r="BH31" s="86"/>
      <c r="BI31" s="87"/>
      <c r="BM31" s="95"/>
      <c r="BO31" s="85"/>
      <c r="BP31" s="88"/>
      <c r="BQ31" s="89"/>
      <c r="BS31" s="83"/>
      <c r="BT31" s="87"/>
      <c r="BW31" s="85"/>
      <c r="BX31" s="95"/>
      <c r="BY31" s="85"/>
      <c r="CA31" s="96"/>
      <c r="CB31" s="96"/>
      <c r="CC31" s="97"/>
      <c r="CD31" s="97"/>
      <c r="CE31" s="98"/>
      <c r="CF31" s="87"/>
      <c r="CH31" s="99"/>
      <c r="CI31" s="99"/>
      <c r="CJ31" s="99"/>
      <c r="CK31" s="99"/>
      <c r="CL31" s="99"/>
      <c r="CM31" s="99"/>
      <c r="CN31" s="100"/>
      <c r="CO31" s="87"/>
      <c r="CQ31" s="85"/>
      <c r="CR31" s="85"/>
      <c r="CS31" s="99"/>
      <c r="CT31" s="101"/>
      <c r="CU31" s="102"/>
      <c r="CV31" s="99"/>
      <c r="CW31" s="99"/>
      <c r="CX31" s="85"/>
      <c r="CY31" s="87"/>
      <c r="DA31" s="85"/>
      <c r="DC31" s="99"/>
      <c r="DD31" s="103"/>
      <c r="DF31" s="103"/>
      <c r="DH31" s="95"/>
      <c r="DI31" s="104"/>
      <c r="DJ31" s="104"/>
      <c r="DK31" s="95"/>
      <c r="DL31" s="95"/>
      <c r="DM31" s="95"/>
      <c r="DN31" s="95"/>
      <c r="DO31" s="95"/>
      <c r="DP31" s="9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  <c r="EB31" s="105"/>
      <c r="EC31" s="105"/>
      <c r="ED31" s="105"/>
      <c r="EE31" s="105"/>
      <c r="EF31" s="105"/>
      <c r="EG31" s="105"/>
      <c r="EI31" s="106"/>
      <c r="EJ31" s="107"/>
      <c r="EK31" s="107"/>
      <c r="EL31" s="107"/>
      <c r="EM31" s="107"/>
      <c r="EN31" s="107"/>
      <c r="EO31" s="108"/>
      <c r="EP31" s="108"/>
      <c r="EQ31" s="107"/>
      <c r="ER31" s="107"/>
      <c r="ES31" s="107"/>
      <c r="ET31" s="107"/>
      <c r="EU31" s="107"/>
      <c r="EV31" s="109"/>
      <c r="EW31" s="109"/>
      <c r="EX31" s="105"/>
      <c r="EY31" s="105"/>
      <c r="FA31" s="105"/>
      <c r="FB31" s="105"/>
      <c r="FC31" s="105"/>
      <c r="FD31" s="105"/>
      <c r="FE31" s="105"/>
      <c r="FG31" s="104"/>
      <c r="FH31" s="105"/>
      <c r="FI31" s="105"/>
      <c r="FJ31" s="105"/>
      <c r="FK31" s="105"/>
      <c r="FN31" s="110"/>
      <c r="FO31" s="110"/>
      <c r="FP31" s="110"/>
      <c r="FR31" s="105"/>
      <c r="FT31" s="111"/>
      <c r="FU31" s="111"/>
      <c r="FV31" s="111"/>
      <c r="FW31" s="105"/>
      <c r="FX31" s="105"/>
      <c r="FY31" s="105"/>
      <c r="FZ31" s="105"/>
      <c r="GA31" s="105"/>
      <c r="GB31" s="105"/>
      <c r="GC31" s="105"/>
    </row>
    <row r="32" spans="1:185" s="77" customFormat="1" ht="15.75">
      <c r="A32" s="85"/>
      <c r="B32" s="124"/>
      <c r="C32" s="135"/>
      <c r="E32" s="124"/>
      <c r="F32" s="50" t="s">
        <v>78</v>
      </c>
      <c r="G32" s="77">
        <f t="shared" si="5"/>
        <v>2</v>
      </c>
      <c r="H32" s="82"/>
      <c r="I32" s="121"/>
      <c r="J32" s="122"/>
      <c r="K32" s="81"/>
      <c r="M32" s="81"/>
      <c r="O32" s="81"/>
      <c r="P32" s="82"/>
      <c r="Q32" s="82"/>
      <c r="S32" s="82"/>
      <c r="V32" s="83"/>
      <c r="W32" s="84"/>
      <c r="Y32" s="85"/>
      <c r="Z32" s="85"/>
      <c r="AB32" s="86"/>
      <c r="AC32" s="86"/>
      <c r="AD32" s="87"/>
      <c r="AJ32" s="81"/>
      <c r="AL32" s="81"/>
      <c r="AN32" s="82"/>
      <c r="AO32" s="82"/>
      <c r="AP32" s="88"/>
      <c r="AQ32" s="89"/>
      <c r="AR32" s="112">
        <f t="shared" si="3"/>
        <v>17</v>
      </c>
      <c r="AS32" s="123"/>
      <c r="AT32" s="123"/>
      <c r="AU32" s="115"/>
      <c r="AV32" s="116"/>
      <c r="AW32" s="113"/>
      <c r="AX32" s="113" t="str">
        <f>'Data Sample'!G28</f>
        <v>P02A939</v>
      </c>
      <c r="AY32" s="113" t="str">
        <f>'Data Sample'!G1037</f>
        <v>V0091600047373</v>
      </c>
      <c r="AZ32" s="113" t="str">
        <f>'Data Sample'!G533</f>
        <v>AU0073-15-081</v>
      </c>
      <c r="BA32" s="118"/>
      <c r="BC32" s="119" t="str">
        <f t="shared" si="0"/>
        <v>P02A939 (17)</v>
      </c>
      <c r="BD32" s="119" t="str">
        <f t="shared" si="1"/>
        <v>V0091600047373 (17)</v>
      </c>
      <c r="BE32" s="119" t="str">
        <f t="shared" si="2"/>
        <v>AU0073-15-081 (17)</v>
      </c>
      <c r="BF32" s="95"/>
      <c r="BG32" s="91"/>
      <c r="BH32" s="86"/>
      <c r="BI32" s="87"/>
      <c r="BM32" s="95"/>
      <c r="BO32" s="85"/>
      <c r="BP32" s="88"/>
      <c r="BQ32" s="89"/>
      <c r="BS32" s="83"/>
      <c r="BT32" s="87"/>
      <c r="BW32" s="85"/>
      <c r="BX32" s="95"/>
      <c r="BY32" s="85"/>
      <c r="CA32" s="96"/>
      <c r="CB32" s="96"/>
      <c r="CC32" s="97"/>
      <c r="CD32" s="97"/>
      <c r="CE32" s="98"/>
      <c r="CF32" s="87"/>
      <c r="CH32" s="99"/>
      <c r="CI32" s="99"/>
      <c r="CJ32" s="99"/>
      <c r="CK32" s="99"/>
      <c r="CL32" s="99"/>
      <c r="CM32" s="99"/>
      <c r="CN32" s="100"/>
      <c r="CO32" s="87"/>
      <c r="CQ32" s="85"/>
      <c r="CR32" s="85"/>
      <c r="CS32" s="99"/>
      <c r="CT32" s="101"/>
      <c r="CU32" s="102"/>
      <c r="CV32" s="99"/>
      <c r="CW32" s="99"/>
      <c r="CX32" s="85"/>
      <c r="CY32" s="87"/>
      <c r="DA32" s="85"/>
      <c r="DC32" s="99"/>
      <c r="DD32" s="103"/>
      <c r="DF32" s="103"/>
      <c r="DH32" s="95"/>
      <c r="DI32" s="104"/>
      <c r="DJ32" s="104"/>
      <c r="DK32" s="95"/>
      <c r="DL32" s="95"/>
      <c r="DM32" s="95"/>
      <c r="DN32" s="95"/>
      <c r="DO32" s="95"/>
      <c r="DP32" s="95"/>
      <c r="DR32" s="105"/>
      <c r="DS32" s="105"/>
      <c r="DT32" s="105"/>
      <c r="DU32" s="105"/>
      <c r="DV32" s="105"/>
      <c r="DW32" s="105"/>
      <c r="DX32" s="105"/>
      <c r="DY32" s="105"/>
      <c r="DZ32" s="105"/>
      <c r="EA32" s="105"/>
      <c r="EB32" s="105"/>
      <c r="EC32" s="105"/>
      <c r="ED32" s="105"/>
      <c r="EE32" s="105"/>
      <c r="EF32" s="105"/>
      <c r="EG32" s="105"/>
      <c r="EI32" s="106"/>
      <c r="EJ32" s="107"/>
      <c r="EK32" s="107"/>
      <c r="EL32" s="107"/>
      <c r="EM32" s="107"/>
      <c r="EN32" s="107"/>
      <c r="EO32" s="108"/>
      <c r="EP32" s="108"/>
      <c r="EQ32" s="107"/>
      <c r="ER32" s="107"/>
      <c r="ES32" s="107"/>
      <c r="ET32" s="107"/>
      <c r="EU32" s="107"/>
      <c r="EV32" s="109"/>
      <c r="EW32" s="109"/>
      <c r="EX32" s="105"/>
      <c r="EY32" s="105"/>
      <c r="FA32" s="105"/>
      <c r="FB32" s="105"/>
      <c r="FC32" s="105"/>
      <c r="FD32" s="105"/>
      <c r="FE32" s="105"/>
      <c r="FG32" s="104"/>
      <c r="FH32" s="105"/>
      <c r="FI32" s="105"/>
      <c r="FJ32" s="105"/>
      <c r="FK32" s="105"/>
      <c r="FN32" s="110"/>
      <c r="FO32" s="110"/>
      <c r="FP32" s="110"/>
      <c r="FR32" s="105"/>
      <c r="FT32" s="111"/>
      <c r="FU32" s="111"/>
      <c r="FV32" s="111"/>
      <c r="FW32" s="105"/>
      <c r="FX32" s="105"/>
      <c r="FY32" s="105"/>
      <c r="FZ32" s="105"/>
      <c r="GA32" s="105"/>
      <c r="GB32" s="105"/>
      <c r="GC32" s="105"/>
    </row>
    <row r="33" spans="1:185" s="77" customFormat="1" ht="15.75">
      <c r="A33" s="85"/>
      <c r="B33" s="124"/>
      <c r="C33" s="135"/>
      <c r="E33" s="124"/>
      <c r="F33" s="136" t="s">
        <v>79</v>
      </c>
      <c r="G33" s="95">
        <f t="shared" si="5"/>
        <v>0.5</v>
      </c>
      <c r="H33" s="82"/>
      <c r="I33" s="121"/>
      <c r="J33" s="122"/>
      <c r="K33" s="81"/>
      <c r="M33" s="81"/>
      <c r="O33" s="81"/>
      <c r="P33" s="82"/>
      <c r="Q33" s="82"/>
      <c r="S33" s="82"/>
      <c r="V33" s="83"/>
      <c r="W33" s="84"/>
      <c r="Y33" s="85"/>
      <c r="Z33" s="85"/>
      <c r="AB33" s="86"/>
      <c r="AC33" s="86"/>
      <c r="AD33" s="87"/>
      <c r="AJ33" s="81"/>
      <c r="AL33" s="81"/>
      <c r="AN33" s="82"/>
      <c r="AO33" s="82"/>
      <c r="AP33" s="88"/>
      <c r="AQ33" s="89"/>
      <c r="AR33" s="112">
        <f t="shared" si="3"/>
        <v>18</v>
      </c>
      <c r="AS33" s="123"/>
      <c r="AT33" s="123"/>
      <c r="AU33" s="115"/>
      <c r="AV33" s="116"/>
      <c r="AW33" s="113"/>
      <c r="AX33" s="113" t="str">
        <f>'Data Sample'!G29</f>
        <v>P02A759</v>
      </c>
      <c r="AY33" s="113" t="str">
        <f>'Data Sample'!G1038</f>
        <v>V0969581287555</v>
      </c>
      <c r="AZ33" s="113" t="str">
        <f>'Data Sample'!G534</f>
        <v>AU0095-71-002</v>
      </c>
      <c r="BA33" s="118"/>
      <c r="BC33" s="119" t="str">
        <f t="shared" si="0"/>
        <v>P02A759 (18)</v>
      </c>
      <c r="BD33" s="119" t="str">
        <f t="shared" si="1"/>
        <v>V0969581287555 (18)</v>
      </c>
      <c r="BE33" s="119" t="str">
        <f t="shared" si="2"/>
        <v>AU0095-71-002 (18)</v>
      </c>
      <c r="BF33" s="95"/>
      <c r="BG33" s="91"/>
      <c r="BH33" s="86"/>
      <c r="BI33" s="87"/>
      <c r="BM33" s="95"/>
      <c r="BO33" s="85"/>
      <c r="BP33" s="88"/>
      <c r="BQ33" s="89"/>
      <c r="BS33" s="83"/>
      <c r="BT33" s="87"/>
      <c r="BW33" s="85"/>
      <c r="BX33" s="95"/>
      <c r="BY33" s="85"/>
      <c r="CA33" s="96"/>
      <c r="CB33" s="96"/>
      <c r="CC33" s="97"/>
      <c r="CD33" s="97"/>
      <c r="CE33" s="98"/>
      <c r="CF33" s="87"/>
      <c r="CH33" s="99"/>
      <c r="CI33" s="99"/>
      <c r="CJ33" s="99"/>
      <c r="CK33" s="99"/>
      <c r="CL33" s="99"/>
      <c r="CM33" s="99"/>
      <c r="CN33" s="100"/>
      <c r="CO33" s="87"/>
      <c r="CQ33" s="85"/>
      <c r="CR33" s="85"/>
      <c r="CS33" s="99"/>
      <c r="CT33" s="101"/>
      <c r="CU33" s="102"/>
      <c r="CV33" s="99"/>
      <c r="CW33" s="99"/>
      <c r="CX33" s="85"/>
      <c r="CY33" s="87"/>
      <c r="DA33" s="85"/>
      <c r="DC33" s="99"/>
      <c r="DD33" s="103"/>
      <c r="DF33" s="103"/>
      <c r="DH33" s="95"/>
      <c r="DI33" s="104"/>
      <c r="DJ33" s="104"/>
      <c r="DK33" s="95"/>
      <c r="DL33" s="95"/>
      <c r="DM33" s="95"/>
      <c r="DN33" s="95"/>
      <c r="DO33" s="95"/>
      <c r="DP33" s="9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  <c r="EB33" s="105"/>
      <c r="EC33" s="105"/>
      <c r="ED33" s="105"/>
      <c r="EE33" s="105"/>
      <c r="EF33" s="105"/>
      <c r="EG33" s="105"/>
      <c r="EI33" s="106"/>
      <c r="EJ33" s="107"/>
      <c r="EK33" s="107"/>
      <c r="EL33" s="107"/>
      <c r="EM33" s="107"/>
      <c r="EN33" s="107"/>
      <c r="EO33" s="108"/>
      <c r="EP33" s="108"/>
      <c r="EQ33" s="107"/>
      <c r="ER33" s="107"/>
      <c r="ES33" s="107"/>
      <c r="ET33" s="107"/>
      <c r="EU33" s="107"/>
      <c r="EV33" s="109"/>
      <c r="EW33" s="109"/>
      <c r="EX33" s="105"/>
      <c r="EY33" s="105"/>
      <c r="FA33" s="105"/>
      <c r="FB33" s="105"/>
      <c r="FC33" s="105"/>
      <c r="FD33" s="105"/>
      <c r="FE33" s="105"/>
      <c r="FG33" s="104"/>
      <c r="FH33" s="105"/>
      <c r="FI33" s="105"/>
      <c r="FJ33" s="105"/>
      <c r="FK33" s="105"/>
      <c r="FN33" s="110"/>
      <c r="FO33" s="110"/>
      <c r="FP33" s="110"/>
      <c r="FR33" s="105"/>
      <c r="FT33" s="111"/>
      <c r="FU33" s="111"/>
      <c r="FV33" s="111"/>
      <c r="FW33" s="105"/>
      <c r="FX33" s="105"/>
      <c r="FY33" s="105"/>
      <c r="FZ33" s="105"/>
      <c r="GA33" s="105"/>
      <c r="GB33" s="105"/>
      <c r="GC33" s="105"/>
    </row>
    <row r="34" spans="1:185" s="77" customFormat="1" ht="15.75">
      <c r="A34" s="85"/>
      <c r="B34" s="124"/>
      <c r="C34" s="135"/>
      <c r="E34" s="124"/>
      <c r="F34" s="50" t="s">
        <v>80</v>
      </c>
      <c r="G34" s="50">
        <f t="shared" si="5"/>
        <v>2066.37</v>
      </c>
      <c r="H34" s="82"/>
      <c r="I34" s="121"/>
      <c r="J34" s="122"/>
      <c r="K34" s="81"/>
      <c r="M34" s="81"/>
      <c r="O34" s="81"/>
      <c r="P34" s="82"/>
      <c r="Q34" s="82"/>
      <c r="S34" s="82"/>
      <c r="V34" s="83"/>
      <c r="W34" s="84"/>
      <c r="Y34" s="85"/>
      <c r="Z34" s="85"/>
      <c r="AB34" s="86"/>
      <c r="AC34" s="86"/>
      <c r="AD34" s="87"/>
      <c r="AJ34" s="81"/>
      <c r="AL34" s="81"/>
      <c r="AN34" s="82"/>
      <c r="AO34" s="82"/>
      <c r="AP34" s="88"/>
      <c r="AQ34" s="89"/>
      <c r="AR34" s="112">
        <f t="shared" si="3"/>
        <v>19</v>
      </c>
      <c r="AS34" s="123"/>
      <c r="AT34" s="123"/>
      <c r="AU34" s="115"/>
      <c r="AV34" s="116"/>
      <c r="AW34" s="113"/>
      <c r="AX34" s="113" t="str">
        <f>'Data Sample'!G30</f>
        <v>P02A652</v>
      </c>
      <c r="AY34" s="113" t="str">
        <f>'Data Sample'!G1039</f>
        <v>V0556927082685</v>
      </c>
      <c r="AZ34" s="113" t="str">
        <f>'Data Sample'!G535</f>
        <v>AU0001-41-990</v>
      </c>
      <c r="BA34" s="118"/>
      <c r="BC34" s="119" t="str">
        <f t="shared" si="0"/>
        <v>P02A652 (19)</v>
      </c>
      <c r="BD34" s="119" t="str">
        <f t="shared" si="1"/>
        <v>V0556927082685 (19)</v>
      </c>
      <c r="BE34" s="119" t="str">
        <f t="shared" si="2"/>
        <v>AU0001-41-990 (19)</v>
      </c>
      <c r="BF34" s="95"/>
      <c r="BG34" s="91"/>
      <c r="BH34" s="86"/>
      <c r="BI34" s="87"/>
      <c r="BM34" s="95"/>
      <c r="BO34" s="85"/>
      <c r="BP34" s="88"/>
      <c r="BQ34" s="89"/>
      <c r="BS34" s="83"/>
      <c r="BT34" s="87"/>
      <c r="BW34" s="85"/>
      <c r="BX34" s="95"/>
      <c r="BY34" s="85"/>
      <c r="CA34" s="96"/>
      <c r="CB34" s="96"/>
      <c r="CC34" s="97"/>
      <c r="CD34" s="97"/>
      <c r="CE34" s="98"/>
      <c r="CF34" s="87"/>
      <c r="CH34" s="99"/>
      <c r="CI34" s="99"/>
      <c r="CJ34" s="99"/>
      <c r="CK34" s="99"/>
      <c r="CL34" s="99"/>
      <c r="CM34" s="99"/>
      <c r="CN34" s="100"/>
      <c r="CO34" s="87"/>
      <c r="CQ34" s="85"/>
      <c r="CR34" s="85"/>
      <c r="CS34" s="99"/>
      <c r="CT34" s="101"/>
      <c r="CU34" s="102"/>
      <c r="CV34" s="99"/>
      <c r="CW34" s="99"/>
      <c r="CX34" s="85"/>
      <c r="CY34" s="87"/>
      <c r="DA34" s="85"/>
      <c r="DC34" s="99"/>
      <c r="DD34" s="103"/>
      <c r="DF34" s="103"/>
      <c r="DH34" s="95"/>
      <c r="DI34" s="104"/>
      <c r="DJ34" s="104"/>
      <c r="DK34" s="95"/>
      <c r="DL34" s="95"/>
      <c r="DM34" s="95"/>
      <c r="DN34" s="95"/>
      <c r="DO34" s="95"/>
      <c r="DP34" s="9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105"/>
      <c r="ED34" s="105"/>
      <c r="EE34" s="105"/>
      <c r="EF34" s="105"/>
      <c r="EG34" s="105"/>
      <c r="EI34" s="106"/>
      <c r="EJ34" s="107"/>
      <c r="EK34" s="107"/>
      <c r="EL34" s="107"/>
      <c r="EM34" s="107"/>
      <c r="EN34" s="107"/>
      <c r="EO34" s="108"/>
      <c r="EP34" s="108"/>
      <c r="EQ34" s="107"/>
      <c r="ER34" s="107"/>
      <c r="ES34" s="107"/>
      <c r="ET34" s="107"/>
      <c r="EU34" s="107"/>
      <c r="EV34" s="109"/>
      <c r="EW34" s="109"/>
      <c r="EX34" s="105"/>
      <c r="EY34" s="105"/>
      <c r="FA34" s="105"/>
      <c r="FB34" s="105"/>
      <c r="FC34" s="105"/>
      <c r="FD34" s="105"/>
      <c r="FE34" s="105"/>
      <c r="FG34" s="104"/>
      <c r="FH34" s="105"/>
      <c r="FI34" s="105"/>
      <c r="FJ34" s="105"/>
      <c r="FK34" s="105"/>
      <c r="FN34" s="110"/>
      <c r="FO34" s="110"/>
      <c r="FP34" s="110"/>
      <c r="FR34" s="105"/>
      <c r="FT34" s="111"/>
      <c r="FU34" s="111"/>
      <c r="FV34" s="111"/>
      <c r="FW34" s="105"/>
      <c r="FX34" s="105"/>
      <c r="FY34" s="105"/>
      <c r="FZ34" s="105"/>
      <c r="GA34" s="105"/>
      <c r="GB34" s="105"/>
      <c r="GC34" s="105"/>
    </row>
    <row r="35" spans="1:185" s="77" customFormat="1" ht="15.75">
      <c r="A35" s="85"/>
      <c r="B35" s="85"/>
      <c r="C35" s="137"/>
      <c r="D35" s="138"/>
      <c r="E35" s="139"/>
      <c r="F35" s="139"/>
      <c r="G35" s="139"/>
      <c r="H35" s="140"/>
      <c r="I35" s="139"/>
      <c r="J35" s="141"/>
      <c r="K35" s="81"/>
      <c r="M35" s="81"/>
      <c r="O35" s="81"/>
      <c r="P35" s="82"/>
      <c r="Q35" s="82"/>
      <c r="S35" s="82"/>
      <c r="V35" s="83"/>
      <c r="W35" s="84"/>
      <c r="Y35" s="85"/>
      <c r="Z35" s="85"/>
      <c r="AB35" s="86"/>
      <c r="AC35" s="86"/>
      <c r="AD35" s="87"/>
      <c r="AJ35" s="81"/>
      <c r="AL35" s="81"/>
      <c r="AN35" s="82"/>
      <c r="AO35" s="82"/>
      <c r="AP35" s="88"/>
      <c r="AQ35" s="89"/>
      <c r="AR35" s="112">
        <f t="shared" si="3"/>
        <v>20</v>
      </c>
      <c r="AS35" s="123"/>
      <c r="AT35" s="123"/>
      <c r="AU35" s="115"/>
      <c r="AV35" s="116"/>
      <c r="AW35" s="113"/>
      <c r="AX35" s="113" t="str">
        <f>'Data Sample'!G31</f>
        <v>P02A355</v>
      </c>
      <c r="AY35" s="113" t="str">
        <f>'Data Sample'!G1040</f>
        <v>V0857732443663</v>
      </c>
      <c r="AZ35" s="113" t="str">
        <f>'Data Sample'!G536</f>
        <v>AU0064-92-818</v>
      </c>
      <c r="BA35" s="118"/>
      <c r="BC35" s="119" t="str">
        <f t="shared" si="0"/>
        <v>P02A355 (20)</v>
      </c>
      <c r="BD35" s="119" t="str">
        <f t="shared" si="1"/>
        <v>V0857732443663 (20)</v>
      </c>
      <c r="BE35" s="119" t="str">
        <f t="shared" si="2"/>
        <v>AU0064-92-818 (20)</v>
      </c>
      <c r="BF35" s="95"/>
      <c r="BG35" s="91"/>
      <c r="BH35" s="86"/>
      <c r="BI35" s="87"/>
      <c r="BM35" s="95"/>
      <c r="BO35" s="85"/>
      <c r="BP35" s="88"/>
      <c r="BQ35" s="89"/>
      <c r="BS35" s="83"/>
      <c r="BT35" s="87"/>
      <c r="BW35" s="85"/>
      <c r="BX35" s="95"/>
      <c r="BY35" s="85"/>
      <c r="CA35" s="96"/>
      <c r="CB35" s="96"/>
      <c r="CC35" s="97"/>
      <c r="CD35" s="97"/>
      <c r="CE35" s="98"/>
      <c r="CF35" s="87"/>
      <c r="CH35" s="99"/>
      <c r="CI35" s="99"/>
      <c r="CJ35" s="99"/>
      <c r="CK35" s="99"/>
      <c r="CL35" s="99"/>
      <c r="CM35" s="99"/>
      <c r="CN35" s="100"/>
      <c r="CO35" s="87"/>
      <c r="CQ35" s="85"/>
      <c r="CR35" s="85"/>
      <c r="CS35" s="99"/>
      <c r="CT35" s="101"/>
      <c r="CU35" s="102"/>
      <c r="CV35" s="99"/>
      <c r="CW35" s="99"/>
      <c r="CX35" s="85"/>
      <c r="CY35" s="87"/>
      <c r="DA35" s="85"/>
      <c r="DC35" s="99"/>
      <c r="DD35" s="103"/>
      <c r="DF35" s="103"/>
      <c r="DH35" s="95"/>
      <c r="DI35" s="104"/>
      <c r="DJ35" s="104"/>
      <c r="DK35" s="95"/>
      <c r="DL35" s="95"/>
      <c r="DM35" s="95"/>
      <c r="DN35" s="95"/>
      <c r="DO35" s="95"/>
      <c r="DP35" s="95"/>
      <c r="DR35" s="105"/>
      <c r="DS35" s="105"/>
      <c r="DT35" s="105"/>
      <c r="DU35" s="105"/>
      <c r="DV35" s="105"/>
      <c r="DW35" s="105"/>
      <c r="DX35" s="105"/>
      <c r="DY35" s="105"/>
      <c r="DZ35" s="105"/>
      <c r="EA35" s="105"/>
      <c r="EB35" s="105"/>
      <c r="EC35" s="105"/>
      <c r="ED35" s="105"/>
      <c r="EE35" s="105"/>
      <c r="EF35" s="105"/>
      <c r="EG35" s="105"/>
      <c r="EI35" s="106"/>
      <c r="EJ35" s="107"/>
      <c r="EK35" s="107"/>
      <c r="EL35" s="107"/>
      <c r="EM35" s="107"/>
      <c r="EN35" s="107"/>
      <c r="EO35" s="108"/>
      <c r="EP35" s="108"/>
      <c r="EQ35" s="107"/>
      <c r="ER35" s="107"/>
      <c r="ES35" s="107"/>
      <c r="ET35" s="107"/>
      <c r="EU35" s="107"/>
      <c r="EV35" s="109"/>
      <c r="EW35" s="109"/>
      <c r="EX35" s="105"/>
      <c r="EY35" s="105"/>
      <c r="FA35" s="105"/>
      <c r="FB35" s="105"/>
      <c r="FC35" s="105"/>
      <c r="FD35" s="105"/>
      <c r="FE35" s="105"/>
      <c r="FG35" s="104"/>
      <c r="FH35" s="105"/>
      <c r="FI35" s="105"/>
      <c r="FJ35" s="105"/>
      <c r="FK35" s="105"/>
      <c r="FN35" s="110"/>
      <c r="FO35" s="110"/>
      <c r="FP35" s="110"/>
      <c r="FR35" s="105"/>
      <c r="FT35" s="111"/>
      <c r="FU35" s="111"/>
      <c r="FV35" s="111"/>
      <c r="FW35" s="105"/>
      <c r="FX35" s="105"/>
      <c r="FY35" s="105"/>
      <c r="FZ35" s="105"/>
      <c r="GA35" s="105"/>
      <c r="GB35" s="105"/>
      <c r="GC35" s="105"/>
    </row>
    <row r="36" spans="1:185" s="77" customFormat="1" ht="15.75">
      <c r="A36" s="85"/>
      <c r="B36" s="85"/>
      <c r="E36" s="121"/>
      <c r="F36" s="121"/>
      <c r="G36" s="121"/>
      <c r="H36" s="82"/>
      <c r="I36" s="121"/>
      <c r="J36" s="121"/>
      <c r="K36" s="81"/>
      <c r="M36" s="81"/>
      <c r="O36" s="81"/>
      <c r="P36" s="82"/>
      <c r="Q36" s="82"/>
      <c r="S36" s="142"/>
      <c r="T36" s="143"/>
      <c r="U36" s="143"/>
      <c r="V36" s="144"/>
      <c r="W36" s="145"/>
      <c r="X36" s="143"/>
      <c r="Y36" s="146"/>
      <c r="Z36" s="146"/>
      <c r="AA36" s="143"/>
      <c r="AB36" s="144"/>
      <c r="AC36" s="144"/>
      <c r="AD36" s="144"/>
      <c r="AE36" s="143"/>
      <c r="AF36" s="143"/>
      <c r="AG36" s="143"/>
      <c r="AH36" s="143"/>
      <c r="AJ36" s="81"/>
      <c r="AL36" s="81"/>
      <c r="AN36" s="82"/>
      <c r="AO36" s="82"/>
      <c r="AP36" s="88"/>
      <c r="AQ36" s="89"/>
      <c r="AR36" s="112">
        <f t="shared" si="3"/>
        <v>21</v>
      </c>
      <c r="AS36" s="123"/>
      <c r="AT36" s="123"/>
      <c r="AU36" s="115"/>
      <c r="AV36" s="116"/>
      <c r="AW36" s="113"/>
      <c r="AX36" s="113" t="str">
        <f>'Data Sample'!G32</f>
        <v>P02A519</v>
      </c>
      <c r="AY36" s="113" t="str">
        <f>'Data Sample'!G1041</f>
        <v>V0387894152869</v>
      </c>
      <c r="AZ36" s="113" t="str">
        <f>'Data Sample'!G537</f>
        <v>AU0057-69-282</v>
      </c>
      <c r="BA36" s="118"/>
      <c r="BC36" s="119" t="str">
        <f t="shared" si="0"/>
        <v>P02A519 (21)</v>
      </c>
      <c r="BD36" s="119" t="str">
        <f t="shared" si="1"/>
        <v>V0387894152869 (21)</v>
      </c>
      <c r="BE36" s="119" t="str">
        <f t="shared" si="2"/>
        <v>AU0057-69-282 (21)</v>
      </c>
      <c r="BF36" s="95"/>
      <c r="BG36" s="91"/>
      <c r="BH36" s="86"/>
      <c r="BI36" s="87"/>
      <c r="BM36" s="95"/>
      <c r="BO36" s="85"/>
      <c r="BP36" s="88"/>
      <c r="BQ36" s="89"/>
      <c r="BS36" s="83"/>
      <c r="BT36" s="87"/>
      <c r="BW36" s="85"/>
      <c r="BX36" s="95"/>
      <c r="BY36" s="85"/>
      <c r="CA36" s="96"/>
      <c r="CB36" s="96"/>
      <c r="CC36" s="97"/>
      <c r="CD36" s="97"/>
      <c r="CE36" s="98"/>
      <c r="CF36" s="87"/>
      <c r="CH36" s="99"/>
      <c r="CI36" s="99"/>
      <c r="CJ36" s="99"/>
      <c r="CK36" s="99"/>
      <c r="CL36" s="99"/>
      <c r="CM36" s="99"/>
      <c r="CN36" s="100"/>
      <c r="CO36" s="87"/>
      <c r="CQ36" s="85"/>
      <c r="CR36" s="85"/>
      <c r="CS36" s="99"/>
      <c r="CT36" s="101"/>
      <c r="CU36" s="102"/>
      <c r="CV36" s="99"/>
      <c r="CW36" s="99"/>
      <c r="CX36" s="85"/>
      <c r="CY36" s="87"/>
      <c r="DA36" s="85"/>
      <c r="DC36" s="99"/>
      <c r="DD36" s="103"/>
      <c r="DF36" s="103"/>
      <c r="DH36" s="95"/>
      <c r="DI36" s="104"/>
      <c r="DJ36" s="104"/>
      <c r="DK36" s="95"/>
      <c r="DL36" s="95"/>
      <c r="DM36" s="95"/>
      <c r="DN36" s="95"/>
      <c r="DO36" s="95"/>
      <c r="DP36" s="95"/>
      <c r="DR36" s="105"/>
      <c r="DS36" s="105"/>
      <c r="DT36" s="105"/>
      <c r="DU36" s="105"/>
      <c r="DV36" s="105"/>
      <c r="DW36" s="105"/>
      <c r="DX36" s="105"/>
      <c r="DY36" s="105"/>
      <c r="DZ36" s="105"/>
      <c r="EA36" s="105"/>
      <c r="EB36" s="105"/>
      <c r="EC36" s="105"/>
      <c r="ED36" s="105"/>
      <c r="EE36" s="105"/>
      <c r="EF36" s="105"/>
      <c r="EG36" s="105"/>
      <c r="EI36" s="106"/>
      <c r="EJ36" s="107"/>
      <c r="EK36" s="107"/>
      <c r="EL36" s="107"/>
      <c r="EM36" s="107"/>
      <c r="EN36" s="107"/>
      <c r="EO36" s="108"/>
      <c r="EP36" s="108"/>
      <c r="EQ36" s="107"/>
      <c r="ER36" s="107"/>
      <c r="ES36" s="107"/>
      <c r="ET36" s="107"/>
      <c r="EU36" s="107"/>
      <c r="EV36" s="109"/>
      <c r="EW36" s="109"/>
      <c r="EX36" s="105"/>
      <c r="EY36" s="105"/>
      <c r="FA36" s="105"/>
      <c r="FB36" s="105"/>
      <c r="FC36" s="105"/>
      <c r="FD36" s="105"/>
      <c r="FE36" s="105"/>
      <c r="FG36" s="104"/>
      <c r="FH36" s="105"/>
      <c r="FI36" s="105"/>
      <c r="FJ36" s="105"/>
      <c r="FK36" s="105"/>
      <c r="FN36" s="110"/>
      <c r="FO36" s="110"/>
      <c r="FP36" s="110"/>
      <c r="FR36" s="105"/>
      <c r="FT36" s="111"/>
      <c r="FU36" s="111"/>
      <c r="FV36" s="111"/>
      <c r="FW36" s="105"/>
      <c r="FX36" s="105"/>
      <c r="FY36" s="105"/>
      <c r="FZ36" s="105"/>
      <c r="GA36" s="105"/>
      <c r="GB36" s="105"/>
      <c r="GC36" s="105"/>
    </row>
    <row r="37" spans="1:185" ht="15.75" thickBot="1">
      <c r="H37" s="63"/>
      <c r="K37"/>
      <c r="L37" s="63"/>
      <c r="N37" s="63" t="s">
        <v>81</v>
      </c>
      <c r="O37"/>
      <c r="AR37" s="112">
        <f t="shared" si="3"/>
        <v>22</v>
      </c>
      <c r="AS37" s="123"/>
      <c r="AT37" s="123"/>
      <c r="AU37" s="115"/>
      <c r="AV37" s="116"/>
      <c r="AW37" s="113"/>
      <c r="AX37" s="113" t="str">
        <f>'Data Sample'!G33</f>
        <v>P02A459</v>
      </c>
      <c r="AY37" s="113" t="str">
        <f>'Data Sample'!G1042</f>
        <v>V0604791123472</v>
      </c>
      <c r="AZ37" s="113" t="str">
        <f>'Data Sample'!G538</f>
        <v>AU0024-00-416</v>
      </c>
      <c r="BA37" s="118"/>
      <c r="BC37" s="119" t="str">
        <f t="shared" si="0"/>
        <v>P02A459 (22)</v>
      </c>
      <c r="BD37" s="119" t="str">
        <f t="shared" si="1"/>
        <v>V0604791123472 (22)</v>
      </c>
      <c r="BE37" s="119" t="str">
        <f t="shared" si="2"/>
        <v>AU0024-00-416 (22)</v>
      </c>
    </row>
    <row r="38" spans="1:185" ht="16.5" thickBot="1">
      <c r="C38" s="886" t="s">
        <v>82</v>
      </c>
      <c r="D38" s="887"/>
      <c r="E38" s="887"/>
      <c r="F38" s="887"/>
      <c r="G38" s="887"/>
      <c r="H38" s="887"/>
      <c r="I38" s="887"/>
      <c r="J38" s="887"/>
      <c r="K38" s="887"/>
      <c r="L38" s="887"/>
      <c r="M38" s="888"/>
      <c r="N38" s="147"/>
      <c r="O38" s="147"/>
      <c r="P38" s="147"/>
      <c r="Q38" s="147"/>
      <c r="R38" s="51"/>
      <c r="S38" s="51"/>
      <c r="T38" s="51"/>
      <c r="U38" s="51"/>
      <c r="V38" s="51"/>
      <c r="W38" s="51"/>
      <c r="AD38" s="148"/>
      <c r="AR38" s="112">
        <f t="shared" si="3"/>
        <v>23</v>
      </c>
      <c r="AS38" s="149"/>
      <c r="AT38" s="149"/>
      <c r="AU38" s="149"/>
      <c r="AV38" s="149"/>
      <c r="AW38" s="149"/>
      <c r="AX38" s="113" t="str">
        <f>'Data Sample'!G34</f>
        <v>P02A477</v>
      </c>
      <c r="AY38" s="113" t="str">
        <f>'Data Sample'!G1043</f>
        <v>V0318270395624</v>
      </c>
      <c r="AZ38" s="113" t="str">
        <f>'Data Sample'!G539</f>
        <v>AU0020-63-787</v>
      </c>
      <c r="BA38" s="118"/>
      <c r="BC38" s="119" t="str">
        <f t="shared" si="0"/>
        <v>P02A477 (23)</v>
      </c>
      <c r="BD38" s="119" t="str">
        <f t="shared" si="1"/>
        <v>V0318270395624 (23)</v>
      </c>
      <c r="BE38" s="119" t="str">
        <f t="shared" si="2"/>
        <v>AU0020-63-787 (23)</v>
      </c>
    </row>
    <row r="39" spans="1:185">
      <c r="E39" s="63"/>
      <c r="F39" s="63"/>
      <c r="G39" s="63"/>
      <c r="K39" s="63" t="s">
        <v>81</v>
      </c>
      <c r="M39"/>
      <c r="N39"/>
      <c r="O39"/>
      <c r="AR39" s="112">
        <f t="shared" si="3"/>
        <v>24</v>
      </c>
      <c r="AS39" s="149"/>
      <c r="AT39" s="149"/>
      <c r="AU39" s="149"/>
      <c r="AV39" s="149"/>
      <c r="AW39" s="149"/>
      <c r="AX39" s="113" t="str">
        <f>'Data Sample'!G35</f>
        <v>P02A698</v>
      </c>
      <c r="AY39" s="113" t="str">
        <f>'Data Sample'!G1044</f>
        <v>V0308977008021</v>
      </c>
      <c r="AZ39" s="113" t="str">
        <f>'Data Sample'!G540</f>
        <v>AU0059-65-649</v>
      </c>
      <c r="BA39" s="118"/>
      <c r="BC39" s="119" t="str">
        <f t="shared" si="0"/>
        <v>P02A698 (24)</v>
      </c>
      <c r="BD39" s="119" t="str">
        <f t="shared" si="1"/>
        <v>V0308977008021 (24)</v>
      </c>
      <c r="BE39" s="119" t="str">
        <f t="shared" si="2"/>
        <v>AU0059-65-649 (24)</v>
      </c>
    </row>
    <row r="40" spans="1:185">
      <c r="E40" s="63"/>
      <c r="F40" s="63"/>
      <c r="G40" s="63"/>
      <c r="M40"/>
      <c r="N40"/>
      <c r="O40"/>
      <c r="AR40" s="112">
        <f t="shared" si="3"/>
        <v>25</v>
      </c>
      <c r="AS40" s="149"/>
      <c r="AT40" s="149"/>
      <c r="AU40" s="149"/>
      <c r="AV40" s="149"/>
      <c r="AW40" s="149"/>
      <c r="AX40" s="113" t="str">
        <f>'Data Sample'!G36</f>
        <v>P02A30</v>
      </c>
      <c r="AY40" s="113" t="str">
        <f>'Data Sample'!G1045</f>
        <v>V0085538400085</v>
      </c>
      <c r="AZ40" s="113" t="str">
        <f>'Data Sample'!G541</f>
        <v>AU0011-15-889</v>
      </c>
      <c r="BA40" s="118"/>
      <c r="BC40" s="119" t="str">
        <f t="shared" si="0"/>
        <v>P02A30 (25)</v>
      </c>
      <c r="BD40" s="119" t="str">
        <f t="shared" si="1"/>
        <v>V0085538400085 (25)</v>
      </c>
      <c r="BE40" s="119" t="str">
        <f t="shared" si="2"/>
        <v>AU0011-15-889 (25)</v>
      </c>
    </row>
    <row r="41" spans="1:185">
      <c r="E41" s="63"/>
      <c r="F41" s="63"/>
      <c r="G41" s="63"/>
      <c r="M41"/>
      <c r="N41"/>
      <c r="O41"/>
      <c r="AR41" s="112">
        <f t="shared" ref="AR41:AR79" si="6">1+AR40</f>
        <v>26</v>
      </c>
      <c r="AS41" s="149"/>
      <c r="AT41" s="149"/>
      <c r="AU41" s="149"/>
      <c r="AV41" s="149"/>
      <c r="AW41" s="149"/>
      <c r="AX41" s="113" t="str">
        <f>'Data Sample'!G37</f>
        <v>P02A815</v>
      </c>
      <c r="AY41" s="113" t="str">
        <f>'Data Sample'!G1046</f>
        <v>V0934556209188</v>
      </c>
      <c r="AZ41" s="113" t="str">
        <f>'Data Sample'!G542</f>
        <v>AU0060-82-164</v>
      </c>
      <c r="BA41" s="118"/>
      <c r="BC41" s="119" t="str">
        <f t="shared" si="0"/>
        <v>P02A815 (26)</v>
      </c>
      <c r="BD41" s="119" t="str">
        <f t="shared" si="1"/>
        <v>V0934556209188 (26)</v>
      </c>
      <c r="BE41" s="119" t="str">
        <f t="shared" si="2"/>
        <v>AU0060-82-164 (26)</v>
      </c>
    </row>
    <row r="42" spans="1:185" ht="16.5" thickBot="1">
      <c r="C42" s="150" t="s">
        <v>7</v>
      </c>
      <c r="D42" s="151" t="str">
        <f>IFERROR(VALUE(LEFT(D6,IFERROR(FIND(" ",D6),LEN(D6)+1)-1)),LEFT(D6,IFERROR(FIND(" ",D6),LEN(D6)+1)-1))</f>
        <v>AU0014-76-845</v>
      </c>
      <c r="E42" s="152" t="s">
        <v>81</v>
      </c>
      <c r="F42" s="150" t="s">
        <v>9</v>
      </c>
      <c r="G42" s="153" t="str">
        <f>IFERROR(VALUE(LEFT(D7,IFERROR(FIND(" ",D7),LEN(D7)+1)-1)),LEFT(D7,IFERROR(FIND(" ",D7),LEN(D7)+1)-1))</f>
        <v>V0908500462562</v>
      </c>
      <c r="H42" s="152"/>
      <c r="I42" s="150" t="s">
        <v>10</v>
      </c>
      <c r="J42" s="153" t="str">
        <f>IFERROR(VALUE(LEFT(D8,IFERROR(FIND(" ",D8),LEN(D8)+1)-1)),LEFT(D8,IFERROR(FIND(" ",D8),LEN(D8)+1)-1))</f>
        <v>P02A122</v>
      </c>
      <c r="K42" s="152" t="s">
        <v>81</v>
      </c>
      <c r="L42" s="150" t="s">
        <v>83</v>
      </c>
      <c r="M42" s="153">
        <v>1</v>
      </c>
      <c r="N42" s="152"/>
      <c r="O42" s="152"/>
      <c r="AD42" s="148"/>
      <c r="AR42" s="112">
        <f t="shared" si="6"/>
        <v>27</v>
      </c>
      <c r="AS42" s="149"/>
      <c r="AT42" s="149"/>
      <c r="AU42" s="149"/>
      <c r="AV42" s="149"/>
      <c r="AW42" s="149"/>
      <c r="AX42" s="113" t="str">
        <f>'Data Sample'!G38</f>
        <v>P02A451</v>
      </c>
      <c r="AY42" s="113" t="str">
        <f>'Data Sample'!G1047</f>
        <v>V0613562813408</v>
      </c>
      <c r="AZ42" s="113" t="str">
        <f>'Data Sample'!G543</f>
        <v>AU0029-58-377</v>
      </c>
      <c r="BA42" s="118"/>
      <c r="BC42" s="119" t="str">
        <f t="shared" si="0"/>
        <v>P02A451 (27)</v>
      </c>
      <c r="BD42" s="119" t="str">
        <f t="shared" si="1"/>
        <v>V0613562813408 (27)</v>
      </c>
      <c r="BE42" s="119" t="str">
        <f t="shared" si="2"/>
        <v>AU0029-58-377 (27)</v>
      </c>
    </row>
    <row r="43" spans="1:185" ht="15.75" thickTop="1">
      <c r="C43" s="889" t="str">
        <f>D6</f>
        <v>AU0014-76-845 (1)</v>
      </c>
      <c r="D43" s="890"/>
      <c r="F43" s="889" t="str">
        <f>D7</f>
        <v>V0908500462562 (1)</v>
      </c>
      <c r="G43" s="890"/>
      <c r="I43" s="889" t="str">
        <f>D8</f>
        <v>P02A122 (1)</v>
      </c>
      <c r="J43" s="890"/>
      <c r="K43" s="82" t="s">
        <v>81</v>
      </c>
      <c r="L43" s="889" t="str">
        <f>D9</f>
        <v>Gross Total Premium</v>
      </c>
      <c r="M43" s="890"/>
      <c r="N43" s="154"/>
      <c r="O43" s="154"/>
      <c r="P43" s="50"/>
      <c r="Q43" s="50"/>
      <c r="R43" s="50" t="s">
        <v>81</v>
      </c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R43" s="112">
        <f t="shared" si="6"/>
        <v>28</v>
      </c>
      <c r="AS43" s="149"/>
      <c r="AT43" s="149"/>
      <c r="AU43" s="149"/>
      <c r="AV43" s="149"/>
      <c r="AW43" s="149"/>
      <c r="AX43" s="113" t="str">
        <f>'Data Sample'!G39</f>
        <v>P02A125</v>
      </c>
      <c r="AY43" s="113" t="str">
        <f>'Data Sample'!G1048</f>
        <v>V0198387713101</v>
      </c>
      <c r="AZ43" s="113" t="str">
        <f>'Data Sample'!G544</f>
        <v>AU0018-26-738</v>
      </c>
      <c r="BA43" s="118"/>
      <c r="BC43" s="119" t="str">
        <f t="shared" si="0"/>
        <v>P02A125 (28)</v>
      </c>
      <c r="BD43" s="119" t="str">
        <f t="shared" si="1"/>
        <v>V0198387713101 (28)</v>
      </c>
      <c r="BE43" s="119" t="str">
        <f t="shared" si="2"/>
        <v>AU0018-26-738 (28)</v>
      </c>
    </row>
    <row r="44" spans="1:185">
      <c r="C44" s="891"/>
      <c r="D44" s="892"/>
      <c r="F44" s="891"/>
      <c r="G44" s="892"/>
      <c r="I44" s="891"/>
      <c r="J44" s="892"/>
      <c r="K44" s="82"/>
      <c r="L44" s="891"/>
      <c r="M44" s="892"/>
      <c r="N44" s="154"/>
      <c r="O44" s="154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148"/>
      <c r="AE44" s="50"/>
      <c r="AO44" s="155"/>
      <c r="AR44" s="112">
        <f t="shared" si="6"/>
        <v>29</v>
      </c>
      <c r="AS44" s="149"/>
      <c r="AT44" s="149"/>
      <c r="AU44" s="149"/>
      <c r="AV44" s="149"/>
      <c r="AW44" s="149"/>
      <c r="AX44" s="113" t="str">
        <f>'Data Sample'!G40</f>
        <v>P02A10</v>
      </c>
      <c r="AY44" s="113" t="str">
        <f>'Data Sample'!G1049</f>
        <v>V0913753312091</v>
      </c>
      <c r="AZ44" s="113" t="str">
        <f>'Data Sample'!G545</f>
        <v>AU0075-29-917</v>
      </c>
      <c r="BA44" s="118"/>
      <c r="BC44" s="119" t="str">
        <f t="shared" si="0"/>
        <v>P02A10 (29)</v>
      </c>
      <c r="BD44" s="119" t="str">
        <f t="shared" si="1"/>
        <v>V0913753312091 (29)</v>
      </c>
      <c r="BE44" s="119" t="str">
        <f t="shared" si="2"/>
        <v>AU0075-29-917 (29)</v>
      </c>
    </row>
    <row r="45" spans="1:185">
      <c r="B45" s="124"/>
      <c r="C45" s="156" t="s">
        <v>84</v>
      </c>
      <c r="D45" s="157" t="e">
        <f>PGENDER(C43)</f>
        <v>#REF!</v>
      </c>
      <c r="F45" s="156" t="s">
        <v>85</v>
      </c>
      <c r="G45" s="157" t="e">
        <f>REDBOOKCODE(F43)</f>
        <v>#REF!</v>
      </c>
      <c r="I45" s="158" t="s">
        <v>86</v>
      </c>
      <c r="J45" s="159" t="e">
        <f>DRIVERAGERESTRICTION(I43)</f>
        <v>#REF!</v>
      </c>
      <c r="K45" s="82" t="s">
        <v>81</v>
      </c>
      <c r="L45" s="158" t="s">
        <v>87</v>
      </c>
      <c r="M45" s="159" t="e">
        <f>COVERTYPE(L43)</f>
        <v>#REF!</v>
      </c>
      <c r="N45" s="152" t="s">
        <v>81</v>
      </c>
      <c r="O45" s="16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R45" s="112">
        <f t="shared" si="6"/>
        <v>30</v>
      </c>
      <c r="AS45" s="149"/>
      <c r="AT45" s="149"/>
      <c r="AU45" s="149"/>
      <c r="AV45" s="149"/>
      <c r="AW45" s="149"/>
      <c r="AX45" s="113" t="str">
        <f>'Data Sample'!G41</f>
        <v>P02A62</v>
      </c>
      <c r="AY45" s="113" t="str">
        <f>'Data Sample'!G1050</f>
        <v>V0868645657521</v>
      </c>
      <c r="AZ45" s="113" t="str">
        <f>'Data Sample'!G546</f>
        <v>AU0037-22-480</v>
      </c>
      <c r="BA45" s="118"/>
      <c r="BC45" s="119" t="str">
        <f t="shared" si="0"/>
        <v>P02A62 (30)</v>
      </c>
      <c r="BD45" s="119" t="str">
        <f t="shared" si="1"/>
        <v>V0868645657521 (30)</v>
      </c>
      <c r="BE45" s="119" t="str">
        <f t="shared" si="2"/>
        <v>AU0037-22-480 (30)</v>
      </c>
    </row>
    <row r="46" spans="1:185">
      <c r="B46" s="124"/>
      <c r="C46" s="156" t="s">
        <v>88</v>
      </c>
      <c r="D46" s="157" t="e">
        <f>P_AGE(D42)</f>
        <v>#REF!</v>
      </c>
      <c r="F46" s="156" t="s">
        <v>89</v>
      </c>
      <c r="G46" s="161" t="e">
        <f>UPPER(DAY_TIME_SUBURB(F43))</f>
        <v>#REF!</v>
      </c>
      <c r="H46" t="s">
        <v>81</v>
      </c>
      <c r="I46" s="156" t="s">
        <v>90</v>
      </c>
      <c r="J46" s="162" t="e">
        <f>EXCESS(I43)</f>
        <v>#REF!</v>
      </c>
      <c r="K46" s="82" t="s">
        <v>81</v>
      </c>
      <c r="L46" s="135"/>
      <c r="M46" s="133"/>
      <c r="N46" s="152"/>
      <c r="O46" s="5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R46" s="112">
        <f t="shared" si="6"/>
        <v>31</v>
      </c>
      <c r="AS46" s="149"/>
      <c r="AT46" s="149"/>
      <c r="AU46" s="149"/>
      <c r="AV46" s="149"/>
      <c r="AW46" s="149"/>
      <c r="AX46" s="113" t="str">
        <f>'Data Sample'!G42</f>
        <v>P02A239</v>
      </c>
      <c r="AY46" s="113" t="str">
        <f>'Data Sample'!G1051</f>
        <v>V0603488484636</v>
      </c>
      <c r="AZ46" s="113" t="str">
        <f>'Data Sample'!G547</f>
        <v>AU0083-70-903</v>
      </c>
      <c r="BA46" s="118"/>
      <c r="BC46" s="119" t="str">
        <f t="shared" si="0"/>
        <v>P02A239 (31)</v>
      </c>
      <c r="BD46" s="119" t="str">
        <f t="shared" si="1"/>
        <v>V0603488484636 (31)</v>
      </c>
      <c r="BE46" s="119" t="str">
        <f t="shared" si="2"/>
        <v>AU0083-70-903 (31)</v>
      </c>
    </row>
    <row r="47" spans="1:185">
      <c r="B47" s="124"/>
      <c r="C47" s="156" t="s">
        <v>91</v>
      </c>
      <c r="D47" s="157" t="e">
        <f>PMARITAL_STATUS(C43)</f>
        <v>#REF!</v>
      </c>
      <c r="F47" s="156" t="s">
        <v>92</v>
      </c>
      <c r="G47" s="161" t="e">
        <f>UPPER(NIGHT_SUBURB(F43))</f>
        <v>#REF!</v>
      </c>
      <c r="H47" t="s">
        <v>81</v>
      </c>
      <c r="I47" s="156" t="s">
        <v>93</v>
      </c>
      <c r="J47" s="162" t="e">
        <f>SUMINSURED(I43)</f>
        <v>#REF!</v>
      </c>
      <c r="K47" s="82" t="s">
        <v>81</v>
      </c>
      <c r="L47" s="135"/>
      <c r="M47" s="133"/>
      <c r="N47" s="152"/>
      <c r="O47" s="5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R47" s="112">
        <f t="shared" si="6"/>
        <v>32</v>
      </c>
      <c r="AS47" s="149"/>
      <c r="AT47" s="149"/>
      <c r="AU47" s="149"/>
      <c r="AV47" s="149"/>
      <c r="AW47" s="149"/>
      <c r="AX47" s="113" t="str">
        <f>'Data Sample'!G43</f>
        <v>P02A657</v>
      </c>
      <c r="AY47" s="113" t="str">
        <f>'Data Sample'!G1052</f>
        <v>V0245542249213</v>
      </c>
      <c r="AZ47" s="113" t="str">
        <f>'Data Sample'!G548</f>
        <v>AU0016-68-246</v>
      </c>
      <c r="BA47" s="118"/>
      <c r="BC47" s="119" t="str">
        <f t="shared" si="0"/>
        <v>P02A657 (32)</v>
      </c>
      <c r="BD47" s="119" t="str">
        <f t="shared" si="1"/>
        <v>V0245542249213 (32)</v>
      </c>
      <c r="BE47" s="119" t="str">
        <f t="shared" si="2"/>
        <v>AU0016-68-246 (32)</v>
      </c>
    </row>
    <row r="48" spans="1:185">
      <c r="B48" s="124"/>
      <c r="C48" s="163" t="s">
        <v>94</v>
      </c>
      <c r="D48" s="164" t="e">
        <f>PYEAR_LICENCE_OBTAINED(C43)</f>
        <v>#REF!</v>
      </c>
      <c r="F48" s="156" t="s">
        <v>95</v>
      </c>
      <c r="G48" s="157" t="e">
        <f>TVEHICLELARGE(G45,"Vehicle","MakeYear")</f>
        <v>#REF!</v>
      </c>
      <c r="I48" s="156" t="s">
        <v>96</v>
      </c>
      <c r="J48" s="162" t="e">
        <f>KM_PURCHASED(I43)</f>
        <v>#REF!</v>
      </c>
      <c r="K48" s="82" t="s">
        <v>81</v>
      </c>
      <c r="L48" s="135"/>
      <c r="M48" s="133"/>
      <c r="N48" s="152"/>
      <c r="O48" s="5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R48" s="112">
        <f t="shared" si="6"/>
        <v>33</v>
      </c>
      <c r="AS48" s="149"/>
      <c r="AT48" s="149"/>
      <c r="AU48" s="149"/>
      <c r="AV48" s="149"/>
      <c r="AW48" s="149"/>
      <c r="AX48" s="113" t="str">
        <f>'Data Sample'!G44</f>
        <v>P02A990</v>
      </c>
      <c r="AY48" s="113" t="str">
        <f>'Data Sample'!G1053</f>
        <v>V0628256039725</v>
      </c>
      <c r="AZ48" s="113" t="str">
        <f>'Data Sample'!G549</f>
        <v>AU0051-84-542</v>
      </c>
      <c r="BA48" s="118"/>
      <c r="BC48" s="119" t="str">
        <f t="shared" si="0"/>
        <v>P02A990 (33)</v>
      </c>
      <c r="BD48" s="119" t="str">
        <f t="shared" si="1"/>
        <v>V0628256039725 (33)</v>
      </c>
      <c r="BE48" s="119" t="str">
        <f t="shared" si="2"/>
        <v>AU0051-84-542 (33)</v>
      </c>
    </row>
    <row r="49" spans="2:57">
      <c r="B49" s="124"/>
      <c r="C49" s="156" t="s">
        <v>97</v>
      </c>
      <c r="D49" s="164" t="e">
        <f>YEAR($J$1)-D48</f>
        <v>#REF!</v>
      </c>
      <c r="E49" s="165"/>
      <c r="F49" s="166" t="s">
        <v>98</v>
      </c>
      <c r="G49" s="157" t="e">
        <f>INT((YEAR($J$1)-G48)/5)*5</f>
        <v>#REF!</v>
      </c>
      <c r="I49" s="773"/>
      <c r="J49" s="774"/>
      <c r="K49" s="82" t="s">
        <v>81</v>
      </c>
      <c r="L49" s="135"/>
      <c r="M49" s="133"/>
      <c r="N49" s="152"/>
      <c r="O49" s="5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R49" s="112">
        <f t="shared" si="6"/>
        <v>34</v>
      </c>
      <c r="AS49" s="149"/>
      <c r="AT49" s="149"/>
      <c r="AU49" s="149"/>
      <c r="AV49" s="149"/>
      <c r="AW49" s="149"/>
      <c r="AX49" s="113" t="str">
        <f>'Data Sample'!G45</f>
        <v>P02A379</v>
      </c>
      <c r="AY49" s="113" t="str">
        <f>'Data Sample'!G1054</f>
        <v>V0366632946368</v>
      </c>
      <c r="AZ49" s="113" t="str">
        <f>'Data Sample'!G550</f>
        <v>AU0096-87-145</v>
      </c>
      <c r="BA49" s="118"/>
      <c r="BC49" s="119" t="str">
        <f t="shared" si="0"/>
        <v>P02A379 (34)</v>
      </c>
      <c r="BD49" s="119" t="str">
        <f t="shared" si="1"/>
        <v>V0366632946368 (34)</v>
      </c>
      <c r="BE49" s="119" t="str">
        <f t="shared" si="2"/>
        <v>AU0096-87-145 (34)</v>
      </c>
    </row>
    <row r="50" spans="2:57">
      <c r="B50" s="124"/>
      <c r="C50" s="156" t="s">
        <v>99</v>
      </c>
      <c r="D50" s="157" t="e">
        <f>VLOOKUP(D49,tOther!G29:G42,1,TRUE)</f>
        <v>#REF!</v>
      </c>
      <c r="E50" s="165"/>
      <c r="F50" s="167" t="s">
        <v>100</v>
      </c>
      <c r="G50" s="168" t="e">
        <f>TBASELE(0,0)</f>
        <v>#REF!</v>
      </c>
      <c r="H50" s="169">
        <v>50</v>
      </c>
      <c r="I50" s="170"/>
      <c r="J50" s="157"/>
      <c r="K50" s="82" t="s">
        <v>81</v>
      </c>
      <c r="L50" s="135"/>
      <c r="M50" s="133"/>
      <c r="N50" s="51"/>
      <c r="O50" s="5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R50" s="112">
        <f t="shared" si="6"/>
        <v>35</v>
      </c>
      <c r="AS50" s="149"/>
      <c r="AT50" s="149"/>
      <c r="AU50" s="149"/>
      <c r="AV50" s="149"/>
      <c r="AW50" s="149"/>
      <c r="AX50" s="113" t="str">
        <f>'Data Sample'!G46</f>
        <v>P02A771</v>
      </c>
      <c r="AY50" s="113" t="str">
        <f>'Data Sample'!G1055</f>
        <v>V0426863967307</v>
      </c>
      <c r="AZ50" s="113" t="str">
        <f>'Data Sample'!G551</f>
        <v>AU0069-20-153</v>
      </c>
      <c r="BA50" s="118"/>
      <c r="BC50" s="119" t="str">
        <f t="shared" si="0"/>
        <v>P02A771 (35)</v>
      </c>
      <c r="BD50" s="119" t="str">
        <f t="shared" si="1"/>
        <v>V0426863967307 (35)</v>
      </c>
      <c r="BE50" s="119" t="str">
        <f t="shared" si="2"/>
        <v>AU0069-20-153 (35)</v>
      </c>
    </row>
    <row r="51" spans="2:57">
      <c r="B51" s="124"/>
      <c r="C51" s="156" t="s">
        <v>101</v>
      </c>
      <c r="D51" s="157" t="e">
        <f>CLAIM_5YR(C43)</f>
        <v>#REF!</v>
      </c>
      <c r="E51" s="165"/>
      <c r="F51" s="171" t="s">
        <v>102</v>
      </c>
      <c r="G51" s="172" t="e">
        <f t="array" ref="G51">IF(EXTRA_ID(1,$F$43)=99,1,IF(ISNA($G$50)=FALSE,COUNT(IF($G$50*offirst($H$50)/offirst($H$50)=EXTRA_ID(offirst($H$50),$F$43),"",EXTRA_ID(offirst($H$50),$F$43))),COUNT(EXTRA_ID(offirst($H$50),$F$43))))</f>
        <v>#REF!</v>
      </c>
      <c r="H51" s="172"/>
      <c r="I51" s="173"/>
      <c r="J51" s="157"/>
      <c r="K51" s="82" t="s">
        <v>81</v>
      </c>
      <c r="L51" s="135"/>
      <c r="M51" s="133"/>
      <c r="N51" s="51"/>
      <c r="O51" s="5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R51" s="112">
        <f t="shared" si="6"/>
        <v>36</v>
      </c>
      <c r="AS51" s="149"/>
      <c r="AT51" s="149"/>
      <c r="AU51" s="149"/>
      <c r="AV51" s="149"/>
      <c r="AW51" s="149"/>
      <c r="AX51" s="113" t="str">
        <f>'Data Sample'!G47</f>
        <v>P02A116</v>
      </c>
      <c r="AY51" s="113" t="str">
        <f>'Data Sample'!G1056</f>
        <v>V0350986405526</v>
      </c>
      <c r="AZ51" s="113" t="str">
        <f>'Data Sample'!G552</f>
        <v>AU0072-64-745</v>
      </c>
      <c r="BA51" s="118"/>
      <c r="BC51" s="119" t="str">
        <f t="shared" si="0"/>
        <v>P02A116 (36)</v>
      </c>
      <c r="BD51" s="119" t="str">
        <f t="shared" si="1"/>
        <v>V0350986405526 (36)</v>
      </c>
      <c r="BE51" s="119" t="str">
        <f t="shared" si="2"/>
        <v>AU0072-64-745 (36)</v>
      </c>
    </row>
    <row r="52" spans="2:57">
      <c r="B52" s="124"/>
      <c r="C52" s="156" t="s">
        <v>103</v>
      </c>
      <c r="D52" s="157" t="e">
        <f>OWN_OTHER_VEHICLE(C43)</f>
        <v>#REF!</v>
      </c>
      <c r="F52" s="174" t="s">
        <v>104</v>
      </c>
      <c r="G52" s="175" t="e">
        <f ca="1">IF(EXTRA_ID(EXTRAS(1,$F$43))=99,  0, IF(ISNA($G$50)=FALSE, SUM( IF($G$50*offirst($H$50)/offirst($H$50)=EXTRA_ID(EXTRAS(offirst($H$50),$F$43)),  0, TEXTRASLE(EXTRA_ID(EXTRAS(offirst($H$50),$F$43)),iQuote_Version)  ) ),  SUM(IFERROR(TEXTRASLE(EXTRA_ID(EXTRAS(offirst($H$50),$F$43)),iQuote_Version),0)) ) )</f>
        <v>#NAME?</v>
      </c>
      <c r="H52" s="175"/>
      <c r="I52" s="773"/>
      <c r="J52" s="774"/>
      <c r="K52" s="152" t="s">
        <v>81</v>
      </c>
      <c r="L52" s="176"/>
      <c r="M52" s="177"/>
      <c r="N52" s="51"/>
      <c r="O52" s="5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R52" s="112">
        <f t="shared" si="6"/>
        <v>37</v>
      </c>
      <c r="AS52" s="149"/>
      <c r="AT52" s="149"/>
      <c r="AU52" s="149"/>
      <c r="AV52" s="149"/>
      <c r="AW52" s="149"/>
      <c r="AX52" s="113" t="str">
        <f>'Data Sample'!G48</f>
        <v>P02A298</v>
      </c>
      <c r="AY52" s="113" t="str">
        <f>'Data Sample'!G1057</f>
        <v>V0150584067342</v>
      </c>
      <c r="AZ52" s="113" t="str">
        <f>'Data Sample'!G553</f>
        <v>AU0037-74-652</v>
      </c>
      <c r="BA52" s="118"/>
      <c r="BC52" s="119" t="str">
        <f t="shared" si="0"/>
        <v>P02A298 (37)</v>
      </c>
      <c r="BD52" s="119" t="str">
        <f t="shared" si="1"/>
        <v>V0150584067342 (37)</v>
      </c>
      <c r="BE52" s="119" t="str">
        <f t="shared" si="2"/>
        <v>AU0037-74-652 (37)</v>
      </c>
    </row>
    <row r="53" spans="2:57">
      <c r="B53" s="124"/>
      <c r="C53" s="156" t="s">
        <v>105</v>
      </c>
      <c r="D53" s="157" t="e">
        <f>LICENSE_SUSPENSION(C43)</f>
        <v>#REF!</v>
      </c>
      <c r="F53" s="156" t="s">
        <v>106</v>
      </c>
      <c r="G53" s="161" t="e">
        <f>TYPE_OF_USE(F43)</f>
        <v>#REF!</v>
      </c>
      <c r="I53" s="773"/>
      <c r="J53" s="774"/>
      <c r="K53" s="152" t="s">
        <v>81</v>
      </c>
      <c r="L53" s="176"/>
      <c r="M53" s="177"/>
      <c r="N53" s="51"/>
      <c r="O53" s="5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R53" s="112">
        <f t="shared" si="6"/>
        <v>38</v>
      </c>
      <c r="AS53" s="149"/>
      <c r="AT53" s="149"/>
      <c r="AU53" s="149"/>
      <c r="AV53" s="149"/>
      <c r="AW53" s="149"/>
      <c r="AX53" s="113" t="str">
        <f>'Data Sample'!G49</f>
        <v>P02A238</v>
      </c>
      <c r="AY53" s="113" t="str">
        <f>'Data Sample'!G1058</f>
        <v>V0231627625969</v>
      </c>
      <c r="AZ53" s="113" t="str">
        <f>'Data Sample'!G554</f>
        <v>AU0061-82-909</v>
      </c>
      <c r="BA53" s="118"/>
      <c r="BC53" s="119" t="str">
        <f t="shared" si="0"/>
        <v>P02A238 (38)</v>
      </c>
      <c r="BD53" s="119" t="str">
        <f t="shared" si="1"/>
        <v>V0231627625969 (38)</v>
      </c>
      <c r="BE53" s="119" t="str">
        <f t="shared" si="2"/>
        <v>AU0061-82-909 (38)</v>
      </c>
    </row>
    <row r="54" spans="2:57">
      <c r="B54" s="124"/>
      <c r="C54" s="156" t="s">
        <v>107</v>
      </c>
      <c r="D54" s="157" t="e">
        <f>YGENDER(C43)</f>
        <v>#REF!</v>
      </c>
      <c r="F54" s="156" t="s">
        <v>108</v>
      </c>
      <c r="G54" s="157" t="e">
        <f>OFFROAD(F43)</f>
        <v>#REF!</v>
      </c>
      <c r="I54" s="773"/>
      <c r="J54" s="774"/>
      <c r="K54" s="152" t="s">
        <v>81</v>
      </c>
      <c r="L54" s="176"/>
      <c r="M54" s="177"/>
      <c r="N54" s="51"/>
      <c r="O54" s="5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R54" s="112">
        <f t="shared" si="6"/>
        <v>39</v>
      </c>
      <c r="AS54" s="149"/>
      <c r="AT54" s="149"/>
      <c r="AU54" s="149"/>
      <c r="AV54" s="149"/>
      <c r="AW54" s="149"/>
      <c r="AX54" s="113" t="str">
        <f>'Data Sample'!G50</f>
        <v>P02A430</v>
      </c>
      <c r="AY54" s="113" t="str">
        <f>'Data Sample'!G1059</f>
        <v>V0022057089819</v>
      </c>
      <c r="AZ54" s="113" t="str">
        <f>'Data Sample'!G555</f>
        <v>AU0083-26-683</v>
      </c>
      <c r="BA54" s="118"/>
      <c r="BC54" s="119" t="str">
        <f t="shared" si="0"/>
        <v>P02A430 (39)</v>
      </c>
      <c r="BD54" s="119" t="str">
        <f t="shared" si="1"/>
        <v>V0022057089819 (39)</v>
      </c>
      <c r="BE54" s="119" t="str">
        <f t="shared" si="2"/>
        <v>AU0083-26-683 (39)</v>
      </c>
    </row>
    <row r="55" spans="2:57">
      <c r="B55" s="124"/>
      <c r="C55" s="156" t="s">
        <v>109</v>
      </c>
      <c r="D55" s="157" t="e">
        <f>YAGE(C43)</f>
        <v>#REF!</v>
      </c>
      <c r="F55" s="156" t="s">
        <v>110</v>
      </c>
      <c r="G55" s="157" t="e">
        <f>ANNUAL_KM(F43)</f>
        <v>#REF!</v>
      </c>
      <c r="I55" s="773"/>
      <c r="J55" s="774"/>
      <c r="K55" s="152" t="s">
        <v>81</v>
      </c>
      <c r="L55" s="176"/>
      <c r="M55" s="177"/>
      <c r="N55" s="51"/>
      <c r="O55" s="5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R55" s="112">
        <f t="shared" si="6"/>
        <v>40</v>
      </c>
      <c r="AS55" s="149"/>
      <c r="AT55" s="149"/>
      <c r="AU55" s="149"/>
      <c r="AV55" s="149"/>
      <c r="AW55" s="149"/>
      <c r="AX55" s="113" t="str">
        <f>'Data Sample'!G51</f>
        <v>P02A678</v>
      </c>
      <c r="AY55" s="113" t="str">
        <f>'Data Sample'!G1060</f>
        <v>V0469916190286</v>
      </c>
      <c r="AZ55" s="113" t="str">
        <f>'Data Sample'!G556</f>
        <v>AU0033-68-718</v>
      </c>
      <c r="BA55" s="118"/>
      <c r="BC55" s="119" t="str">
        <f t="shared" si="0"/>
        <v>P02A678 (40)</v>
      </c>
      <c r="BD55" s="119" t="str">
        <f t="shared" si="1"/>
        <v>V0469916190286 (40)</v>
      </c>
      <c r="BE55" s="119" t="str">
        <f t="shared" si="2"/>
        <v>AU0033-68-718 (40)</v>
      </c>
    </row>
    <row r="56" spans="2:57">
      <c r="B56" s="124"/>
      <c r="C56" s="156" t="s">
        <v>111</v>
      </c>
      <c r="D56" s="157" t="e">
        <f>YMARITAL_STATUS(C43)</f>
        <v>#REF!</v>
      </c>
      <c r="F56" s="156" t="s">
        <v>112</v>
      </c>
      <c r="G56" s="157" t="e">
        <f>MATCH(G55,tOther!B164:B184,1)</f>
        <v>#REF!</v>
      </c>
      <c r="I56" s="773"/>
      <c r="J56" s="774"/>
      <c r="K56" s="152" t="s">
        <v>81</v>
      </c>
      <c r="L56" s="176"/>
      <c r="M56" s="177"/>
      <c r="N56" s="51"/>
      <c r="O56" s="5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R56" s="112">
        <f t="shared" si="6"/>
        <v>41</v>
      </c>
      <c r="AS56" s="149"/>
      <c r="AT56" s="149"/>
      <c r="AU56" s="149"/>
      <c r="AV56" s="149"/>
      <c r="AW56" s="149"/>
      <c r="AX56" s="113" t="str">
        <f>'Data Sample'!G52</f>
        <v>P02A295</v>
      </c>
      <c r="AY56" s="113" t="str">
        <f>'Data Sample'!G1061</f>
        <v>V0133881577941</v>
      </c>
      <c r="AZ56" s="113" t="str">
        <f>'Data Sample'!G557</f>
        <v>AU0016-35-734</v>
      </c>
      <c r="BA56" s="118"/>
      <c r="BC56" s="119" t="str">
        <f t="shared" si="0"/>
        <v>P02A295 (41)</v>
      </c>
      <c r="BD56" s="119" t="str">
        <f t="shared" si="1"/>
        <v>V0133881577941 (41)</v>
      </c>
      <c r="BE56" s="119" t="str">
        <f t="shared" si="2"/>
        <v>AU0016-35-734 (41)</v>
      </c>
    </row>
    <row r="57" spans="2:57">
      <c r="B57" s="124"/>
      <c r="C57" s="49"/>
      <c r="D57" s="774"/>
      <c r="F57" s="156" t="s">
        <v>113</v>
      </c>
      <c r="G57" s="157" t="e">
        <f>CARKIT(F43)</f>
        <v>#REF!</v>
      </c>
      <c r="I57" s="773"/>
      <c r="J57" s="774"/>
      <c r="K57" s="152" t="s">
        <v>81</v>
      </c>
      <c r="L57" s="176"/>
      <c r="M57" s="177"/>
      <c r="N57" s="51"/>
      <c r="O57" s="5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R57" s="112">
        <f t="shared" si="6"/>
        <v>42</v>
      </c>
      <c r="AS57" s="149"/>
      <c r="AT57" s="149"/>
      <c r="AU57" s="149"/>
      <c r="AV57" s="149"/>
      <c r="AW57" s="149"/>
      <c r="AX57" s="113" t="str">
        <f>'Data Sample'!G53</f>
        <v>P02A18</v>
      </c>
      <c r="AY57" s="113" t="str">
        <f>'Data Sample'!G1062</f>
        <v>V0456308073774</v>
      </c>
      <c r="AZ57" s="113" t="str">
        <f>'Data Sample'!G558</f>
        <v>AU0058-92-904</v>
      </c>
      <c r="BA57" s="118"/>
      <c r="BC57" s="119" t="str">
        <f t="shared" si="0"/>
        <v>P02A18 (42)</v>
      </c>
      <c r="BD57" s="119" t="str">
        <f t="shared" si="1"/>
        <v>V0456308073774 (42)</v>
      </c>
      <c r="BE57" s="119" t="str">
        <f t="shared" si="2"/>
        <v>AU0058-92-904 (42)</v>
      </c>
    </row>
    <row r="58" spans="2:57">
      <c r="B58" s="124"/>
      <c r="C58" s="49"/>
      <c r="D58" s="774"/>
      <c r="F58" s="156" t="s">
        <v>114</v>
      </c>
      <c r="G58" s="157" t="e">
        <f>CURRENTLY_INSURED(F43)</f>
        <v>#REF!</v>
      </c>
      <c r="I58" s="773"/>
      <c r="J58" s="774"/>
      <c r="K58" s="152" t="s">
        <v>81</v>
      </c>
      <c r="L58" s="176"/>
      <c r="M58" s="177"/>
      <c r="N58" s="51"/>
      <c r="O58" s="5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R58" s="112">
        <f t="shared" si="6"/>
        <v>43</v>
      </c>
      <c r="AS58" s="149"/>
      <c r="AT58" s="149"/>
      <c r="AU58" s="149"/>
      <c r="AV58" s="149"/>
      <c r="AW58" s="149"/>
      <c r="AX58" s="113" t="str">
        <f>'Data Sample'!G54</f>
        <v>P02A257</v>
      </c>
      <c r="AY58" s="113" t="str">
        <f>'Data Sample'!G1063</f>
        <v>V0487705160313</v>
      </c>
      <c r="AZ58" s="113" t="str">
        <f>'Data Sample'!G559</f>
        <v>AU0025-16-413</v>
      </c>
      <c r="BA58" s="118"/>
      <c r="BC58" s="119" t="str">
        <f t="shared" si="0"/>
        <v>P02A257 (43)</v>
      </c>
      <c r="BD58" s="119" t="str">
        <f t="shared" si="1"/>
        <v>V0487705160313 (43)</v>
      </c>
      <c r="BE58" s="119" t="str">
        <f t="shared" si="2"/>
        <v>AU0025-16-413 (43)</v>
      </c>
    </row>
    <row r="59" spans="2:57">
      <c r="B59" s="124"/>
      <c r="C59" s="49"/>
      <c r="D59" s="774"/>
      <c r="F59" s="156" t="s">
        <v>115</v>
      </c>
      <c r="G59" s="157" t="e">
        <f>MOD_VALUE(F43)</f>
        <v>#REF!</v>
      </c>
      <c r="I59" s="773"/>
      <c r="J59" s="774"/>
      <c r="K59" s="152" t="s">
        <v>81</v>
      </c>
      <c r="L59" s="176"/>
      <c r="M59" s="177"/>
      <c r="N59" s="51"/>
      <c r="O59" s="5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R59" s="112">
        <f t="shared" si="6"/>
        <v>44</v>
      </c>
      <c r="AS59" s="149"/>
      <c r="AT59" s="149"/>
      <c r="AU59" s="149"/>
      <c r="AV59" s="149"/>
      <c r="AW59" s="149"/>
      <c r="AX59" s="113" t="str">
        <f>'Data Sample'!G55</f>
        <v>P02A101</v>
      </c>
      <c r="AY59" s="113" t="str">
        <f>'Data Sample'!G1064</f>
        <v>V0460232320493</v>
      </c>
      <c r="AZ59" s="113" t="str">
        <f>'Data Sample'!G560</f>
        <v>AU0060-16-426</v>
      </c>
      <c r="BA59" s="118"/>
      <c r="BC59" s="119" t="str">
        <f t="shared" si="0"/>
        <v>P02A101 (44)</v>
      </c>
      <c r="BD59" s="119" t="str">
        <f t="shared" si="1"/>
        <v>V0460232320493 (44)</v>
      </c>
      <c r="BE59" s="119" t="str">
        <f t="shared" si="2"/>
        <v>AU0060-16-426 (44)</v>
      </c>
    </row>
    <row r="60" spans="2:57">
      <c r="B60" s="124"/>
      <c r="C60" s="49"/>
      <c r="D60" s="774"/>
      <c r="F60" s="156" t="s">
        <v>116</v>
      </c>
      <c r="G60" s="157" t="e">
        <f>COLOUR(F43)</f>
        <v>#REF!</v>
      </c>
      <c r="I60" s="773"/>
      <c r="J60" s="774"/>
      <c r="K60" s="152" t="s">
        <v>81</v>
      </c>
      <c r="L60" s="176"/>
      <c r="M60" s="177"/>
      <c r="N60" s="51"/>
      <c r="O60" s="5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R60" s="112">
        <f t="shared" si="6"/>
        <v>45</v>
      </c>
      <c r="AS60" s="149"/>
      <c r="AT60" s="149"/>
      <c r="AU60" s="149"/>
      <c r="AV60" s="149"/>
      <c r="AW60" s="149"/>
      <c r="AX60" s="113" t="str">
        <f>'Data Sample'!G56</f>
        <v>P02A356</v>
      </c>
      <c r="AY60" s="113" t="str">
        <f>'Data Sample'!G1065</f>
        <v>V0559381672067</v>
      </c>
      <c r="AZ60" s="113" t="str">
        <f>'Data Sample'!G561</f>
        <v>AU0006-75-596</v>
      </c>
      <c r="BA60" s="118"/>
      <c r="BC60" s="119" t="str">
        <f t="shared" si="0"/>
        <v>P02A356 (45)</v>
      </c>
      <c r="BD60" s="119" t="str">
        <f t="shared" si="1"/>
        <v>V0559381672067 (45)</v>
      </c>
      <c r="BE60" s="119" t="str">
        <f t="shared" si="2"/>
        <v>AU0006-75-596 (45)</v>
      </c>
    </row>
    <row r="61" spans="2:57">
      <c r="B61" s="124"/>
      <c r="C61" s="49"/>
      <c r="D61" s="774"/>
      <c r="F61" s="156" t="s">
        <v>117</v>
      </c>
      <c r="G61" s="157" t="e">
        <f>DAY_TIME_PARKING(F43)</f>
        <v>#REF!</v>
      </c>
      <c r="I61" s="773"/>
      <c r="J61" s="774"/>
      <c r="K61" s="152" t="s">
        <v>81</v>
      </c>
      <c r="L61" s="176"/>
      <c r="M61" s="177"/>
      <c r="N61" s="51"/>
      <c r="O61" s="5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R61" s="112">
        <f t="shared" si="6"/>
        <v>46</v>
      </c>
      <c r="AS61" s="149"/>
      <c r="AT61" s="149"/>
      <c r="AU61" s="149"/>
      <c r="AV61" s="149"/>
      <c r="AW61" s="149"/>
      <c r="AX61" s="113" t="str">
        <f>'Data Sample'!G57</f>
        <v>P02A581</v>
      </c>
      <c r="AY61" s="113" t="str">
        <f>'Data Sample'!G1066</f>
        <v>V0832235783815</v>
      </c>
      <c r="AZ61" s="113" t="str">
        <f>'Data Sample'!G562</f>
        <v>AU0050-06-005</v>
      </c>
      <c r="BA61" s="118"/>
      <c r="BC61" s="119" t="str">
        <f t="shared" si="0"/>
        <v>P02A581 (46)</v>
      </c>
      <c r="BD61" s="119" t="str">
        <f t="shared" si="1"/>
        <v>V0832235783815 (46)</v>
      </c>
      <c r="BE61" s="119" t="str">
        <f t="shared" si="2"/>
        <v>AU0050-06-005 (46)</v>
      </c>
    </row>
    <row r="62" spans="2:57">
      <c r="B62" s="124"/>
      <c r="C62" s="49"/>
      <c r="D62" s="774"/>
      <c r="F62" s="156" t="s">
        <v>118</v>
      </c>
      <c r="G62" s="157" t="e">
        <f>NPARKING(F43)</f>
        <v>#REF!</v>
      </c>
      <c r="I62" s="773"/>
      <c r="J62" s="774"/>
      <c r="K62" s="152" t="s">
        <v>81</v>
      </c>
      <c r="L62" s="176"/>
      <c r="M62" s="177"/>
      <c r="N62" s="51"/>
      <c r="O62" s="5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R62" s="112">
        <f t="shared" si="6"/>
        <v>47</v>
      </c>
      <c r="AS62" s="149"/>
      <c r="AT62" s="149"/>
      <c r="AU62" s="149"/>
      <c r="AV62" s="149"/>
      <c r="AW62" s="149"/>
      <c r="AX62" s="113" t="str">
        <f>'Data Sample'!G58</f>
        <v>P02A337</v>
      </c>
      <c r="AY62" s="113" t="str">
        <f>'Data Sample'!G1067</f>
        <v>V0155854330444</v>
      </c>
      <c r="AZ62" s="113" t="str">
        <f>'Data Sample'!G563</f>
        <v>AU0065-36-603</v>
      </c>
      <c r="BA62" s="118"/>
      <c r="BC62" s="119" t="str">
        <f t="shared" si="0"/>
        <v>P02A337 (47)</v>
      </c>
      <c r="BD62" s="119" t="str">
        <f t="shared" si="1"/>
        <v>V0155854330444 (47)</v>
      </c>
      <c r="BE62" s="119" t="str">
        <f t="shared" si="2"/>
        <v>AU0065-36-603 (47)</v>
      </c>
    </row>
    <row r="63" spans="2:57">
      <c r="B63" s="124"/>
      <c r="C63" s="49"/>
      <c r="D63" s="774"/>
      <c r="F63" s="156" t="s">
        <v>119</v>
      </c>
      <c r="G63" s="157" t="e">
        <f>SECURITY(F43)</f>
        <v>#REF!</v>
      </c>
      <c r="I63" s="773"/>
      <c r="J63" s="774"/>
      <c r="K63" s="152" t="s">
        <v>81</v>
      </c>
      <c r="L63" s="176"/>
      <c r="M63" s="177"/>
      <c r="N63" s="51"/>
      <c r="O63" s="5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R63" s="112">
        <f t="shared" si="6"/>
        <v>48</v>
      </c>
      <c r="AS63" s="149"/>
      <c r="AT63" s="149"/>
      <c r="AU63" s="149"/>
      <c r="AV63" s="149"/>
      <c r="AW63" s="149"/>
      <c r="AX63" s="113" t="str">
        <f>'Data Sample'!G59</f>
        <v>P02A643</v>
      </c>
      <c r="AY63" s="113" t="str">
        <f>'Data Sample'!G1068</f>
        <v>V0294407844317</v>
      </c>
      <c r="AZ63" s="113" t="str">
        <f>'Data Sample'!G564</f>
        <v>AU0059-82-401</v>
      </c>
      <c r="BA63" s="118"/>
      <c r="BC63" s="119" t="str">
        <f t="shared" si="0"/>
        <v>P02A643 (48)</v>
      </c>
      <c r="BD63" s="119" t="str">
        <f t="shared" si="1"/>
        <v>V0294407844317 (48)</v>
      </c>
      <c r="BE63" s="119" t="str">
        <f t="shared" si="2"/>
        <v>AU0059-82-401 (48)</v>
      </c>
    </row>
    <row r="64" spans="2:57">
      <c r="B64" s="124"/>
      <c r="C64" s="49"/>
      <c r="D64" s="774"/>
      <c r="F64" s="178" t="s">
        <v>120</v>
      </c>
      <c r="G64" s="157" t="e">
        <f>REFSOURCE(F43)</f>
        <v>#REF!</v>
      </c>
      <c r="I64" s="773"/>
      <c r="J64" s="774"/>
      <c r="K64" s="152" t="s">
        <v>81</v>
      </c>
      <c r="L64" s="176"/>
      <c r="M64" s="177"/>
      <c r="N64" s="51"/>
      <c r="O64" s="5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R64" s="112">
        <f t="shared" si="6"/>
        <v>49</v>
      </c>
      <c r="AS64" s="149"/>
      <c r="AT64" s="149"/>
      <c r="AU64" s="149"/>
      <c r="AV64" s="149"/>
      <c r="AW64" s="149"/>
      <c r="AX64" s="113" t="str">
        <f>'Data Sample'!G60</f>
        <v>P02A767</v>
      </c>
      <c r="AY64" s="113" t="str">
        <f>'Data Sample'!G1069</f>
        <v>V0636318409644</v>
      </c>
      <c r="AZ64" s="113" t="str">
        <f>'Data Sample'!G565</f>
        <v>AU0014-55-128</v>
      </c>
      <c r="BA64" s="118"/>
      <c r="BC64" s="119" t="str">
        <f t="shared" si="0"/>
        <v>P02A767 (49)</v>
      </c>
      <c r="BD64" s="119" t="str">
        <f t="shared" si="1"/>
        <v>V0636318409644 (49)</v>
      </c>
      <c r="BE64" s="119" t="str">
        <f t="shared" si="2"/>
        <v>AU0014-55-128 (49)</v>
      </c>
    </row>
    <row r="65" spans="2:187">
      <c r="B65" s="124"/>
      <c r="C65" s="170"/>
      <c r="D65" s="157"/>
      <c r="F65" s="156" t="s">
        <v>95</v>
      </c>
      <c r="G65" s="157" t="e">
        <f>VEHICLEDETAILS(G45,"Year")</f>
        <v>#REF!</v>
      </c>
      <c r="I65" s="773"/>
      <c r="J65" s="774"/>
      <c r="K65" s="152" t="s">
        <v>81</v>
      </c>
      <c r="L65" s="176"/>
      <c r="M65" s="177"/>
      <c r="N65" s="51"/>
      <c r="O65" s="5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R65" s="112">
        <f t="shared" si="6"/>
        <v>50</v>
      </c>
      <c r="AS65" s="149"/>
      <c r="AT65" s="149"/>
      <c r="AU65" s="149"/>
      <c r="AV65" s="149"/>
      <c r="AW65" s="149"/>
      <c r="AX65" s="113" t="str">
        <f>'Data Sample'!G61</f>
        <v>P02A611</v>
      </c>
      <c r="AY65" s="113" t="str">
        <f>'Data Sample'!G1070</f>
        <v>V0493779576733</v>
      </c>
      <c r="AZ65" s="113" t="str">
        <f>'Data Sample'!G566</f>
        <v>AU0041-88-534</v>
      </c>
      <c r="BA65" s="118"/>
      <c r="BC65" s="119" t="str">
        <f t="shared" si="0"/>
        <v>P02A611 (50)</v>
      </c>
      <c r="BD65" s="119" t="str">
        <f t="shared" si="1"/>
        <v>V0493779576733 (50)</v>
      </c>
      <c r="BE65" s="119" t="str">
        <f t="shared" si="2"/>
        <v>AU0041-88-534 (50)</v>
      </c>
    </row>
    <row r="66" spans="2:187" outlineLevel="1">
      <c r="B66" s="124"/>
      <c r="C66" s="170"/>
      <c r="D66" s="157"/>
      <c r="F66" s="179" t="s">
        <v>121</v>
      </c>
      <c r="G66" s="157" t="e">
        <f>WINDSCREEN_OPTION(F43)</f>
        <v>#REF!</v>
      </c>
      <c r="I66" s="773"/>
      <c r="J66" s="774"/>
      <c r="K66" s="152" t="s">
        <v>81</v>
      </c>
      <c r="L66" s="176"/>
      <c r="M66" s="177"/>
      <c r="N66" s="51"/>
      <c r="O66" s="5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R66" s="112">
        <f t="shared" si="6"/>
        <v>51</v>
      </c>
      <c r="AS66" s="149"/>
      <c r="AT66" s="149"/>
      <c r="AU66" s="149"/>
      <c r="AV66" s="149"/>
      <c r="AW66" s="149"/>
      <c r="AX66" s="113" t="str">
        <f>'Data Sample'!G62</f>
        <v>P02A955</v>
      </c>
      <c r="AY66" s="113" t="str">
        <f>'Data Sample'!G1071</f>
        <v>V0562848450945</v>
      </c>
      <c r="AZ66" s="113" t="str">
        <f>'Data Sample'!G567</f>
        <v>AU0001-97-983</v>
      </c>
      <c r="BA66" s="118"/>
      <c r="BC66" s="119" t="str">
        <f t="shared" si="0"/>
        <v>P02A955 (51)</v>
      </c>
      <c r="BD66" s="119" t="str">
        <f t="shared" si="1"/>
        <v>V0562848450945 (51)</v>
      </c>
      <c r="BE66" s="119" t="str">
        <f t="shared" si="2"/>
        <v>AU0001-97-983 (51)</v>
      </c>
    </row>
    <row r="67" spans="2:187" outlineLevel="1">
      <c r="B67" s="124"/>
      <c r="C67" s="49"/>
      <c r="D67" s="774"/>
      <c r="F67" s="179" t="s">
        <v>122</v>
      </c>
      <c r="G67" s="157" t="e">
        <f>CARHIREOP(F43)</f>
        <v>#REF!</v>
      </c>
      <c r="I67" s="773"/>
      <c r="J67" s="774"/>
      <c r="K67" s="152" t="s">
        <v>81</v>
      </c>
      <c r="L67" s="176"/>
      <c r="M67" s="177"/>
      <c r="N67" s="51"/>
      <c r="O67" s="5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R67" s="112">
        <f t="shared" si="6"/>
        <v>52</v>
      </c>
      <c r="AS67" s="149"/>
      <c r="AT67" s="149"/>
      <c r="AU67" s="149"/>
      <c r="AV67" s="149"/>
      <c r="AW67" s="149"/>
      <c r="AX67" s="113" t="str">
        <f>'Data Sample'!G63</f>
        <v>P02A39</v>
      </c>
      <c r="AY67" s="113" t="str">
        <f>'Data Sample'!G1072</f>
        <v>V0039656765159</v>
      </c>
      <c r="AZ67" s="113" t="str">
        <f>'Data Sample'!G568</f>
        <v>AU0067-54-425</v>
      </c>
      <c r="BA67" s="118"/>
      <c r="BC67" s="119" t="str">
        <f t="shared" si="0"/>
        <v>P02A39 (52)</v>
      </c>
      <c r="BD67" s="119" t="str">
        <f t="shared" si="1"/>
        <v>V0039656765159 (52)</v>
      </c>
      <c r="BE67" s="119" t="str">
        <f t="shared" si="2"/>
        <v>AU0067-54-425 (52)</v>
      </c>
    </row>
    <row r="68" spans="2:187" outlineLevel="1">
      <c r="B68" s="124"/>
      <c r="C68" s="49"/>
      <c r="D68" s="774"/>
      <c r="F68" s="180" t="s">
        <v>123</v>
      </c>
      <c r="G68" s="181" t="e">
        <f>MID(G47,IF(ISNUMBER(MID(G47,3,1)*1),3,4),4)*1</f>
        <v>#REF!</v>
      </c>
      <c r="I68" s="773"/>
      <c r="J68" s="774"/>
      <c r="K68" s="152" t="s">
        <v>81</v>
      </c>
      <c r="L68" s="176"/>
      <c r="M68" s="177"/>
      <c r="N68" s="51"/>
      <c r="O68" s="5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R68" s="112">
        <f t="shared" si="6"/>
        <v>53</v>
      </c>
      <c r="AS68" s="149"/>
      <c r="AT68" s="149"/>
      <c r="AU68" s="149"/>
      <c r="AV68" s="149"/>
      <c r="AW68" s="149"/>
      <c r="AX68" s="113" t="str">
        <f>'Data Sample'!G64</f>
        <v>P02A97</v>
      </c>
      <c r="AY68" s="113" t="str">
        <f>'Data Sample'!G1073</f>
        <v>V0044400489311</v>
      </c>
      <c r="AZ68" s="113" t="str">
        <f>'Data Sample'!G569</f>
        <v>AU0066-87-689</v>
      </c>
      <c r="BA68" s="118"/>
      <c r="BB68" s="50"/>
      <c r="BC68" s="119" t="str">
        <f t="shared" si="0"/>
        <v>P02A97 (53)</v>
      </c>
      <c r="BD68" s="119" t="str">
        <f t="shared" si="1"/>
        <v>V0044400489311 (53)</v>
      </c>
      <c r="BE68" s="119" t="str">
        <f t="shared" si="2"/>
        <v>AU0066-87-689 (53)</v>
      </c>
      <c r="BF68" s="50"/>
    </row>
    <row r="69" spans="2:187" outlineLevel="1">
      <c r="B69" s="124"/>
      <c r="C69" s="55"/>
      <c r="D69" s="182"/>
      <c r="F69" s="183" t="s">
        <v>124</v>
      </c>
      <c r="G69" s="182" t="e">
        <f>IF(ISNUMBER(MID(G46,3,1)*1),LEFT(G46,2),LEFT(G46,3))</f>
        <v>#REF!</v>
      </c>
      <c r="I69" s="184"/>
      <c r="J69" s="182"/>
      <c r="K69" s="152"/>
      <c r="L69" s="185"/>
      <c r="M69" s="186"/>
      <c r="N69" s="51"/>
      <c r="O69" s="5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R69" s="112">
        <f t="shared" si="6"/>
        <v>54</v>
      </c>
      <c r="AS69" s="149"/>
      <c r="AT69" s="149"/>
      <c r="AU69" s="149"/>
      <c r="AV69" s="149"/>
      <c r="AW69" s="149"/>
      <c r="AX69" s="113" t="str">
        <f>'Data Sample'!G65</f>
        <v>P02A190</v>
      </c>
      <c r="AY69" s="113" t="str">
        <f>'Data Sample'!G1074</f>
        <v>V0704524497215</v>
      </c>
      <c r="AZ69" s="113" t="str">
        <f>'Data Sample'!G570</f>
        <v>AU0000-69-219</v>
      </c>
      <c r="BA69" s="118"/>
      <c r="BC69" s="119" t="str">
        <f t="shared" si="0"/>
        <v>P02A190 (54)</v>
      </c>
      <c r="BD69" s="119" t="str">
        <f t="shared" si="1"/>
        <v>V0704524497215 (54)</v>
      </c>
      <c r="BE69" s="119" t="str">
        <f t="shared" si="2"/>
        <v>AU0000-69-219 (54)</v>
      </c>
    </row>
    <row r="70" spans="2:187" outlineLevel="1">
      <c r="B70" s="124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112">
        <f t="shared" si="6"/>
        <v>55</v>
      </c>
      <c r="AS70" s="149"/>
      <c r="AT70" s="149"/>
      <c r="AU70" s="149"/>
      <c r="AV70" s="149"/>
      <c r="AW70" s="149"/>
      <c r="AX70" s="113" t="str">
        <f>'Data Sample'!G66</f>
        <v>P02A714</v>
      </c>
      <c r="AY70" s="113" t="str">
        <f>'Data Sample'!G1075</f>
        <v>V0811577292090</v>
      </c>
      <c r="AZ70" s="113" t="str">
        <f>'Data Sample'!G571</f>
        <v>AU0077-31-559</v>
      </c>
      <c r="BA70" s="118"/>
      <c r="BC70" s="119" t="str">
        <f t="shared" si="0"/>
        <v>P02A714 (55)</v>
      </c>
      <c r="BD70" s="119" t="str">
        <f t="shared" si="1"/>
        <v>V0811577292090 (55)</v>
      </c>
      <c r="BE70" s="119" t="str">
        <f t="shared" si="2"/>
        <v>AU0077-31-559 (55)</v>
      </c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  <c r="DU70" s="50"/>
      <c r="DV70" s="50"/>
      <c r="DW70" s="50"/>
      <c r="DX70" s="50"/>
      <c r="DY70" s="50"/>
      <c r="DZ70" s="50"/>
      <c r="EA70" s="50"/>
      <c r="EB70" s="50"/>
      <c r="EC70" s="50"/>
      <c r="ED70" s="50"/>
      <c r="EE70" s="50"/>
      <c r="EF70" s="50"/>
      <c r="EG70" s="50"/>
      <c r="EH70" s="50"/>
      <c r="EI70" s="50"/>
      <c r="EJ70" s="50"/>
      <c r="EK70" s="50"/>
      <c r="EL70" s="50"/>
      <c r="EM70" s="50"/>
      <c r="EN70" s="50"/>
      <c r="EO70" s="50"/>
      <c r="EP70" s="50"/>
      <c r="EQ70" s="50"/>
      <c r="ER70" s="50"/>
      <c r="ES70" s="50"/>
      <c r="ET70" s="50"/>
      <c r="EU70" s="50"/>
      <c r="EV70" s="50"/>
      <c r="EW70" s="50"/>
      <c r="EX70" s="50"/>
      <c r="EY70" s="50"/>
      <c r="EZ70" s="50"/>
      <c r="FA70" s="50"/>
      <c r="FB70" s="50"/>
      <c r="FC70" s="50"/>
      <c r="FD70" s="50"/>
      <c r="FE70" s="50"/>
      <c r="FF70" s="50"/>
      <c r="FG70" s="50"/>
      <c r="FH70" s="50"/>
      <c r="FI70" s="50"/>
      <c r="FJ70" s="50"/>
      <c r="FK70" s="50"/>
      <c r="FL70" s="50"/>
      <c r="FM70" s="50"/>
      <c r="FN70" s="50"/>
      <c r="FO70" s="50"/>
      <c r="FP70" s="50"/>
      <c r="FQ70" s="50"/>
      <c r="FR70" s="50"/>
      <c r="FS70" s="50"/>
      <c r="FT70" s="50"/>
      <c r="FU70" s="50"/>
      <c r="FV70" s="50"/>
      <c r="FW70" s="50"/>
      <c r="FX70" s="50"/>
      <c r="FY70" s="50"/>
      <c r="FZ70" s="50"/>
      <c r="GA70" s="50"/>
      <c r="GB70" s="50"/>
      <c r="GC70" s="50"/>
      <c r="GD70" s="50"/>
      <c r="GE70" s="50"/>
    </row>
    <row r="71" spans="2:187" outlineLevel="1">
      <c r="B71" s="124"/>
      <c r="D71" s="63"/>
      <c r="F71" s="187"/>
      <c r="G71" s="63"/>
      <c r="K71" s="152"/>
      <c r="L71" s="51"/>
      <c r="M71" s="51"/>
      <c r="N71" s="51"/>
      <c r="O71" s="5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R71" s="112">
        <f t="shared" si="6"/>
        <v>56</v>
      </c>
      <c r="AS71" s="149"/>
      <c r="AT71" s="149"/>
      <c r="AU71" s="149"/>
      <c r="AV71" s="149"/>
      <c r="AW71" s="149"/>
      <c r="AX71" s="113" t="str">
        <f>'Data Sample'!G67</f>
        <v>P02A205</v>
      </c>
      <c r="AY71" s="113" t="str">
        <f>'Data Sample'!G1076</f>
        <v>V0173480383612</v>
      </c>
      <c r="AZ71" s="113" t="str">
        <f>'Data Sample'!G572</f>
        <v>AU0063-76-540</v>
      </c>
      <c r="BA71" s="118"/>
      <c r="BB71" s="1"/>
      <c r="BC71" s="119" t="str">
        <f t="shared" si="0"/>
        <v>P02A205 (56)</v>
      </c>
      <c r="BD71" s="119" t="str">
        <f t="shared" si="1"/>
        <v>V0173480383612 (56)</v>
      </c>
      <c r="BE71" s="119" t="str">
        <f t="shared" si="2"/>
        <v>AU0063-76-540 (56)</v>
      </c>
      <c r="BF71" s="1"/>
    </row>
    <row r="72" spans="2:187" ht="15.75" outlineLevel="1">
      <c r="B72" s="124"/>
      <c r="C72" s="869" t="s">
        <v>125</v>
      </c>
      <c r="D72" s="870"/>
      <c r="E72" s="870"/>
      <c r="F72" s="870"/>
      <c r="G72" s="870"/>
      <c r="H72" s="870"/>
      <c r="I72" s="870"/>
      <c r="J72" s="870"/>
      <c r="K72" s="870"/>
      <c r="L72" s="870"/>
      <c r="M72" s="871"/>
      <c r="N72" s="51"/>
      <c r="O72" s="5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R72" s="112">
        <f t="shared" si="6"/>
        <v>57</v>
      </c>
      <c r="AS72" s="149"/>
      <c r="AT72" s="149"/>
      <c r="AU72" s="149"/>
      <c r="AV72" s="149"/>
      <c r="AW72" s="149"/>
      <c r="AX72" s="113" t="str">
        <f>'Data Sample'!G68</f>
        <v>P02A84</v>
      </c>
      <c r="AY72" s="113" t="str">
        <f>'Data Sample'!G1077</f>
        <v>V0878857476316</v>
      </c>
      <c r="AZ72" s="113" t="str">
        <f>'Data Sample'!G573</f>
        <v>AU0019-37-895</v>
      </c>
      <c r="BA72" s="118"/>
      <c r="BB72" s="1"/>
      <c r="BC72" s="119" t="str">
        <f t="shared" si="0"/>
        <v>P02A84 (57)</v>
      </c>
      <c r="BD72" s="119" t="str">
        <f t="shared" si="1"/>
        <v>V0878857476316 (57)</v>
      </c>
      <c r="BE72" s="119" t="str">
        <f t="shared" si="2"/>
        <v>AU0019-37-895 (57)</v>
      </c>
      <c r="BF72" s="1"/>
    </row>
    <row r="73" spans="2:187" s="1" customFormat="1" outlineLevel="1">
      <c r="B73" s="124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R73" s="112">
        <f t="shared" si="6"/>
        <v>58</v>
      </c>
      <c r="AS73" s="149"/>
      <c r="AT73" s="149"/>
      <c r="AU73" s="149"/>
      <c r="AV73" s="149"/>
      <c r="AW73" s="149"/>
      <c r="AX73" s="113" t="str">
        <f>'Data Sample'!G69</f>
        <v>P02A976</v>
      </c>
      <c r="AY73" s="113" t="str">
        <f>'Data Sample'!G1078</f>
        <v>V0517392734709</v>
      </c>
      <c r="AZ73" s="113" t="str">
        <f>'Data Sample'!G574</f>
        <v>AU0076-98-653</v>
      </c>
      <c r="BA73" s="118"/>
      <c r="BC73" s="119" t="str">
        <f t="shared" si="0"/>
        <v>P02A976 (58)</v>
      </c>
      <c r="BD73" s="119" t="str">
        <f t="shared" si="1"/>
        <v>V0517392734709 (58)</v>
      </c>
      <c r="BE73" s="119" t="str">
        <f t="shared" si="2"/>
        <v>AU0076-98-653 (58)</v>
      </c>
    </row>
    <row r="74" spans="2:187" s="1" customFormat="1" ht="16.5" customHeight="1" outlineLevel="1">
      <c r="B74" s="124"/>
      <c r="F74" s="188" t="s">
        <v>23</v>
      </c>
      <c r="G74" s="103" t="e">
        <f>G105*G92</f>
        <v>#REF!</v>
      </c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R74" s="112">
        <f t="shared" si="6"/>
        <v>59</v>
      </c>
      <c r="AS74" s="149"/>
      <c r="AT74" s="149"/>
      <c r="AU74" s="149"/>
      <c r="AV74" s="149"/>
      <c r="AW74" s="149"/>
      <c r="AX74" s="113" t="str">
        <f>'Data Sample'!G70</f>
        <v>P02A473</v>
      </c>
      <c r="AY74" s="113" t="str">
        <f>'Data Sample'!G1079</f>
        <v>V0057925796294</v>
      </c>
      <c r="AZ74" s="113" t="str">
        <f>'Data Sample'!G575</f>
        <v>AU0072-83-998</v>
      </c>
      <c r="BA74" s="118"/>
      <c r="BC74" s="119" t="str">
        <f t="shared" si="0"/>
        <v>P02A473 (59)</v>
      </c>
      <c r="BD74" s="119" t="str">
        <f t="shared" si="1"/>
        <v>V0057925796294 (59)</v>
      </c>
      <c r="BE74" s="119" t="str">
        <f t="shared" si="2"/>
        <v>AU0072-83-998 (59)</v>
      </c>
    </row>
    <row r="75" spans="2:187" s="1" customFormat="1" outlineLevel="2">
      <c r="B75" s="124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R75" s="112">
        <f t="shared" si="6"/>
        <v>60</v>
      </c>
      <c r="AS75" s="149"/>
      <c r="AT75" s="149"/>
      <c r="AU75" s="149"/>
      <c r="AV75" s="149"/>
      <c r="AW75" s="149"/>
      <c r="AX75" s="113" t="str">
        <f>'Data Sample'!G71</f>
        <v>P02A432</v>
      </c>
      <c r="AY75" s="113" t="str">
        <f>'Data Sample'!G1080</f>
        <v>V0121707057882</v>
      </c>
      <c r="AZ75" s="113" t="str">
        <f>'Data Sample'!G576</f>
        <v>AU0016-24-669</v>
      </c>
      <c r="BA75" s="118"/>
      <c r="BC75" s="119" t="str">
        <f t="shared" si="0"/>
        <v>P02A432 (60)</v>
      </c>
      <c r="BD75" s="119" t="str">
        <f t="shared" si="1"/>
        <v>V0121707057882 (60)</v>
      </c>
      <c r="BE75" s="119" t="str">
        <f t="shared" si="2"/>
        <v>AU0016-24-669 (60)</v>
      </c>
    </row>
    <row r="76" spans="2:187" s="1" customFormat="1" ht="15.75" outlineLevel="2">
      <c r="B76" s="124"/>
      <c r="C76" s="189" t="s">
        <v>126</v>
      </c>
      <c r="D76" s="100" t="e">
        <f>MIN(G94*D26,D25+D26*(G94-D30)^D27)</f>
        <v>#REF!</v>
      </c>
      <c r="E76" s="190"/>
      <c r="F76" s="189" t="s">
        <v>127</v>
      </c>
      <c r="G76" s="100" t="e">
        <f>D28*D76</f>
        <v>#REF!</v>
      </c>
      <c r="H76" s="190"/>
      <c r="I76" s="189" t="s">
        <v>128</v>
      </c>
      <c r="J76" s="100" t="e">
        <f>LN(D76^2/SQRT(D76^2+G76^2))</f>
        <v>#REF!</v>
      </c>
      <c r="K76" s="190"/>
      <c r="L76" s="191" t="s">
        <v>129</v>
      </c>
      <c r="M76" s="77" t="e">
        <f>SQRT(LN((G76^2+D76^2)/D76/D76))</f>
        <v>#REF!</v>
      </c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R76" s="112">
        <f t="shared" si="6"/>
        <v>61</v>
      </c>
      <c r="AS76" s="149"/>
      <c r="AT76" s="149"/>
      <c r="AU76" s="149"/>
      <c r="AV76" s="149"/>
      <c r="AW76" s="149"/>
      <c r="AX76" s="113" t="str">
        <f>'Data Sample'!G72</f>
        <v>P02A760</v>
      </c>
      <c r="AY76" s="113" t="str">
        <f>'Data Sample'!G1081</f>
        <v>V0323020072743</v>
      </c>
      <c r="AZ76" s="113" t="str">
        <f>'Data Sample'!G577</f>
        <v>AU0041-92-305</v>
      </c>
      <c r="BA76" s="118"/>
      <c r="BB76"/>
      <c r="BC76" s="119" t="str">
        <f t="shared" si="0"/>
        <v>P02A760 (61)</v>
      </c>
      <c r="BD76" s="119" t="str">
        <f t="shared" si="1"/>
        <v>V0323020072743 (61)</v>
      </c>
      <c r="BE76" s="119" t="str">
        <f t="shared" si="2"/>
        <v>AU0041-92-305 (61)</v>
      </c>
      <c r="BF76"/>
    </row>
    <row r="77" spans="2:187" s="1" customFormat="1" ht="15.75" customHeight="1" outlineLevel="2">
      <c r="B77" s="124"/>
      <c r="C77" s="853"/>
      <c r="D77" s="854"/>
      <c r="E77" s="854"/>
      <c r="F77" s="854"/>
      <c r="G77" s="854"/>
      <c r="H77" s="854"/>
      <c r="I77" s="854"/>
      <c r="J77" s="854"/>
      <c r="K77" s="854"/>
      <c r="L77" s="854"/>
      <c r="M77" s="855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R77" s="112">
        <f t="shared" si="6"/>
        <v>62</v>
      </c>
      <c r="AS77" s="149"/>
      <c r="AT77" s="149"/>
      <c r="AU77" s="149"/>
      <c r="AV77" s="149"/>
      <c r="AW77" s="149"/>
      <c r="AX77" s="113" t="str">
        <f>'Data Sample'!G73</f>
        <v>P02A335</v>
      </c>
      <c r="AY77" s="113" t="str">
        <f>'Data Sample'!G1082</f>
        <v>V0804537981137</v>
      </c>
      <c r="AZ77" s="113" t="str">
        <f>'Data Sample'!G578</f>
        <v>AU0073-25-410</v>
      </c>
      <c r="BA77" s="118"/>
      <c r="BB77"/>
      <c r="BC77" s="119" t="str">
        <f t="shared" si="0"/>
        <v>P02A335 (62)</v>
      </c>
      <c r="BD77" s="119" t="str">
        <f t="shared" si="1"/>
        <v>V0804537981137 (62)</v>
      </c>
      <c r="BE77" s="119" t="str">
        <f t="shared" si="2"/>
        <v>AU0073-25-410 (62)</v>
      </c>
      <c r="BF77"/>
    </row>
    <row r="78" spans="2:187" outlineLevel="2">
      <c r="C78" s="856" t="s">
        <v>7</v>
      </c>
      <c r="D78" s="857"/>
      <c r="E78" s="50"/>
      <c r="F78" s="856" t="s">
        <v>9</v>
      </c>
      <c r="G78" s="857"/>
      <c r="H78" s="50"/>
      <c r="I78" s="856" t="s">
        <v>10</v>
      </c>
      <c r="J78" s="857"/>
      <c r="K78" s="148"/>
      <c r="L78" s="49"/>
      <c r="M78" s="52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R78" s="112">
        <f t="shared" si="6"/>
        <v>63</v>
      </c>
      <c r="AS78" s="149"/>
      <c r="AT78" s="149"/>
      <c r="AU78" s="149"/>
      <c r="AV78" s="149"/>
      <c r="AW78" s="149"/>
      <c r="AX78" s="113" t="str">
        <f>'Data Sample'!G74</f>
        <v>P02A222</v>
      </c>
      <c r="AY78" s="113" t="str">
        <f>'Data Sample'!G1083</f>
        <v>V0412288948035</v>
      </c>
      <c r="AZ78" s="113" t="str">
        <f>'Data Sample'!G579</f>
        <v>AU0059-09-340</v>
      </c>
      <c r="BA78" s="118"/>
      <c r="BC78" s="119" t="str">
        <f t="shared" si="0"/>
        <v>P02A222 (63)</v>
      </c>
      <c r="BD78" s="119" t="str">
        <f t="shared" si="1"/>
        <v>V0412288948035 (63)</v>
      </c>
      <c r="BE78" s="119" t="str">
        <f t="shared" si="2"/>
        <v>AU0059-09-340 (63)</v>
      </c>
    </row>
    <row r="79" spans="2:187" ht="12.75" customHeight="1" outlineLevel="2">
      <c r="B79" s="192"/>
      <c r="C79" s="170" t="s">
        <v>130</v>
      </c>
      <c r="D79" s="193" t="e">
        <f>TAGELE($D$46,"Accident",$D$45,iQuote_Version)*$D$22</f>
        <v>#REF!</v>
      </c>
      <c r="E79" s="50"/>
      <c r="F79" s="49" t="s">
        <v>131</v>
      </c>
      <c r="G79" s="194" t="e">
        <f>TSUBURBLARGE($G46,"Accident Frequency",iQuote_Version)</f>
        <v>#REF!</v>
      </c>
      <c r="H79" s="50"/>
      <c r="I79" s="170" t="s">
        <v>132</v>
      </c>
      <c r="J79" s="193" t="e">
        <f>AGERESTRICTIONLE(J45,iQuote_Version)</f>
        <v>#REF!</v>
      </c>
      <c r="K79" s="148"/>
      <c r="L79" s="49"/>
      <c r="M79" s="52"/>
      <c r="N79"/>
      <c r="O79"/>
      <c r="AR79" s="112">
        <f t="shared" si="6"/>
        <v>64</v>
      </c>
      <c r="AS79" s="149"/>
      <c r="AT79" s="149"/>
      <c r="AU79" s="149"/>
      <c r="AV79" s="149"/>
      <c r="AW79" s="149"/>
      <c r="AX79" s="113" t="str">
        <f>'Data Sample'!G75</f>
        <v>P02A931</v>
      </c>
      <c r="AY79" s="113" t="str">
        <f>'Data Sample'!G1084</f>
        <v>V0562228843369</v>
      </c>
      <c r="AZ79" s="113" t="str">
        <f>'Data Sample'!G580</f>
        <v>AU0051-52-078</v>
      </c>
      <c r="BA79" s="118"/>
      <c r="BC79" s="119" t="str">
        <f t="shared" si="0"/>
        <v>P02A931 (64)</v>
      </c>
      <c r="BD79" s="119" t="str">
        <f t="shared" si="1"/>
        <v>V0562228843369 (64)</v>
      </c>
      <c r="BE79" s="119" t="str">
        <f t="shared" si="2"/>
        <v>AU0051-52-078 (64)</v>
      </c>
    </row>
    <row r="80" spans="2:187" outlineLevel="2">
      <c r="B80" s="192"/>
      <c r="C80" s="170" t="s">
        <v>133</v>
      </c>
      <c r="D80" s="193" t="e">
        <f>TMARITALLE($D$47,"Accident",iQuote_Version)*D22</f>
        <v>#REF!</v>
      </c>
      <c r="E80" s="50"/>
      <c r="F80" s="49" t="s">
        <v>134</v>
      </c>
      <c r="G80" s="194" t="e">
        <f>TSUBURBLARGE($G47,"Accident Frequency",iQuote_Version)</f>
        <v>#REF!</v>
      </c>
      <c r="H80" s="50"/>
      <c r="I80" s="773"/>
      <c r="J80" s="774"/>
      <c r="K80" s="148"/>
      <c r="L80" s="49"/>
      <c r="M80" s="52"/>
      <c r="N80"/>
      <c r="O80"/>
      <c r="AR80" s="112">
        <f t="shared" ref="AR80:AR143" si="7">1+AR79</f>
        <v>65</v>
      </c>
      <c r="AS80" s="149"/>
      <c r="AT80" s="149"/>
      <c r="AU80" s="149"/>
      <c r="AV80" s="149"/>
      <c r="AW80" s="149"/>
      <c r="AX80" s="113" t="str">
        <f>'Data Sample'!G76</f>
        <v>P02A79</v>
      </c>
      <c r="AY80" s="113" t="str">
        <f>'Data Sample'!G1085</f>
        <v>V0971529772110</v>
      </c>
      <c r="AZ80" s="113" t="str">
        <f>'Data Sample'!G581</f>
        <v>AU0072-25-666</v>
      </c>
      <c r="BA80" s="118"/>
      <c r="BC80" s="119" t="str">
        <f t="shared" ref="BC80:BC143" si="8">AX80 &amp; " ("&amp; $AR80 &amp; ")"</f>
        <v>P02A79 (65)</v>
      </c>
      <c r="BD80" s="119" t="str">
        <f t="shared" ref="BD80:BD143" si="9">AY80 &amp; " ("&amp; $AR80 &amp; ")"</f>
        <v>V0971529772110 (65)</v>
      </c>
      <c r="BE80" s="119" t="str">
        <f t="shared" ref="BE80:BE143" si="10">AZ80 &amp; " ("&amp; $AR80 &amp; ")"</f>
        <v>AU0072-25-666 (65)</v>
      </c>
    </row>
    <row r="81" spans="1:57" outlineLevel="2">
      <c r="B81" s="192"/>
      <c r="C81" s="170" t="s">
        <v>135</v>
      </c>
      <c r="D81" s="193" t="e">
        <f>TOLDCLMSLE("Licence Period","Accident",$D$50,iQuote_Version)</f>
        <v>#REF!</v>
      </c>
      <c r="E81" s="50"/>
      <c r="F81" s="49" t="s">
        <v>136</v>
      </c>
      <c r="G81" s="194" t="e">
        <f>TVEHICLELARGE($G$45,"Accident Frequency",iQuote_Version)</f>
        <v>#REF!</v>
      </c>
      <c r="H81" s="50"/>
      <c r="I81" s="773"/>
      <c r="J81" s="774"/>
      <c r="K81" s="148"/>
      <c r="L81" s="49"/>
      <c r="M81" s="52"/>
      <c r="N81"/>
      <c r="O81"/>
      <c r="AR81" s="112">
        <f t="shared" si="7"/>
        <v>66</v>
      </c>
      <c r="AS81" s="149"/>
      <c r="AT81" s="149"/>
      <c r="AU81" s="149"/>
      <c r="AV81" s="149"/>
      <c r="AW81" s="149"/>
      <c r="AX81" s="113" t="str">
        <f>'Data Sample'!G77</f>
        <v>P02A696</v>
      </c>
      <c r="AY81" s="113" t="str">
        <f>'Data Sample'!G1086</f>
        <v>V0395337605097</v>
      </c>
      <c r="AZ81" s="113" t="str">
        <f>'Data Sample'!G582</f>
        <v>AU0076-17-400</v>
      </c>
      <c r="BA81" s="118"/>
      <c r="BC81" s="119" t="str">
        <f t="shared" si="8"/>
        <v>P02A696 (66)</v>
      </c>
      <c r="BD81" s="119" t="str">
        <f t="shared" si="9"/>
        <v>V0395337605097 (66)</v>
      </c>
      <c r="BE81" s="119" t="str">
        <f t="shared" si="10"/>
        <v>AU0076-17-400 (66)</v>
      </c>
    </row>
    <row r="82" spans="1:57">
      <c r="B82" s="192"/>
      <c r="C82" s="170" t="s">
        <v>137</v>
      </c>
      <c r="D82" s="193" t="e">
        <f>TOLDCLMSLE("Old Claims","Accident",$D$51,iQuote_Version)</f>
        <v>#REF!</v>
      </c>
      <c r="E82" s="50"/>
      <c r="F82" s="49" t="s">
        <v>138</v>
      </c>
      <c r="G82" s="193" t="e">
        <f>TMV_VEHICLEYEARLE(G49,iQuote_Version)</f>
        <v>#REF!</v>
      </c>
      <c r="H82" s="50"/>
      <c r="I82" s="773"/>
      <c r="J82" s="774"/>
      <c r="K82" s="148"/>
      <c r="L82" s="49"/>
      <c r="M82" s="52"/>
      <c r="N82"/>
      <c r="O82"/>
      <c r="AR82" s="112">
        <f t="shared" si="7"/>
        <v>67</v>
      </c>
      <c r="AS82" s="149"/>
      <c r="AT82" s="149"/>
      <c r="AU82" s="149"/>
      <c r="AV82" s="149"/>
      <c r="AW82" s="149"/>
      <c r="AX82" s="113" t="str">
        <f>'Data Sample'!G78</f>
        <v>P02A583</v>
      </c>
      <c r="AY82" s="113" t="str">
        <f>'Data Sample'!G1087</f>
        <v>V0657799781029</v>
      </c>
      <c r="AZ82" s="113" t="str">
        <f>'Data Sample'!G583</f>
        <v>AU0085-43-483</v>
      </c>
      <c r="BA82" s="118"/>
      <c r="BC82" s="119" t="str">
        <f t="shared" si="8"/>
        <v>P02A583 (67)</v>
      </c>
      <c r="BD82" s="119" t="str">
        <f t="shared" si="9"/>
        <v>V0657799781029 (67)</v>
      </c>
      <c r="BE82" s="119" t="str">
        <f t="shared" si="10"/>
        <v>AU0085-43-483 (67)</v>
      </c>
    </row>
    <row r="83" spans="1:57">
      <c r="B83" s="192"/>
      <c r="C83" s="170" t="s">
        <v>139</v>
      </c>
      <c r="D83" s="193" t="e">
        <f>PARAMETERQUESTIONLE("Other Vehicle","Accident",$D$52,iQuote_Version)</f>
        <v>#REF!</v>
      </c>
      <c r="E83" s="50"/>
      <c r="F83" s="195" t="s">
        <v>140</v>
      </c>
      <c r="G83" s="196" t="e">
        <f ca="1">G52</f>
        <v>#NAME?</v>
      </c>
      <c r="H83" s="50"/>
      <c r="I83" s="773"/>
      <c r="J83" s="774"/>
      <c r="K83" s="148"/>
      <c r="L83" s="49"/>
      <c r="M83" s="52"/>
      <c r="N83"/>
      <c r="O83"/>
      <c r="AR83" s="112">
        <f t="shared" si="7"/>
        <v>68</v>
      </c>
      <c r="AS83" s="149"/>
      <c r="AT83" s="149"/>
      <c r="AU83" s="149"/>
      <c r="AV83" s="149"/>
      <c r="AW83" s="149"/>
      <c r="AX83" s="113" t="str">
        <f>'Data Sample'!G79</f>
        <v>P02A435</v>
      </c>
      <c r="AY83" s="113" t="str">
        <f>'Data Sample'!G1088</f>
        <v>V0791777538554</v>
      </c>
      <c r="AZ83" s="113" t="str">
        <f>'Data Sample'!G584</f>
        <v>AU0043-92-675</v>
      </c>
      <c r="BA83" s="118"/>
      <c r="BC83" s="119" t="str">
        <f t="shared" si="8"/>
        <v>P02A435 (68)</v>
      </c>
      <c r="BD83" s="119" t="str">
        <f t="shared" si="9"/>
        <v>V0791777538554 (68)</v>
      </c>
      <c r="BE83" s="119" t="str">
        <f t="shared" si="10"/>
        <v>AU0043-92-675 (68)</v>
      </c>
    </row>
    <row r="84" spans="1:57">
      <c r="A84" s="197"/>
      <c r="B84" s="197"/>
      <c r="C84" s="170" t="s">
        <v>141</v>
      </c>
      <c r="D84" s="193" t="e">
        <f>TSUSPENSIONLE(D53,iQuote_Version)</f>
        <v>#REF!</v>
      </c>
      <c r="E84" s="50"/>
      <c r="F84" s="49" t="s">
        <v>142</v>
      </c>
      <c r="G84" s="193" t="e">
        <f>TVEHICLEUSELE("Accident Frequency",$G$53,iQuote_Version)</f>
        <v>#REF!</v>
      </c>
      <c r="H84" s="50"/>
      <c r="I84" s="773"/>
      <c r="J84" s="774"/>
      <c r="K84" s="148"/>
      <c r="L84" s="49"/>
      <c r="M84" s="52"/>
      <c r="N84"/>
      <c r="O84"/>
      <c r="AR84" s="112">
        <f t="shared" si="7"/>
        <v>69</v>
      </c>
      <c r="AS84" s="149"/>
      <c r="AT84" s="149"/>
      <c r="AU84" s="149"/>
      <c r="AV84" s="149"/>
      <c r="AW84" s="149"/>
      <c r="AX84" s="113" t="str">
        <f>'Data Sample'!G80</f>
        <v>P02A317</v>
      </c>
      <c r="AY84" s="113" t="str">
        <f>'Data Sample'!G1089</f>
        <v>V0101069715492</v>
      </c>
      <c r="AZ84" s="113" t="str">
        <f>'Data Sample'!G585</f>
        <v>AU0030-85-865</v>
      </c>
      <c r="BA84" s="118"/>
      <c r="BC84" s="119" t="str">
        <f t="shared" si="8"/>
        <v>P02A317 (69)</v>
      </c>
      <c r="BD84" s="119" t="str">
        <f t="shared" si="9"/>
        <v>V0101069715492 (69)</v>
      </c>
      <c r="BE84" s="119" t="str">
        <f t="shared" si="10"/>
        <v>AU0030-85-865 (69)</v>
      </c>
    </row>
    <row r="85" spans="1:57">
      <c r="A85" s="197"/>
      <c r="B85" s="197"/>
      <c r="C85" s="170" t="s">
        <v>143</v>
      </c>
      <c r="D85" s="193" t="e">
        <f>TAGELE(D55,"Accident",D54,iQuote_Version)*D23</f>
        <v>#REF!</v>
      </c>
      <c r="E85" s="50"/>
      <c r="F85" s="49" t="s">
        <v>144</v>
      </c>
      <c r="G85" s="193" t="e">
        <f>PARAMETERQUESTIONLE("Vehicle for 4x4 use","Accident",G54,iQuote_Version)</f>
        <v>#REF!</v>
      </c>
      <c r="H85" s="50"/>
      <c r="I85" s="773"/>
      <c r="J85" s="774"/>
      <c r="K85" s="148"/>
      <c r="L85" s="49"/>
      <c r="M85" s="52"/>
      <c r="N85"/>
      <c r="O85"/>
      <c r="AR85" s="112">
        <f t="shared" si="7"/>
        <v>70</v>
      </c>
      <c r="AS85" s="149"/>
      <c r="AT85" s="149"/>
      <c r="AU85" s="149"/>
      <c r="AV85" s="149"/>
      <c r="AW85" s="149"/>
      <c r="AX85" s="113" t="str">
        <f>'Data Sample'!G81</f>
        <v>P02A6</v>
      </c>
      <c r="AY85" s="113" t="str">
        <f>'Data Sample'!G1090</f>
        <v>V0403121712755</v>
      </c>
      <c r="AZ85" s="113" t="str">
        <f>'Data Sample'!G586</f>
        <v>AU0014-34-113</v>
      </c>
      <c r="BA85" s="118"/>
      <c r="BC85" s="119" t="str">
        <f t="shared" si="8"/>
        <v>P02A6 (70)</v>
      </c>
      <c r="BD85" s="119" t="str">
        <f t="shared" si="9"/>
        <v>V0403121712755 (70)</v>
      </c>
      <c r="BE85" s="119" t="str">
        <f t="shared" si="10"/>
        <v>AU0014-34-113 (70)</v>
      </c>
    </row>
    <row r="86" spans="1:57">
      <c r="A86" s="197"/>
      <c r="B86" s="197"/>
      <c r="C86" s="170" t="s">
        <v>145</v>
      </c>
      <c r="D86" s="193" t="e">
        <f>TMARITALLE(D56,"Accident",iQuote_Version)*D23</f>
        <v>#REF!</v>
      </c>
      <c r="E86" s="50"/>
      <c r="F86" s="49" t="s">
        <v>146</v>
      </c>
      <c r="G86" s="193" t="e">
        <f>TVEH_KM_LE($G$56,"Accident Frequency",iQuote_Version)</f>
        <v>#REF!</v>
      </c>
      <c r="H86" s="50"/>
      <c r="I86" s="773"/>
      <c r="J86" s="774"/>
      <c r="K86" s="148"/>
      <c r="L86" s="49"/>
      <c r="M86" s="52"/>
      <c r="N86"/>
      <c r="O86"/>
      <c r="AR86" s="112">
        <f t="shared" si="7"/>
        <v>71</v>
      </c>
      <c r="AS86" s="149"/>
      <c r="AT86" s="149"/>
      <c r="AU86" s="149"/>
      <c r="AV86" s="149"/>
      <c r="AW86" s="149"/>
      <c r="AX86" s="113" t="str">
        <f>'Data Sample'!G82</f>
        <v>P02A341</v>
      </c>
      <c r="AY86" s="113" t="str">
        <f>'Data Sample'!G1091</f>
        <v>V0627872595895</v>
      </c>
      <c r="AZ86" s="113" t="str">
        <f>'Data Sample'!G587</f>
        <v>AU0098-68-928</v>
      </c>
      <c r="BA86" s="118"/>
      <c r="BC86" s="119" t="str">
        <f t="shared" si="8"/>
        <v>P02A341 (71)</v>
      </c>
      <c r="BD86" s="119" t="str">
        <f t="shared" si="9"/>
        <v>V0627872595895 (71)</v>
      </c>
      <c r="BE86" s="119" t="str">
        <f t="shared" si="10"/>
        <v>AU0098-68-928 (71)</v>
      </c>
    </row>
    <row r="87" spans="1:57">
      <c r="A87" s="197"/>
      <c r="B87" s="197"/>
      <c r="C87" s="49"/>
      <c r="D87" s="774"/>
      <c r="E87" s="148"/>
      <c r="F87" s="49" t="s">
        <v>147</v>
      </c>
      <c r="G87" s="193" t="e">
        <f>PARAMETERQUESTIONLE("Mobile phone kit fitted","Accident",G57,iQuote_Version)</f>
        <v>#REF!</v>
      </c>
      <c r="H87" s="50"/>
      <c r="I87" s="773"/>
      <c r="J87" s="774"/>
      <c r="K87" s="148"/>
      <c r="L87" s="49"/>
      <c r="M87" s="52"/>
      <c r="N87"/>
      <c r="O87"/>
      <c r="AR87" s="112">
        <f t="shared" si="7"/>
        <v>72</v>
      </c>
      <c r="AS87" s="149"/>
      <c r="AT87" s="149"/>
      <c r="AU87" s="149"/>
      <c r="AV87" s="149"/>
      <c r="AW87" s="149"/>
      <c r="AX87" s="113" t="str">
        <f>'Data Sample'!G83</f>
        <v>P02A987</v>
      </c>
      <c r="AY87" s="113" t="str">
        <f>'Data Sample'!G1092</f>
        <v>V0067816828870</v>
      </c>
      <c r="AZ87" s="113" t="str">
        <f>'Data Sample'!G588</f>
        <v>AU0099-53-161</v>
      </c>
      <c r="BA87" s="118"/>
      <c r="BC87" s="119" t="str">
        <f t="shared" si="8"/>
        <v>P02A987 (72)</v>
      </c>
      <c r="BD87" s="119" t="str">
        <f t="shared" si="9"/>
        <v>V0067816828870 (72)</v>
      </c>
      <c r="BE87" s="119" t="str">
        <f t="shared" si="10"/>
        <v>AU0099-53-161 (72)</v>
      </c>
    </row>
    <row r="88" spans="1:57">
      <c r="B88" s="198"/>
      <c r="C88" s="49"/>
      <c r="D88" s="774"/>
      <c r="E88" s="148"/>
      <c r="F88" s="49" t="s">
        <v>148</v>
      </c>
      <c r="G88" s="193" t="e">
        <f>PARAMETERQUESTIONLE("Currently Insured?","Accident",$G$58,iQuote_Version)</f>
        <v>#REF!</v>
      </c>
      <c r="H88" s="50"/>
      <c r="I88" s="773"/>
      <c r="J88" s="774"/>
      <c r="K88" s="148"/>
      <c r="L88" s="49"/>
      <c r="M88" s="52"/>
      <c r="N88"/>
      <c r="O88"/>
      <c r="AR88" s="112">
        <f t="shared" si="7"/>
        <v>73</v>
      </c>
      <c r="AS88" s="149"/>
      <c r="AT88" s="149"/>
      <c r="AU88" s="149"/>
      <c r="AV88" s="149"/>
      <c r="AW88" s="149"/>
      <c r="AX88" s="113" t="str">
        <f>'Data Sample'!G84</f>
        <v>P02A927</v>
      </c>
      <c r="AY88" s="113" t="str">
        <f>'Data Sample'!G1093</f>
        <v>V0447457449387</v>
      </c>
      <c r="AZ88" s="113" t="str">
        <f>'Data Sample'!G589</f>
        <v>AU0036-98-790</v>
      </c>
      <c r="BA88" s="118"/>
      <c r="BC88" s="119" t="str">
        <f t="shared" si="8"/>
        <v>P02A927 (73)</v>
      </c>
      <c r="BD88" s="119" t="str">
        <f t="shared" si="9"/>
        <v>V0447457449387 (73)</v>
      </c>
      <c r="BE88" s="119" t="str">
        <f t="shared" si="10"/>
        <v>AU0036-98-790 (73)</v>
      </c>
    </row>
    <row r="89" spans="1:57" ht="30">
      <c r="B89" s="198"/>
      <c r="C89" s="49"/>
      <c r="D89" s="774"/>
      <c r="E89" s="148"/>
      <c r="F89" s="195" t="s">
        <v>149</v>
      </c>
      <c r="G89" s="196"/>
      <c r="H89" s="50"/>
      <c r="I89" s="773"/>
      <c r="J89" s="774"/>
      <c r="K89" s="148"/>
      <c r="L89" s="49"/>
      <c r="M89" s="52"/>
      <c r="N89"/>
      <c r="O89"/>
      <c r="AR89" s="112">
        <f t="shared" si="7"/>
        <v>74</v>
      </c>
      <c r="AS89" s="149"/>
      <c r="AT89" s="149"/>
      <c r="AU89" s="149"/>
      <c r="AV89" s="149"/>
      <c r="AW89" s="149"/>
      <c r="AX89" s="113" t="str">
        <f>'Data Sample'!G85</f>
        <v>P02A172</v>
      </c>
      <c r="AY89" s="113" t="str">
        <f>'Data Sample'!G1094</f>
        <v>V0155799761560</v>
      </c>
      <c r="AZ89" s="113" t="str">
        <f>'Data Sample'!G590</f>
        <v>AU0095-40-564</v>
      </c>
      <c r="BA89" s="118"/>
      <c r="BC89" s="119" t="str">
        <f t="shared" si="8"/>
        <v>P02A172 (74)</v>
      </c>
      <c r="BD89" s="119" t="str">
        <f t="shared" si="9"/>
        <v>V0155799761560 (74)</v>
      </c>
      <c r="BE89" s="119" t="str">
        <f t="shared" si="10"/>
        <v>AU0095-40-564 (74)</v>
      </c>
    </row>
    <row r="90" spans="1:57" ht="15.75">
      <c r="B90" s="198"/>
      <c r="C90" s="199"/>
      <c r="D90" s="200"/>
      <c r="E90" s="148"/>
      <c r="F90" s="201" t="s">
        <v>150</v>
      </c>
      <c r="G90" s="202" t="e">
        <f>1-NORMSDIST((LN(J46)-J76)/M76)</f>
        <v>#REF!</v>
      </c>
      <c r="H90" s="50"/>
      <c r="I90" s="773"/>
      <c r="J90" s="774"/>
      <c r="K90" s="148"/>
      <c r="L90" s="49"/>
      <c r="M90" s="52"/>
      <c r="N90"/>
      <c r="O90"/>
      <c r="AR90" s="112">
        <f t="shared" si="7"/>
        <v>75</v>
      </c>
      <c r="AS90" s="149"/>
      <c r="AT90" s="149"/>
      <c r="AU90" s="149"/>
      <c r="AV90" s="149"/>
      <c r="AW90" s="149"/>
      <c r="AX90" s="113" t="str">
        <f>'Data Sample'!G86</f>
        <v>P02A419</v>
      </c>
      <c r="AY90" s="113" t="str">
        <f>'Data Sample'!G1095</f>
        <v>V0286667029819</v>
      </c>
      <c r="AZ90" s="113" t="str">
        <f>'Data Sample'!G591</f>
        <v>AU0087-49-233</v>
      </c>
      <c r="BA90" s="118"/>
      <c r="BC90" s="119" t="str">
        <f t="shared" si="8"/>
        <v>P02A419 (75)</v>
      </c>
      <c r="BD90" s="119" t="str">
        <f t="shared" si="9"/>
        <v>V0286667029819 (75)</v>
      </c>
      <c r="BE90" s="119" t="str">
        <f t="shared" si="10"/>
        <v>AU0087-49-233 (75)</v>
      </c>
    </row>
    <row r="91" spans="1:57">
      <c r="A91" s="3"/>
      <c r="B91" s="198"/>
      <c r="C91" s="49"/>
      <c r="D91" s="52"/>
      <c r="E91" s="148"/>
      <c r="F91" s="195" t="s">
        <v>151</v>
      </c>
      <c r="G91" s="203" t="e">
        <f>SUM($D$79,$D$80,$D$81,$D$82,$D$83,$D$84,$D$85,$D$86,$G$79,$G$80,$G$81,$G$82,$G$52,$G$84,$G$85,$G$86,$G$87,$G$88,$J$79,$G$89)</f>
        <v>#REF!</v>
      </c>
      <c r="H91" s="50"/>
      <c r="I91" s="773"/>
      <c r="J91" s="774"/>
      <c r="K91" s="148"/>
      <c r="L91" s="49"/>
      <c r="M91" s="52"/>
      <c r="N91"/>
      <c r="O91"/>
      <c r="AR91" s="112">
        <f t="shared" si="7"/>
        <v>76</v>
      </c>
      <c r="AS91" s="149"/>
      <c r="AT91" s="149"/>
      <c r="AU91" s="149"/>
      <c r="AV91" s="149"/>
      <c r="AW91" s="149"/>
      <c r="AX91" s="113" t="str">
        <f>'Data Sample'!G87</f>
        <v>P02A592</v>
      </c>
      <c r="AY91" s="113" t="str">
        <f>'Data Sample'!G1096</f>
        <v>V0263822782702</v>
      </c>
      <c r="AZ91" s="113" t="str">
        <f>'Data Sample'!G592</f>
        <v>AU0076-10-493</v>
      </c>
      <c r="BA91" s="118"/>
      <c r="BC91" s="119" t="str">
        <f t="shared" si="8"/>
        <v>P02A592 (76)</v>
      </c>
      <c r="BD91" s="119" t="str">
        <f t="shared" si="9"/>
        <v>V0263822782702 (76)</v>
      </c>
      <c r="BE91" s="119" t="str">
        <f t="shared" si="10"/>
        <v>AU0076-10-493 (76)</v>
      </c>
    </row>
    <row r="92" spans="1:57">
      <c r="B92" s="198"/>
      <c r="C92" s="49"/>
      <c r="D92" s="52"/>
      <c r="E92" s="148"/>
      <c r="F92" s="195" t="s">
        <v>152</v>
      </c>
      <c r="G92" s="204" t="e">
        <f>MAX(D21,MIN(D20,1.01^G91 *D19))*G90</f>
        <v>#REF!</v>
      </c>
      <c r="H92" s="50"/>
      <c r="I92" s="773"/>
      <c r="J92" s="774"/>
      <c r="K92" s="148"/>
      <c r="L92" s="49"/>
      <c r="M92" s="52"/>
      <c r="N92"/>
      <c r="O92"/>
      <c r="AR92" s="112">
        <f t="shared" si="7"/>
        <v>77</v>
      </c>
      <c r="AS92" s="149"/>
      <c r="AT92" s="149"/>
      <c r="AU92" s="149"/>
      <c r="AV92" s="149"/>
      <c r="AW92" s="149"/>
      <c r="AX92" s="113" t="str">
        <f>'Data Sample'!G88</f>
        <v>P02A276</v>
      </c>
      <c r="AY92" s="113" t="str">
        <f>'Data Sample'!G1097</f>
        <v>V0136575659800</v>
      </c>
      <c r="AZ92" s="113" t="str">
        <f>'Data Sample'!G593</f>
        <v>AU0029-35-574</v>
      </c>
      <c r="BA92" s="118"/>
      <c r="BC92" s="119" t="str">
        <f t="shared" si="8"/>
        <v>P02A276 (77)</v>
      </c>
      <c r="BD92" s="119" t="str">
        <f t="shared" si="9"/>
        <v>V0136575659800 (77)</v>
      </c>
      <c r="BE92" s="119" t="str">
        <f t="shared" si="10"/>
        <v>AU0029-35-574 (77)</v>
      </c>
    </row>
    <row r="93" spans="1:57">
      <c r="B93" s="198"/>
      <c r="C93" s="49"/>
      <c r="D93" s="52"/>
      <c r="E93" s="148"/>
      <c r="F93" s="195" t="s">
        <v>153</v>
      </c>
      <c r="G93" s="205" t="e">
        <f>TVEHICLELARGE(G45,"Vehicle","WriteoffPoint")</f>
        <v>#REF!</v>
      </c>
      <c r="H93" s="50"/>
      <c r="I93" s="773"/>
      <c r="J93" s="774"/>
      <c r="K93" s="148"/>
      <c r="L93" s="49"/>
      <c r="M93" s="52"/>
      <c r="N93"/>
      <c r="O93"/>
      <c r="AR93" s="112">
        <f t="shared" si="7"/>
        <v>78</v>
      </c>
      <c r="AS93" s="149"/>
      <c r="AT93" s="149"/>
      <c r="AU93" s="149"/>
      <c r="AV93" s="149"/>
      <c r="AW93" s="149"/>
      <c r="AX93" s="113" t="str">
        <f>'Data Sample'!G89</f>
        <v>P02A805</v>
      </c>
      <c r="AY93" s="113" t="str">
        <f>'Data Sample'!G1098</f>
        <v>V0209839119466</v>
      </c>
      <c r="AZ93" s="113" t="str">
        <f>'Data Sample'!G594</f>
        <v>AU0012-06-535</v>
      </c>
      <c r="BA93" s="118"/>
      <c r="BC93" s="119" t="str">
        <f t="shared" si="8"/>
        <v>P02A805 (78)</v>
      </c>
      <c r="BD93" s="119" t="str">
        <f t="shared" si="9"/>
        <v>V0209839119466 (78)</v>
      </c>
      <c r="BE93" s="119" t="str">
        <f t="shared" si="10"/>
        <v>AU0012-06-535 (78)</v>
      </c>
    </row>
    <row r="94" spans="1:57">
      <c r="C94" s="49"/>
      <c r="D94" s="52"/>
      <c r="E94" s="148"/>
      <c r="F94" s="195" t="s">
        <v>154</v>
      </c>
      <c r="G94" s="193" t="e">
        <f>MAX(3000,J47)+G59</f>
        <v>#REF!</v>
      </c>
      <c r="H94" s="50"/>
      <c r="I94" s="773"/>
      <c r="J94" s="774"/>
      <c r="K94" s="148"/>
      <c r="L94" s="49"/>
      <c r="M94" s="52"/>
      <c r="N94"/>
      <c r="O94"/>
      <c r="AR94" s="112">
        <f t="shared" si="7"/>
        <v>79</v>
      </c>
      <c r="AS94" s="149"/>
      <c r="AT94" s="149"/>
      <c r="AU94" s="149"/>
      <c r="AV94" s="149"/>
      <c r="AW94" s="149"/>
      <c r="AX94" s="113" t="str">
        <f>'Data Sample'!G90</f>
        <v>P02A612</v>
      </c>
      <c r="AY94" s="113" t="str">
        <f>'Data Sample'!G1099</f>
        <v>V0574441543229</v>
      </c>
      <c r="AZ94" s="113" t="str">
        <f>'Data Sample'!G595</f>
        <v>AU0088-74-442</v>
      </c>
      <c r="BA94" s="118"/>
      <c r="BC94" s="119" t="str">
        <f t="shared" si="8"/>
        <v>P02A612 (79)</v>
      </c>
      <c r="BD94" s="119" t="str">
        <f t="shared" si="9"/>
        <v>V0574441543229 (79)</v>
      </c>
      <c r="BE94" s="119" t="str">
        <f t="shared" si="10"/>
        <v>AU0088-74-442 (79)</v>
      </c>
    </row>
    <row r="95" spans="1:57" ht="15.75">
      <c r="C95" s="49"/>
      <c r="D95" s="774"/>
      <c r="E95" s="148"/>
      <c r="F95" s="195" t="s">
        <v>155</v>
      </c>
      <c r="G95" s="206" t="e">
        <f>TVEHICLELARGE($G$45,"ENV",iQuote_Version)</f>
        <v>#REF!</v>
      </c>
      <c r="H95" s="50"/>
      <c r="I95" s="773"/>
      <c r="J95" s="774"/>
      <c r="K95" s="148" t="s">
        <v>81</v>
      </c>
      <c r="L95" s="49"/>
      <c r="M95" s="52"/>
      <c r="N95"/>
      <c r="O95"/>
      <c r="AR95" s="112">
        <f t="shared" si="7"/>
        <v>80</v>
      </c>
      <c r="AS95" s="149"/>
      <c r="AT95" s="149"/>
      <c r="AU95" s="149"/>
      <c r="AV95" s="149"/>
      <c r="AW95" s="149"/>
      <c r="AX95" s="113" t="str">
        <f>'Data Sample'!G91</f>
        <v>P02A457</v>
      </c>
      <c r="AY95" s="113" t="str">
        <f>'Data Sample'!G1100</f>
        <v>V0212324486536</v>
      </c>
      <c r="AZ95" s="113" t="str">
        <f>'Data Sample'!G596</f>
        <v>AU0044-16-194</v>
      </c>
      <c r="BA95" s="118"/>
      <c r="BC95" s="119" t="str">
        <f t="shared" si="8"/>
        <v>P02A457 (80)</v>
      </c>
      <c r="BD95" s="119" t="str">
        <f t="shared" si="9"/>
        <v>V0212324486536 (80)</v>
      </c>
      <c r="BE95" s="119" t="str">
        <f t="shared" si="10"/>
        <v>AU0044-16-194 (80)</v>
      </c>
    </row>
    <row r="96" spans="1:57">
      <c r="B96" s="198"/>
      <c r="C96" s="49"/>
      <c r="D96" s="52"/>
      <c r="E96" s="148"/>
      <c r="F96" s="195" t="s">
        <v>156</v>
      </c>
      <c r="G96" s="207" t="e">
        <f>G93*(G94/G95)</f>
        <v>#REF!</v>
      </c>
      <c r="H96" s="50"/>
      <c r="I96" s="773"/>
      <c r="J96" s="774"/>
      <c r="K96" s="148" t="s">
        <v>81</v>
      </c>
      <c r="L96" s="49"/>
      <c r="M96" s="52"/>
      <c r="N96"/>
      <c r="O96"/>
      <c r="AR96" s="112">
        <f t="shared" si="7"/>
        <v>81</v>
      </c>
      <c r="AS96" s="149"/>
      <c r="AT96" s="149"/>
      <c r="AU96" s="149"/>
      <c r="AV96" s="149"/>
      <c r="AW96" s="149"/>
      <c r="AX96" s="113" t="str">
        <f>'Data Sample'!G92</f>
        <v>P02A261</v>
      </c>
      <c r="AY96" s="113" t="str">
        <f>'Data Sample'!G1101</f>
        <v>V0294387399146</v>
      </c>
      <c r="AZ96" s="113" t="str">
        <f>'Data Sample'!G597</f>
        <v>AU0008-68-323</v>
      </c>
      <c r="BA96" s="118"/>
      <c r="BC96" s="119" t="str">
        <f t="shared" si="8"/>
        <v>P02A261 (81)</v>
      </c>
      <c r="BD96" s="119" t="str">
        <f t="shared" si="9"/>
        <v>V0294387399146 (81)</v>
      </c>
      <c r="BE96" s="119" t="str">
        <f t="shared" si="10"/>
        <v>AU0008-68-323 (81)</v>
      </c>
    </row>
    <row r="97" spans="1:57">
      <c r="B97" s="198"/>
      <c r="C97" s="49"/>
      <c r="D97" s="52"/>
      <c r="E97" s="148"/>
      <c r="F97" s="195" t="s">
        <v>157</v>
      </c>
      <c r="G97" s="207" t="e">
        <f>J46/G95</f>
        <v>#REF!</v>
      </c>
      <c r="H97" s="50"/>
      <c r="I97" s="773"/>
      <c r="J97" s="774"/>
      <c r="K97" s="148" t="s">
        <v>81</v>
      </c>
      <c r="L97" s="49"/>
      <c r="M97" s="52"/>
      <c r="N97"/>
      <c r="O97"/>
      <c r="AR97" s="112">
        <f t="shared" si="7"/>
        <v>82</v>
      </c>
      <c r="AS97" s="149"/>
      <c r="AT97" s="149"/>
      <c r="AU97" s="149"/>
      <c r="AV97" s="149"/>
      <c r="AW97" s="149"/>
      <c r="AX97" s="113" t="str">
        <f>'Data Sample'!G93</f>
        <v>P02A439</v>
      </c>
      <c r="AY97" s="113" t="str">
        <f>'Data Sample'!G1102</f>
        <v>V0033922363410</v>
      </c>
      <c r="AZ97" s="113" t="str">
        <f>'Data Sample'!G598</f>
        <v>AU0064-94-605</v>
      </c>
      <c r="BA97" s="118"/>
      <c r="BC97" s="119" t="str">
        <f t="shared" si="8"/>
        <v>P02A439 (82)</v>
      </c>
      <c r="BD97" s="119" t="str">
        <f t="shared" si="9"/>
        <v>V0033922363410 (82)</v>
      </c>
      <c r="BE97" s="119" t="str">
        <f t="shared" si="10"/>
        <v>AU0064-94-605 (82)</v>
      </c>
    </row>
    <row r="98" spans="1:57">
      <c r="C98" s="49"/>
      <c r="D98" s="52"/>
      <c r="E98" s="148"/>
      <c r="F98" s="195" t="s">
        <v>158</v>
      </c>
      <c r="G98" s="208" t="e">
        <f>IF(G94&lt;=J46,0,EXP(J76+0.5*M76*M76)*(NORMSDIST((LN(G93*G94)-J76-M76*M76)/M76)-NORMSDIST((LN(J46)-J76-M76*M76)/M76))-J46*(1-NORMSDIST((LN(J46)-J76)/M76))+G94*(1-NORMSDIST((LN(G93*G94)-J76)/M76)))</f>
        <v>#REF!</v>
      </c>
      <c r="H98" s="50"/>
      <c r="I98" s="773"/>
      <c r="J98" s="774"/>
      <c r="K98" s="148"/>
      <c r="L98" s="49"/>
      <c r="M98" s="52"/>
      <c r="N98"/>
      <c r="O98"/>
      <c r="AR98" s="112">
        <f t="shared" si="7"/>
        <v>83</v>
      </c>
      <c r="AS98" s="149"/>
      <c r="AT98" s="149"/>
      <c r="AU98" s="149"/>
      <c r="AV98" s="149"/>
      <c r="AW98" s="149"/>
      <c r="AX98" s="113" t="str">
        <f>'Data Sample'!G94</f>
        <v>P02A889</v>
      </c>
      <c r="AY98" s="113" t="str">
        <f>'Data Sample'!G1103</f>
        <v>V0317954402658</v>
      </c>
      <c r="AZ98" s="113" t="str">
        <f>'Data Sample'!G599</f>
        <v>AU0055-40-263</v>
      </c>
      <c r="BA98" s="118"/>
      <c r="BC98" s="119" t="str">
        <f t="shared" si="8"/>
        <v>P02A889 (83)</v>
      </c>
      <c r="BD98" s="119" t="str">
        <f t="shared" si="9"/>
        <v>V0317954402658 (83)</v>
      </c>
      <c r="BE98" s="119" t="str">
        <f t="shared" si="10"/>
        <v>AU0055-40-263 (83)</v>
      </c>
    </row>
    <row r="99" spans="1:57">
      <c r="C99" s="49"/>
      <c r="D99" s="52"/>
      <c r="E99" s="148"/>
      <c r="F99" s="195" t="s">
        <v>159</v>
      </c>
      <c r="G99" s="209" t="e">
        <f>TSUBURBLARGE($G$46,"Accident Severity",iQuote_Version)</f>
        <v>#REF!</v>
      </c>
      <c r="H99" s="50"/>
      <c r="I99" s="773"/>
      <c r="J99" s="774"/>
      <c r="K99" s="148"/>
      <c r="L99" s="49"/>
      <c r="M99" s="52"/>
      <c r="N99"/>
      <c r="O99"/>
      <c r="AR99" s="112">
        <f t="shared" si="7"/>
        <v>84</v>
      </c>
      <c r="AS99" s="149"/>
      <c r="AT99" s="149"/>
      <c r="AU99" s="149"/>
      <c r="AV99" s="149"/>
      <c r="AW99" s="149"/>
      <c r="AX99" s="113" t="str">
        <f>'Data Sample'!G95</f>
        <v>P02A171</v>
      </c>
      <c r="AY99" s="113" t="str">
        <f>'Data Sample'!G1104</f>
        <v>V0817080437756</v>
      </c>
      <c r="AZ99" s="113" t="str">
        <f>'Data Sample'!G600</f>
        <v>AU0005-63-608</v>
      </c>
      <c r="BA99" s="118"/>
      <c r="BC99" s="119" t="str">
        <f t="shared" si="8"/>
        <v>P02A171 (84)</v>
      </c>
      <c r="BD99" s="119" t="str">
        <f t="shared" si="9"/>
        <v>V0817080437756 (84)</v>
      </c>
      <c r="BE99" s="119" t="str">
        <f t="shared" si="10"/>
        <v>AU0005-63-608 (84)</v>
      </c>
    </row>
    <row r="100" spans="1:57">
      <c r="A100" s="210"/>
      <c r="B100" s="210"/>
      <c r="C100" s="49"/>
      <c r="D100" s="52"/>
      <c r="E100" s="148"/>
      <c r="F100" s="195" t="s">
        <v>160</v>
      </c>
      <c r="G100" s="209" t="e">
        <f>TSUBURBLARGE($G$47,"Accident Severity",iQuote_Version)</f>
        <v>#REF!</v>
      </c>
      <c r="H100" s="50"/>
      <c r="I100" s="773"/>
      <c r="J100" s="774"/>
      <c r="K100" s="148"/>
      <c r="L100" s="49"/>
      <c r="M100" s="52"/>
      <c r="N100"/>
      <c r="O100"/>
      <c r="AR100" s="112">
        <f t="shared" si="7"/>
        <v>85</v>
      </c>
      <c r="AS100" s="149"/>
      <c r="AT100" s="149"/>
      <c r="AU100" s="149"/>
      <c r="AV100" s="149"/>
      <c r="AW100" s="149"/>
      <c r="AX100" s="113" t="str">
        <f>'Data Sample'!G96</f>
        <v>P02A584</v>
      </c>
      <c r="AY100" s="113" t="str">
        <f>'Data Sample'!G1105</f>
        <v>V0337172984282</v>
      </c>
      <c r="AZ100" s="113" t="str">
        <f>'Data Sample'!G601</f>
        <v>AU0037-60-153</v>
      </c>
      <c r="BA100" s="118"/>
      <c r="BC100" s="119" t="str">
        <f t="shared" si="8"/>
        <v>P02A584 (85)</v>
      </c>
      <c r="BD100" s="119" t="str">
        <f t="shared" si="9"/>
        <v>V0337172984282 (85)</v>
      </c>
      <c r="BE100" s="119" t="str">
        <f t="shared" si="10"/>
        <v>AU0037-60-153 (85)</v>
      </c>
    </row>
    <row r="101" spans="1:57">
      <c r="A101" s="210"/>
      <c r="B101" s="210"/>
      <c r="C101" s="49"/>
      <c r="D101" s="52"/>
      <c r="E101" s="148"/>
      <c r="F101" s="195" t="s">
        <v>161</v>
      </c>
      <c r="G101" s="209" t="e">
        <f>TVEHICLELARGE($G$45,"Accident Severity",iQuote_Version)</f>
        <v>#REF!</v>
      </c>
      <c r="H101" s="50"/>
      <c r="I101" s="773"/>
      <c r="J101" s="774"/>
      <c r="K101" s="148"/>
      <c r="L101" s="49"/>
      <c r="M101" s="52"/>
      <c r="N101"/>
      <c r="O101"/>
      <c r="AR101" s="112">
        <f t="shared" si="7"/>
        <v>86</v>
      </c>
      <c r="AS101" s="149"/>
      <c r="AT101" s="149"/>
      <c r="AU101" s="149"/>
      <c r="AV101" s="149"/>
      <c r="AW101" s="149"/>
      <c r="AX101" s="113" t="str">
        <f>'Data Sample'!G97</f>
        <v>P02A602</v>
      </c>
      <c r="AY101" s="113" t="str">
        <f>'Data Sample'!G1106</f>
        <v>V0402174056750</v>
      </c>
      <c r="AZ101" s="113" t="str">
        <f>'Data Sample'!G602</f>
        <v>AU0071-80-207</v>
      </c>
      <c r="BA101" s="118"/>
      <c r="BC101" s="119" t="str">
        <f t="shared" si="8"/>
        <v>P02A602 (86)</v>
      </c>
      <c r="BD101" s="119" t="str">
        <f t="shared" si="9"/>
        <v>V0402174056750 (86)</v>
      </c>
      <c r="BE101" s="119" t="str">
        <f t="shared" si="10"/>
        <v>AU0071-80-207 (86)</v>
      </c>
    </row>
    <row r="102" spans="1:57">
      <c r="A102" s="210"/>
      <c r="B102" s="210"/>
      <c r="C102" s="49"/>
      <c r="D102" s="52"/>
      <c r="E102" s="148"/>
      <c r="F102" s="195" t="s">
        <v>162</v>
      </c>
      <c r="G102" s="193" t="e">
        <f>TVEHICLEUSELE("Accident Severity",$G$53,iQuote_Version)</f>
        <v>#REF!</v>
      </c>
      <c r="H102" s="50"/>
      <c r="I102" s="773"/>
      <c r="J102" s="774"/>
      <c r="K102" s="148"/>
      <c r="L102" s="49"/>
      <c r="M102" s="52"/>
      <c r="N102"/>
      <c r="O102"/>
      <c r="AR102" s="112">
        <f t="shared" si="7"/>
        <v>87</v>
      </c>
      <c r="AS102" s="149"/>
      <c r="AT102" s="149"/>
      <c r="AU102" s="149"/>
      <c r="AV102" s="149"/>
      <c r="AW102" s="149"/>
      <c r="AX102" s="113" t="str">
        <f>'Data Sample'!G98</f>
        <v>P02A111</v>
      </c>
      <c r="AY102" s="113" t="str">
        <f>'Data Sample'!G1107</f>
        <v>V0265400964798</v>
      </c>
      <c r="AZ102" s="113" t="str">
        <f>'Data Sample'!G603</f>
        <v>AU0038-94-051</v>
      </c>
      <c r="BA102" s="118"/>
      <c r="BC102" s="119" t="str">
        <f t="shared" si="8"/>
        <v>P02A111 (87)</v>
      </c>
      <c r="BD102" s="119" t="str">
        <f t="shared" si="9"/>
        <v>V0265400964798 (87)</v>
      </c>
      <c r="BE102" s="119" t="str">
        <f t="shared" si="10"/>
        <v>AU0038-94-051 (87)</v>
      </c>
    </row>
    <row r="103" spans="1:57">
      <c r="A103" s="210"/>
      <c r="B103" s="210"/>
      <c r="C103" s="49"/>
      <c r="D103" s="52"/>
      <c r="E103" s="148"/>
      <c r="F103" s="195" t="s">
        <v>163</v>
      </c>
      <c r="G103" s="193" t="e">
        <f>TVEHICLECOLORLE("Accident Severity",$G$60,iQuote_Version)</f>
        <v>#REF!</v>
      </c>
      <c r="H103" s="50"/>
      <c r="I103" s="773"/>
      <c r="J103" s="774"/>
      <c r="K103" s="148"/>
      <c r="L103" s="49"/>
      <c r="M103" s="52"/>
      <c r="N103"/>
      <c r="O103"/>
      <c r="AR103" s="112">
        <f t="shared" si="7"/>
        <v>88</v>
      </c>
      <c r="AS103" s="149"/>
      <c r="AT103" s="149"/>
      <c r="AU103" s="149"/>
      <c r="AV103" s="149"/>
      <c r="AW103" s="149"/>
      <c r="AX103" s="113" t="str">
        <f>'Data Sample'!G99</f>
        <v>P02A401</v>
      </c>
      <c r="AY103" s="113" t="str">
        <f>'Data Sample'!G1108</f>
        <v>V0280171473619</v>
      </c>
      <c r="AZ103" s="113" t="str">
        <f>'Data Sample'!G604</f>
        <v>AU0059-59-449</v>
      </c>
      <c r="BA103" s="118"/>
      <c r="BC103" s="119" t="str">
        <f t="shared" si="8"/>
        <v>P02A401 (88)</v>
      </c>
      <c r="BD103" s="119" t="str">
        <f t="shared" si="9"/>
        <v>V0280171473619 (88)</v>
      </c>
      <c r="BE103" s="119" t="str">
        <f t="shared" si="10"/>
        <v>AU0059-59-449 (88)</v>
      </c>
    </row>
    <row r="104" spans="1:57">
      <c r="A104" s="210"/>
      <c r="B104" s="210"/>
      <c r="C104" s="49"/>
      <c r="D104" s="52"/>
      <c r="E104" s="148"/>
      <c r="F104" s="195" t="s">
        <v>164</v>
      </c>
      <c r="G104" s="211" t="e">
        <f>G99+G100+G101+G102+G103</f>
        <v>#REF!</v>
      </c>
      <c r="H104" s="50"/>
      <c r="I104" s="773"/>
      <c r="J104" s="774"/>
      <c r="K104" s="148"/>
      <c r="L104" s="49"/>
      <c r="M104" s="52"/>
      <c r="N104"/>
      <c r="O104"/>
      <c r="AR104" s="112">
        <f t="shared" si="7"/>
        <v>89</v>
      </c>
      <c r="AS104" s="149"/>
      <c r="AT104" s="149"/>
      <c r="AU104" s="149"/>
      <c r="AV104" s="149"/>
      <c r="AW104" s="149"/>
      <c r="AX104" s="113" t="str">
        <f>'Data Sample'!G100</f>
        <v>P02A776</v>
      </c>
      <c r="AY104" s="113" t="str">
        <f>'Data Sample'!G1109</f>
        <v>V0234834460644</v>
      </c>
      <c r="AZ104" s="113" t="str">
        <f>'Data Sample'!G605</f>
        <v>AU0055-65-785</v>
      </c>
      <c r="BA104" s="118"/>
      <c r="BC104" s="119" t="str">
        <f t="shared" si="8"/>
        <v>P02A776 (89)</v>
      </c>
      <c r="BD104" s="119" t="str">
        <f t="shared" si="9"/>
        <v>V0234834460644 (89)</v>
      </c>
      <c r="BE104" s="119" t="str">
        <f t="shared" si="10"/>
        <v>AU0055-65-785 (89)</v>
      </c>
    </row>
    <row r="105" spans="1:57">
      <c r="C105" s="49"/>
      <c r="D105" s="52"/>
      <c r="E105" s="148"/>
      <c r="F105" s="195" t="s">
        <v>165</v>
      </c>
      <c r="G105" s="212" t="e">
        <f>1.01^G104*G98</f>
        <v>#REF!</v>
      </c>
      <c r="H105" s="50"/>
      <c r="I105" s="773"/>
      <c r="J105" s="774"/>
      <c r="K105" s="148"/>
      <c r="L105" s="49"/>
      <c r="M105" s="52"/>
      <c r="N105"/>
      <c r="O105"/>
      <c r="AR105" s="112">
        <f t="shared" si="7"/>
        <v>90</v>
      </c>
      <c r="AS105" s="149"/>
      <c r="AT105" s="149"/>
      <c r="AU105" s="149"/>
      <c r="AV105" s="149"/>
      <c r="AW105" s="149"/>
      <c r="AX105" s="113" t="str">
        <f>'Data Sample'!G101</f>
        <v>P02A90</v>
      </c>
      <c r="AY105" s="113" t="str">
        <f>'Data Sample'!G1110</f>
        <v>V0518673515408</v>
      </c>
      <c r="AZ105" s="113" t="str">
        <f>'Data Sample'!G606</f>
        <v>AU0064-58-145</v>
      </c>
      <c r="BA105" s="118"/>
      <c r="BC105" s="119" t="str">
        <f t="shared" si="8"/>
        <v>P02A90 (90)</v>
      </c>
      <c r="BD105" s="119" t="str">
        <f t="shared" si="9"/>
        <v>V0518673515408 (90)</v>
      </c>
      <c r="BE105" s="119" t="str">
        <f t="shared" si="10"/>
        <v>AU0064-58-145 (90)</v>
      </c>
    </row>
    <row r="106" spans="1:57">
      <c r="B106" s="198"/>
      <c r="C106" s="55"/>
      <c r="D106" s="58"/>
      <c r="E106" s="213"/>
      <c r="F106" s="55"/>
      <c r="G106" s="58"/>
      <c r="H106" s="56"/>
      <c r="I106" s="184"/>
      <c r="J106" s="182"/>
      <c r="K106" s="213"/>
      <c r="L106" s="55"/>
      <c r="M106" s="58"/>
      <c r="N106"/>
      <c r="O106"/>
      <c r="AR106" s="112">
        <f t="shared" si="7"/>
        <v>91</v>
      </c>
      <c r="AS106" s="149"/>
      <c r="AT106" s="149"/>
      <c r="AU106" s="149"/>
      <c r="AV106" s="149"/>
      <c r="AW106" s="149"/>
      <c r="AX106" s="113" t="str">
        <f>'Data Sample'!G102</f>
        <v>P02A726</v>
      </c>
      <c r="AY106" s="113" t="str">
        <f>'Data Sample'!G1111</f>
        <v>V0607978953178</v>
      </c>
      <c r="AZ106" s="113" t="str">
        <f>'Data Sample'!G607</f>
        <v>AU0033-50-499</v>
      </c>
      <c r="BA106" s="118"/>
      <c r="BC106" s="119" t="str">
        <f t="shared" si="8"/>
        <v>P02A726 (91)</v>
      </c>
      <c r="BD106" s="119" t="str">
        <f t="shared" si="9"/>
        <v>V0607978953178 (91)</v>
      </c>
      <c r="BE106" s="119" t="str">
        <f t="shared" si="10"/>
        <v>AU0033-50-499 (91)</v>
      </c>
    </row>
    <row r="107" spans="1:57">
      <c r="C107" s="50"/>
      <c r="D107" s="50"/>
      <c r="E107" s="148"/>
      <c r="F107" s="50"/>
      <c r="G107" s="148"/>
      <c r="H107" s="50"/>
      <c r="I107" s="148"/>
      <c r="J107" s="148"/>
      <c r="M107"/>
      <c r="N107"/>
      <c r="O107"/>
      <c r="AR107" s="112">
        <f t="shared" si="7"/>
        <v>92</v>
      </c>
      <c r="AS107" s="149"/>
      <c r="AT107" s="149"/>
      <c r="AU107" s="149"/>
      <c r="AV107" s="149"/>
      <c r="AW107" s="149"/>
      <c r="AX107" s="113" t="str">
        <f>'Data Sample'!G103</f>
        <v>P02A35</v>
      </c>
      <c r="AY107" s="113" t="str">
        <f>'Data Sample'!G1112</f>
        <v>V0601927125878</v>
      </c>
      <c r="AZ107" s="113" t="str">
        <f>'Data Sample'!G608</f>
        <v>AU0044-32-915</v>
      </c>
      <c r="BA107" s="118"/>
      <c r="BC107" s="119" t="str">
        <f t="shared" si="8"/>
        <v>P02A35 (92)</v>
      </c>
      <c r="BD107" s="119" t="str">
        <f t="shared" si="9"/>
        <v>V0601927125878 (92)</v>
      </c>
      <c r="BE107" s="119" t="str">
        <f t="shared" si="10"/>
        <v>AU0044-32-915 (92)</v>
      </c>
    </row>
    <row r="108" spans="1:57">
      <c r="E108" s="63"/>
      <c r="G108" s="63"/>
      <c r="M108"/>
      <c r="N108"/>
      <c r="O108"/>
      <c r="AR108" s="112">
        <f t="shared" si="7"/>
        <v>93</v>
      </c>
      <c r="AS108" s="149"/>
      <c r="AT108" s="149"/>
      <c r="AU108" s="149"/>
      <c r="AV108" s="149"/>
      <c r="AW108" s="149"/>
      <c r="AX108" s="113" t="str">
        <f>'Data Sample'!G104</f>
        <v>P02A166</v>
      </c>
      <c r="AY108" s="113" t="str">
        <f>'Data Sample'!G1113</f>
        <v>V0499943404388</v>
      </c>
      <c r="AZ108" s="113" t="str">
        <f>'Data Sample'!G609</f>
        <v>AU0027-78-541</v>
      </c>
      <c r="BA108" s="118"/>
      <c r="BC108" s="119" t="str">
        <f t="shared" si="8"/>
        <v>P02A166 (93)</v>
      </c>
      <c r="BD108" s="119" t="str">
        <f t="shared" si="9"/>
        <v>V0499943404388 (93)</v>
      </c>
      <c r="BE108" s="119" t="str">
        <f t="shared" si="10"/>
        <v>AU0027-78-541 (93)</v>
      </c>
    </row>
    <row r="109" spans="1:57" ht="15.75">
      <c r="C109" s="863" t="s">
        <v>166</v>
      </c>
      <c r="D109" s="864"/>
      <c r="E109" s="864"/>
      <c r="F109" s="864"/>
      <c r="G109" s="864"/>
      <c r="H109" s="864"/>
      <c r="I109" s="864"/>
      <c r="J109" s="864"/>
      <c r="K109" s="864"/>
      <c r="L109" s="864"/>
      <c r="M109" s="865"/>
      <c r="N109"/>
      <c r="O109"/>
      <c r="AR109" s="112">
        <f t="shared" si="7"/>
        <v>94</v>
      </c>
      <c r="AS109" s="149"/>
      <c r="AT109" s="149"/>
      <c r="AU109" s="149"/>
      <c r="AV109" s="149"/>
      <c r="AW109" s="149"/>
      <c r="AX109" s="113" t="str">
        <f>'Data Sample'!G105</f>
        <v>P02A323</v>
      </c>
      <c r="AY109" s="113" t="str">
        <f>'Data Sample'!G1114</f>
        <v>V0007240075169</v>
      </c>
      <c r="AZ109" s="113" t="str">
        <f>'Data Sample'!G610</f>
        <v>AU0098-75-650</v>
      </c>
      <c r="BA109" s="118"/>
      <c r="BC109" s="119" t="str">
        <f t="shared" si="8"/>
        <v>P02A323 (94)</v>
      </c>
      <c r="BD109" s="119" t="str">
        <f t="shared" si="9"/>
        <v>V0007240075169 (94)</v>
      </c>
      <c r="BE109" s="119" t="str">
        <f t="shared" si="10"/>
        <v>AU0098-75-650 (94)</v>
      </c>
    </row>
    <row r="110" spans="1:57">
      <c r="E110" s="63"/>
      <c r="G110" s="63"/>
      <c r="M110"/>
      <c r="N110"/>
      <c r="O110"/>
      <c r="AR110" s="112">
        <f t="shared" si="7"/>
        <v>95</v>
      </c>
      <c r="AS110" s="149"/>
      <c r="AT110" s="149"/>
      <c r="AU110" s="149"/>
      <c r="AV110" s="149"/>
      <c r="AW110" s="149"/>
      <c r="AX110" s="113" t="str">
        <f>'Data Sample'!G106</f>
        <v>P02A801</v>
      </c>
      <c r="AY110" s="113" t="str">
        <f>'Data Sample'!G1115</f>
        <v>V0323691093699</v>
      </c>
      <c r="AZ110" s="113" t="str">
        <f>'Data Sample'!G611</f>
        <v>AU0066-65-072</v>
      </c>
      <c r="BA110" s="118"/>
      <c r="BC110" s="119" t="str">
        <f t="shared" si="8"/>
        <v>P02A801 (95)</v>
      </c>
      <c r="BD110" s="119" t="str">
        <f t="shared" si="9"/>
        <v>V0323691093699 (95)</v>
      </c>
      <c r="BE110" s="119" t="str">
        <f t="shared" si="10"/>
        <v>AU0066-65-072 (95)</v>
      </c>
    </row>
    <row r="111" spans="1:57" ht="15.75">
      <c r="E111" s="63"/>
      <c r="F111" s="214" t="s">
        <v>14</v>
      </c>
      <c r="G111" s="215" t="e">
        <f xml:space="preserve"> G131*G127</f>
        <v>#REF!</v>
      </c>
      <c r="M111"/>
      <c r="N111"/>
      <c r="O111"/>
      <c r="AR111" s="112">
        <f t="shared" si="7"/>
        <v>96</v>
      </c>
      <c r="AS111" s="149"/>
      <c r="AT111" s="149"/>
      <c r="AU111" s="149"/>
      <c r="AV111" s="149"/>
      <c r="AW111" s="149"/>
      <c r="AX111" s="113" t="str">
        <f>'Data Sample'!G107</f>
        <v>P02A700</v>
      </c>
      <c r="AY111" s="113" t="str">
        <f>'Data Sample'!G1116</f>
        <v>V0922838056947</v>
      </c>
      <c r="AZ111" s="113" t="str">
        <f>'Data Sample'!G612</f>
        <v>AU0013-21-358</v>
      </c>
      <c r="BA111" s="118"/>
      <c r="BC111" s="119" t="str">
        <f t="shared" si="8"/>
        <v>P02A700 (96)</v>
      </c>
      <c r="BD111" s="119" t="str">
        <f t="shared" si="9"/>
        <v>V0922838056947 (96)</v>
      </c>
      <c r="BE111" s="119" t="str">
        <f t="shared" si="10"/>
        <v>AU0013-21-358 (96)</v>
      </c>
    </row>
    <row r="112" spans="1:57">
      <c r="E112" s="63"/>
      <c r="G112" s="63"/>
      <c r="M112"/>
      <c r="N112"/>
      <c r="O112"/>
      <c r="AR112" s="112">
        <f t="shared" si="7"/>
        <v>97</v>
      </c>
      <c r="AS112" s="149"/>
      <c r="AT112" s="149"/>
      <c r="AU112" s="149"/>
      <c r="AV112" s="149"/>
      <c r="AW112" s="149"/>
      <c r="AX112" s="113" t="str">
        <f>'Data Sample'!G108</f>
        <v>P02A752</v>
      </c>
      <c r="AY112" s="113" t="str">
        <f>'Data Sample'!G1117</f>
        <v>V0693538663171</v>
      </c>
      <c r="AZ112" s="113" t="str">
        <f>'Data Sample'!G613</f>
        <v>AU0045-24-166</v>
      </c>
      <c r="BA112" s="118"/>
      <c r="BC112" s="119" t="str">
        <f t="shared" si="8"/>
        <v>P02A752 (97)</v>
      </c>
      <c r="BD112" s="119" t="str">
        <f t="shared" si="9"/>
        <v>V0693538663171 (97)</v>
      </c>
      <c r="BE112" s="119" t="str">
        <f t="shared" si="10"/>
        <v>AU0045-24-166 (97)</v>
      </c>
    </row>
    <row r="113" spans="3:57">
      <c r="C113" s="853"/>
      <c r="D113" s="854"/>
      <c r="E113" s="854"/>
      <c r="F113" s="854"/>
      <c r="G113" s="854"/>
      <c r="H113" s="854"/>
      <c r="I113" s="854"/>
      <c r="J113" s="854"/>
      <c r="K113" s="854"/>
      <c r="L113" s="854"/>
      <c r="M113" s="855"/>
      <c r="N113"/>
      <c r="O113"/>
      <c r="AR113" s="112">
        <f t="shared" si="7"/>
        <v>98</v>
      </c>
      <c r="AS113" s="149"/>
      <c r="AT113" s="149"/>
      <c r="AU113" s="149"/>
      <c r="AV113" s="149"/>
      <c r="AW113" s="149"/>
      <c r="AX113" s="113" t="str">
        <f>'Data Sample'!G109</f>
        <v>P02A38</v>
      </c>
      <c r="AY113" s="113" t="str">
        <f>'Data Sample'!G1118</f>
        <v>V0724605602654</v>
      </c>
      <c r="AZ113" s="113" t="str">
        <f>'Data Sample'!G614</f>
        <v>AU0008-86-526</v>
      </c>
      <c r="BA113" s="118"/>
      <c r="BC113" s="119" t="str">
        <f t="shared" si="8"/>
        <v>P02A38 (98)</v>
      </c>
      <c r="BD113" s="119" t="str">
        <f t="shared" si="9"/>
        <v>V0724605602654 (98)</v>
      </c>
      <c r="BE113" s="119" t="str">
        <f t="shared" si="10"/>
        <v>AU0008-86-526 (98)</v>
      </c>
    </row>
    <row r="114" spans="3:57">
      <c r="C114" s="856" t="s">
        <v>7</v>
      </c>
      <c r="D114" s="857"/>
      <c r="E114" s="50"/>
      <c r="F114" s="856" t="s">
        <v>9</v>
      </c>
      <c r="G114" s="857"/>
      <c r="H114" s="50"/>
      <c r="I114" s="856" t="s">
        <v>10</v>
      </c>
      <c r="J114" s="857"/>
      <c r="K114" s="148"/>
      <c r="L114" s="49"/>
      <c r="M114" s="52"/>
      <c r="N114"/>
      <c r="O114"/>
      <c r="AR114" s="112">
        <f t="shared" si="7"/>
        <v>99</v>
      </c>
      <c r="AS114" s="149"/>
      <c r="AT114" s="149"/>
      <c r="AU114" s="149"/>
      <c r="AV114" s="149"/>
      <c r="AW114" s="149"/>
      <c r="AX114" s="113" t="str">
        <f>'Data Sample'!G110</f>
        <v>P02A510</v>
      </c>
      <c r="AY114" s="113" t="str">
        <f>'Data Sample'!G1119</f>
        <v>V0899765366220</v>
      </c>
      <c r="AZ114" s="113" t="str">
        <f>'Data Sample'!G615</f>
        <v>AU0045-77-142</v>
      </c>
      <c r="BA114" s="118"/>
      <c r="BC114" s="119" t="str">
        <f t="shared" si="8"/>
        <v>P02A510 (99)</v>
      </c>
      <c r="BD114" s="119" t="str">
        <f t="shared" si="9"/>
        <v>V0899765366220 (99)</v>
      </c>
      <c r="BE114" s="119" t="str">
        <f t="shared" si="10"/>
        <v>AU0045-77-142 (99)</v>
      </c>
    </row>
    <row r="115" spans="3:57">
      <c r="C115" s="170" t="s">
        <v>167</v>
      </c>
      <c r="D115" s="193" t="e">
        <f>TAGELE($D$46,"Theft",$D$45,iQuote_Version)</f>
        <v>#REF!</v>
      </c>
      <c r="E115" s="50"/>
      <c r="F115" s="49" t="s">
        <v>168</v>
      </c>
      <c r="G115" s="194" t="e">
        <f>TSUBURBLARGE($G$46,"Theft Frequency",iQuote_Version)</f>
        <v>#REF!</v>
      </c>
      <c r="H115" s="50"/>
      <c r="I115" s="170"/>
      <c r="J115" s="193"/>
      <c r="K115" s="148"/>
      <c r="L115" s="49"/>
      <c r="M115" s="52"/>
      <c r="N115"/>
      <c r="O115"/>
      <c r="AR115" s="112">
        <f t="shared" si="7"/>
        <v>100</v>
      </c>
      <c r="AS115" s="149"/>
      <c r="AT115" s="149"/>
      <c r="AU115" s="149"/>
      <c r="AV115" s="149"/>
      <c r="AW115" s="149"/>
      <c r="AX115" s="113" t="str">
        <f>'Data Sample'!G111</f>
        <v>P02A294</v>
      </c>
      <c r="AY115" s="113" t="str">
        <f>'Data Sample'!G1120</f>
        <v>V0280167597126</v>
      </c>
      <c r="AZ115" s="113" t="str">
        <f>'Data Sample'!G616</f>
        <v>AU0004-65-792</v>
      </c>
      <c r="BA115" s="118"/>
      <c r="BC115" s="119" t="str">
        <f t="shared" si="8"/>
        <v>P02A294 (100)</v>
      </c>
      <c r="BD115" s="119" t="str">
        <f t="shared" si="9"/>
        <v>V0280167597126 (100)</v>
      </c>
      <c r="BE115" s="119" t="str">
        <f t="shared" si="10"/>
        <v>AU0004-65-792 (100)</v>
      </c>
    </row>
    <row r="116" spans="3:57">
      <c r="C116" s="170" t="s">
        <v>169</v>
      </c>
      <c r="D116" s="193" t="e">
        <f>TMARITALLE($D$47,"Theft",iQuote_Version)</f>
        <v>#REF!</v>
      </c>
      <c r="E116" s="50"/>
      <c r="F116" s="49" t="s">
        <v>170</v>
      </c>
      <c r="G116" s="194" t="e">
        <f>TVEHPARKLE("Theft Frequency",$G$61,iQuote_Version)</f>
        <v>#REF!</v>
      </c>
      <c r="H116" s="50"/>
      <c r="I116" s="170"/>
      <c r="J116" s="193"/>
      <c r="K116" s="148"/>
      <c r="L116" s="49"/>
      <c r="M116" s="52"/>
      <c r="N116"/>
      <c r="O116"/>
      <c r="AR116" s="112">
        <f t="shared" si="7"/>
        <v>101</v>
      </c>
      <c r="AS116" s="149"/>
      <c r="AT116" s="149"/>
      <c r="AU116" s="149"/>
      <c r="AV116" s="149"/>
      <c r="AW116" s="149"/>
      <c r="AX116" s="113" t="str">
        <f>'Data Sample'!G112</f>
        <v>P02A773</v>
      </c>
      <c r="AY116" s="113" t="str">
        <f>'Data Sample'!G1121</f>
        <v>V0966974091098</v>
      </c>
      <c r="AZ116" s="113" t="str">
        <f>'Data Sample'!G617</f>
        <v>AU0060-97-023</v>
      </c>
      <c r="BA116" s="118"/>
      <c r="BC116" s="119" t="str">
        <f t="shared" si="8"/>
        <v>P02A773 (101)</v>
      </c>
      <c r="BD116" s="119" t="str">
        <f t="shared" si="9"/>
        <v>V0966974091098 (101)</v>
      </c>
      <c r="BE116" s="119" t="str">
        <f t="shared" si="10"/>
        <v>AU0060-97-023 (101)</v>
      </c>
    </row>
    <row r="117" spans="3:57">
      <c r="C117" s="170" t="s">
        <v>171</v>
      </c>
      <c r="D117" s="193" t="e">
        <f>TOLDCLMSLE("Old Claims","Theft",$D$51,iQuote_Version)</f>
        <v>#REF!</v>
      </c>
      <c r="E117" s="50"/>
      <c r="F117" s="49" t="s">
        <v>172</v>
      </c>
      <c r="G117" s="194" t="e">
        <f>TSUBURBLARGE($G$47,"Theft Frequency",iQuote_Version)</f>
        <v>#REF!</v>
      </c>
      <c r="H117" s="50"/>
      <c r="I117" s="170"/>
      <c r="J117" s="193"/>
      <c r="K117" s="148"/>
      <c r="L117" s="49"/>
      <c r="M117" s="52"/>
      <c r="N117"/>
      <c r="O117"/>
      <c r="AR117" s="112">
        <f t="shared" si="7"/>
        <v>102</v>
      </c>
      <c r="AS117" s="149"/>
      <c r="AT117" s="149"/>
      <c r="AU117" s="149"/>
      <c r="AV117" s="149"/>
      <c r="AW117" s="149"/>
      <c r="AX117" s="113" t="str">
        <f>'Data Sample'!G113</f>
        <v>P02A841</v>
      </c>
      <c r="AY117" s="113" t="str">
        <f>'Data Sample'!G1122</f>
        <v>V0962638708745</v>
      </c>
      <c r="AZ117" s="113" t="str">
        <f>'Data Sample'!G618</f>
        <v>AU0062-75-129</v>
      </c>
      <c r="BA117" s="118"/>
      <c r="BC117" s="119" t="str">
        <f t="shared" si="8"/>
        <v>P02A841 (102)</v>
      </c>
      <c r="BD117" s="119" t="str">
        <f t="shared" si="9"/>
        <v>V0962638708745 (102)</v>
      </c>
      <c r="BE117" s="119" t="str">
        <f t="shared" si="10"/>
        <v>AU0062-75-129 (102)</v>
      </c>
    </row>
    <row r="118" spans="3:57">
      <c r="C118" s="170" t="s">
        <v>173</v>
      </c>
      <c r="D118" s="193" t="e">
        <f>PARAMETERQUESTIONLE("Other Vehicle","Theft",$D$52,iQuote_Version)</f>
        <v>#REF!</v>
      </c>
      <c r="E118" s="50"/>
      <c r="F118" s="49" t="s">
        <v>174</v>
      </c>
      <c r="G118" s="194" t="e">
        <f>TVEHPARKLE("Theft Frequency",$G$62,iQuote_Version)</f>
        <v>#REF!</v>
      </c>
      <c r="H118" s="50"/>
      <c r="I118" s="170"/>
      <c r="J118" s="193"/>
      <c r="K118" s="148"/>
      <c r="L118" s="49"/>
      <c r="M118" s="52"/>
      <c r="N118"/>
      <c r="O118"/>
      <c r="AR118" s="112">
        <f t="shared" si="7"/>
        <v>103</v>
      </c>
      <c r="AS118" s="149"/>
      <c r="AT118" s="149"/>
      <c r="AU118" s="149"/>
      <c r="AV118" s="149"/>
      <c r="AW118" s="149"/>
      <c r="AX118" s="113" t="str">
        <f>'Data Sample'!G114</f>
        <v>P02A388</v>
      </c>
      <c r="AY118" s="113" t="str">
        <f>'Data Sample'!G1123</f>
        <v>V0968886290569</v>
      </c>
      <c r="AZ118" s="113" t="str">
        <f>'Data Sample'!G619</f>
        <v>AU0080-86-996</v>
      </c>
      <c r="BA118" s="118"/>
      <c r="BC118" s="119" t="str">
        <f t="shared" si="8"/>
        <v>P02A388 (103)</v>
      </c>
      <c r="BD118" s="119" t="str">
        <f t="shared" si="9"/>
        <v>V0968886290569 (103)</v>
      </c>
      <c r="BE118" s="119" t="str">
        <f t="shared" si="10"/>
        <v>AU0080-86-996 (103)</v>
      </c>
    </row>
    <row r="119" spans="3:57">
      <c r="C119" s="170" t="s">
        <v>175</v>
      </c>
      <c r="D119" s="193" t="e">
        <f>TAGELE($D$55,"Theft",$D$54,iQuote_Version)</f>
        <v>#REF!</v>
      </c>
      <c r="E119" s="50"/>
      <c r="F119" s="49" t="s">
        <v>176</v>
      </c>
      <c r="G119" s="194" t="e">
        <f>TVEHICLELARGE($G$45,"Theft Frequency",iQuote_Version)</f>
        <v>#REF!</v>
      </c>
      <c r="H119" s="50"/>
      <c r="I119" s="170"/>
      <c r="J119" s="193"/>
      <c r="K119" s="148"/>
      <c r="L119" s="49"/>
      <c r="M119" s="52"/>
      <c r="O119"/>
      <c r="AR119" s="112">
        <f t="shared" si="7"/>
        <v>104</v>
      </c>
      <c r="AS119" s="149"/>
      <c r="AT119" s="149"/>
      <c r="AU119" s="149"/>
      <c r="AV119" s="149"/>
      <c r="AW119" s="149"/>
      <c r="AX119" s="113" t="str">
        <f>'Data Sample'!G115</f>
        <v>P02A906</v>
      </c>
      <c r="AY119" s="113" t="str">
        <f>'Data Sample'!G1124</f>
        <v>V0588908287310</v>
      </c>
      <c r="AZ119" s="113" t="str">
        <f>'Data Sample'!G620</f>
        <v>AU0062-45-840</v>
      </c>
      <c r="BA119" s="118"/>
      <c r="BC119" s="119" t="str">
        <f t="shared" si="8"/>
        <v>P02A906 (104)</v>
      </c>
      <c r="BD119" s="119" t="str">
        <f t="shared" si="9"/>
        <v>V0588908287310 (104)</v>
      </c>
      <c r="BE119" s="119" t="str">
        <f t="shared" si="10"/>
        <v>AU0062-45-840 (104)</v>
      </c>
    </row>
    <row r="120" spans="3:57">
      <c r="C120" s="170" t="s">
        <v>177</v>
      </c>
      <c r="D120" s="193" t="e">
        <f>TMARITALLE($D$56,"Theft",iQuote_Version)</f>
        <v>#REF!</v>
      </c>
      <c r="E120" s="50"/>
      <c r="F120" s="49" t="s">
        <v>178</v>
      </c>
      <c r="G120" s="194" t="e">
        <f>TVEHICLEUSELE("Theft Frequency",$G$53,iQuote_Version)</f>
        <v>#REF!</v>
      </c>
      <c r="H120" s="50"/>
      <c r="I120" s="170"/>
      <c r="J120" s="193"/>
      <c r="K120" s="148"/>
      <c r="L120" s="49"/>
      <c r="M120" s="52"/>
      <c r="O120"/>
      <c r="AR120" s="112">
        <f t="shared" si="7"/>
        <v>105</v>
      </c>
      <c r="AS120" s="149"/>
      <c r="AT120" s="149"/>
      <c r="AU120" s="149"/>
      <c r="AV120" s="149"/>
      <c r="AW120" s="149"/>
      <c r="AX120" s="113" t="str">
        <f>'Data Sample'!G116</f>
        <v>P02A344</v>
      </c>
      <c r="AY120" s="113" t="str">
        <f>'Data Sample'!G1125</f>
        <v>V0325129832839</v>
      </c>
      <c r="AZ120" s="113" t="str">
        <f>'Data Sample'!G621</f>
        <v>AU0024-39-884</v>
      </c>
      <c r="BA120" s="118"/>
      <c r="BC120" s="119" t="str">
        <f t="shared" si="8"/>
        <v>P02A344 (105)</v>
      </c>
      <c r="BD120" s="119" t="str">
        <f t="shared" si="9"/>
        <v>V0325129832839 (105)</v>
      </c>
      <c r="BE120" s="119" t="str">
        <f t="shared" si="10"/>
        <v>AU0024-39-884 (105)</v>
      </c>
    </row>
    <row r="121" spans="3:57">
      <c r="C121" s="170"/>
      <c r="D121" s="193"/>
      <c r="E121" s="50"/>
      <c r="F121" s="49" t="s">
        <v>179</v>
      </c>
      <c r="G121" s="194" t="e">
        <f>TVEH_KM_LE($G$56,"Theft Frequency",iQuote_Version)</f>
        <v>#REF!</v>
      </c>
      <c r="H121" s="50"/>
      <c r="I121" s="170"/>
      <c r="J121" s="193"/>
      <c r="K121" s="148"/>
      <c r="L121" s="49"/>
      <c r="M121" s="52"/>
      <c r="O121"/>
      <c r="AR121" s="112">
        <f t="shared" si="7"/>
        <v>106</v>
      </c>
      <c r="AS121" s="149"/>
      <c r="AT121" s="149"/>
      <c r="AU121" s="149"/>
      <c r="AV121" s="149"/>
      <c r="AW121" s="149"/>
      <c r="AX121" s="113" t="str">
        <f>'Data Sample'!G117</f>
        <v>P02A25</v>
      </c>
      <c r="AY121" s="113" t="str">
        <f>'Data Sample'!G1126</f>
        <v>V0313945302987</v>
      </c>
      <c r="AZ121" s="113" t="str">
        <f>'Data Sample'!G622</f>
        <v>AU0035-71-014</v>
      </c>
      <c r="BA121" s="118"/>
      <c r="BC121" s="119" t="str">
        <f t="shared" si="8"/>
        <v>P02A25 (106)</v>
      </c>
      <c r="BD121" s="119" t="str">
        <f t="shared" si="9"/>
        <v>V0313945302987 (106)</v>
      </c>
      <c r="BE121" s="119" t="str">
        <f t="shared" si="10"/>
        <v>AU0035-71-014 (106)</v>
      </c>
    </row>
    <row r="122" spans="3:57">
      <c r="C122" s="170"/>
      <c r="D122" s="193"/>
      <c r="E122" s="50"/>
      <c r="F122" s="49" t="s">
        <v>180</v>
      </c>
      <c r="G122" s="194" t="e">
        <f>TVEHPARKLE("Anti Theft",$G$63,iQuote_Version)</f>
        <v>#REF!</v>
      </c>
      <c r="H122" s="50"/>
      <c r="I122" s="170"/>
      <c r="J122" s="193"/>
      <c r="K122" s="148"/>
      <c r="L122" s="49"/>
      <c r="M122" s="52"/>
      <c r="O122"/>
      <c r="AR122" s="112">
        <f t="shared" si="7"/>
        <v>107</v>
      </c>
      <c r="AS122" s="149"/>
      <c r="AT122" s="149"/>
      <c r="AU122" s="149"/>
      <c r="AV122" s="149"/>
      <c r="AW122" s="149"/>
      <c r="AX122" s="113" t="str">
        <f>'Data Sample'!G118</f>
        <v>P02A491</v>
      </c>
      <c r="AY122" s="113" t="str">
        <f>'Data Sample'!G1127</f>
        <v>V0224213757410</v>
      </c>
      <c r="AZ122" s="113" t="str">
        <f>'Data Sample'!G623</f>
        <v>AU0009-97-717</v>
      </c>
      <c r="BA122" s="118"/>
      <c r="BC122" s="119" t="str">
        <f t="shared" si="8"/>
        <v>P02A491 (107)</v>
      </c>
      <c r="BD122" s="119" t="str">
        <f t="shared" si="9"/>
        <v>V0224213757410 (107)</v>
      </c>
      <c r="BE122" s="119" t="str">
        <f t="shared" si="10"/>
        <v>AU0009-97-717 (107)</v>
      </c>
    </row>
    <row r="123" spans="3:57">
      <c r="C123" s="170"/>
      <c r="D123" s="193"/>
      <c r="E123" s="50"/>
      <c r="F123" s="49" t="s">
        <v>181</v>
      </c>
      <c r="G123" s="194" t="e">
        <f>PARAMETERQUESTIONLE("Currently Insured?","Theft",$G$58,iQuote_Version)</f>
        <v>#REF!</v>
      </c>
      <c r="H123" s="50"/>
      <c r="I123" s="170"/>
      <c r="J123" s="193"/>
      <c r="K123" s="148"/>
      <c r="L123" s="49"/>
      <c r="M123" s="52"/>
      <c r="O123"/>
      <c r="AR123" s="112">
        <f t="shared" si="7"/>
        <v>108</v>
      </c>
      <c r="AS123" s="149"/>
      <c r="AT123" s="149"/>
      <c r="AU123" s="149"/>
      <c r="AV123" s="149"/>
      <c r="AW123" s="149"/>
      <c r="AX123" s="113" t="str">
        <f>'Data Sample'!G119</f>
        <v>P02A925</v>
      </c>
      <c r="AY123" s="113" t="str">
        <f>'Data Sample'!G1128</f>
        <v>V0032138914964</v>
      </c>
      <c r="AZ123" s="113" t="str">
        <f>'Data Sample'!G624</f>
        <v>AU0033-16-320</v>
      </c>
      <c r="BA123" s="118"/>
      <c r="BC123" s="119" t="str">
        <f t="shared" si="8"/>
        <v>P02A925 (108)</v>
      </c>
      <c r="BD123" s="119" t="str">
        <f t="shared" si="9"/>
        <v>V0032138914964 (108)</v>
      </c>
      <c r="BE123" s="119" t="str">
        <f t="shared" si="10"/>
        <v>AU0033-16-320 (108)</v>
      </c>
    </row>
    <row r="124" spans="3:57">
      <c r="C124" s="170"/>
      <c r="D124" s="193"/>
      <c r="E124" s="50"/>
      <c r="F124" s="49" t="s">
        <v>182</v>
      </c>
      <c r="G124" s="194"/>
      <c r="H124" s="50"/>
      <c r="I124" s="170"/>
      <c r="J124" s="193"/>
      <c r="K124" s="148"/>
      <c r="L124" s="49"/>
      <c r="M124" s="52"/>
      <c r="O124"/>
      <c r="AR124" s="112">
        <f t="shared" si="7"/>
        <v>109</v>
      </c>
      <c r="AS124" s="149"/>
      <c r="AT124" s="149"/>
      <c r="AU124" s="149"/>
      <c r="AV124" s="149"/>
      <c r="AW124" s="149"/>
      <c r="AX124" s="113" t="str">
        <f>'Data Sample'!G120</f>
        <v>P02A707</v>
      </c>
      <c r="AY124" s="113" t="str">
        <f>'Data Sample'!G1129</f>
        <v>V0281389006184</v>
      </c>
      <c r="AZ124" s="113" t="str">
        <f>'Data Sample'!G625</f>
        <v>AU0060-72-143</v>
      </c>
      <c r="BA124" s="118"/>
      <c r="BC124" s="119" t="str">
        <f t="shared" si="8"/>
        <v>P02A707 (109)</v>
      </c>
      <c r="BD124" s="119" t="str">
        <f t="shared" si="9"/>
        <v>V0281389006184 (109)</v>
      </c>
      <c r="BE124" s="119" t="str">
        <f t="shared" si="10"/>
        <v>AU0060-72-143 (109)</v>
      </c>
    </row>
    <row r="125" spans="3:57">
      <c r="C125" s="170"/>
      <c r="D125" s="193"/>
      <c r="E125" s="50"/>
      <c r="F125" s="49" t="s">
        <v>183</v>
      </c>
      <c r="G125" s="194"/>
      <c r="H125" s="50"/>
      <c r="I125" s="170"/>
      <c r="J125" s="193"/>
      <c r="K125" s="148"/>
      <c r="L125" s="49"/>
      <c r="M125" s="52"/>
      <c r="O125"/>
      <c r="AR125" s="112">
        <f t="shared" si="7"/>
        <v>110</v>
      </c>
      <c r="AS125" s="149"/>
      <c r="AT125" s="149"/>
      <c r="AU125" s="149"/>
      <c r="AV125" s="149"/>
      <c r="AW125" s="149"/>
      <c r="AX125" s="113" t="str">
        <f>'Data Sample'!G121</f>
        <v>P02A915</v>
      </c>
      <c r="AY125" s="113" t="str">
        <f>'Data Sample'!G1130</f>
        <v>V0911561315083</v>
      </c>
      <c r="AZ125" s="113" t="str">
        <f>'Data Sample'!G626</f>
        <v>AU0028-92-071</v>
      </c>
      <c r="BA125" s="118"/>
      <c r="BC125" s="119" t="str">
        <f t="shared" si="8"/>
        <v>P02A915 (110)</v>
      </c>
      <c r="BD125" s="119" t="str">
        <f t="shared" si="9"/>
        <v>V0911561315083 (110)</v>
      </c>
      <c r="BE125" s="119" t="str">
        <f t="shared" si="10"/>
        <v>AU0028-92-071 (110)</v>
      </c>
    </row>
    <row r="126" spans="3:57">
      <c r="C126" s="170"/>
      <c r="D126" s="193"/>
      <c r="E126" s="50"/>
      <c r="F126" s="49" t="s">
        <v>184</v>
      </c>
      <c r="G126" s="194" t="e">
        <f>D115+D116+D117+D118+D119+D120+G115+G116+G117+G118+G119+G120+G121+G122+G123+G124+G125</f>
        <v>#REF!</v>
      </c>
      <c r="H126" s="50"/>
      <c r="I126" s="170"/>
      <c r="J126" s="193"/>
      <c r="K126" s="148"/>
      <c r="L126" s="49"/>
      <c r="M126" s="52"/>
      <c r="O126"/>
      <c r="AR126" s="112">
        <f t="shared" si="7"/>
        <v>111</v>
      </c>
      <c r="AS126" s="149"/>
      <c r="AT126" s="149"/>
      <c r="AU126" s="149"/>
      <c r="AV126" s="149"/>
      <c r="AW126" s="149"/>
      <c r="AX126" s="113" t="str">
        <f>'Data Sample'!G122</f>
        <v>P02A32</v>
      </c>
      <c r="AY126" s="113" t="str">
        <f>'Data Sample'!G1131</f>
        <v>V0402137764030</v>
      </c>
      <c r="AZ126" s="113" t="str">
        <f>'Data Sample'!G627</f>
        <v>AU0047-28-426</v>
      </c>
      <c r="BA126" s="118"/>
      <c r="BC126" s="119" t="str">
        <f t="shared" si="8"/>
        <v>P02A32 (111)</v>
      </c>
      <c r="BD126" s="119" t="str">
        <f t="shared" si="9"/>
        <v>V0402137764030 (111)</v>
      </c>
      <c r="BE126" s="119" t="str">
        <f t="shared" si="10"/>
        <v>AU0047-28-426 (111)</v>
      </c>
    </row>
    <row r="127" spans="3:57">
      <c r="C127" s="170"/>
      <c r="D127" s="193"/>
      <c r="E127" s="50"/>
      <c r="F127" s="49" t="s">
        <v>185</v>
      </c>
      <c r="G127" s="194" t="e">
        <f>MIN(G20,MAX(G21,1.01^G126 *G19))</f>
        <v>#REF!</v>
      </c>
      <c r="H127" s="50"/>
      <c r="I127" s="170"/>
      <c r="J127" s="193"/>
      <c r="K127" s="148"/>
      <c r="L127" s="49"/>
      <c r="M127" s="52"/>
      <c r="O127"/>
      <c r="AR127" s="112">
        <f t="shared" si="7"/>
        <v>112</v>
      </c>
      <c r="AS127" s="149"/>
      <c r="AT127" s="149"/>
      <c r="AU127" s="149"/>
      <c r="AV127" s="149"/>
      <c r="AW127" s="149"/>
      <c r="AX127" s="113" t="str">
        <f>'Data Sample'!G123</f>
        <v>P02A140</v>
      </c>
      <c r="AY127" s="113" t="str">
        <f>'Data Sample'!G1132</f>
        <v>V0749676050806</v>
      </c>
      <c r="AZ127" s="113" t="str">
        <f>'Data Sample'!G628</f>
        <v>AU0055-59-448</v>
      </c>
      <c r="BA127" s="118"/>
      <c r="BC127" s="119" t="str">
        <f t="shared" si="8"/>
        <v>P02A140 (112)</v>
      </c>
      <c r="BD127" s="119" t="str">
        <f t="shared" si="9"/>
        <v>V0749676050806 (112)</v>
      </c>
      <c r="BE127" s="119" t="str">
        <f t="shared" si="10"/>
        <v>AU0055-59-448 (112)</v>
      </c>
    </row>
    <row r="128" spans="3:57">
      <c r="C128" s="170"/>
      <c r="D128" s="193"/>
      <c r="E128" s="50"/>
      <c r="F128" s="49" t="s">
        <v>186</v>
      </c>
      <c r="G128" s="194"/>
      <c r="H128" s="50"/>
      <c r="I128" s="170"/>
      <c r="J128" s="193"/>
      <c r="K128" s="148"/>
      <c r="L128" s="49"/>
      <c r="M128" s="52"/>
      <c r="O128"/>
      <c r="AR128" s="112">
        <f t="shared" si="7"/>
        <v>113</v>
      </c>
      <c r="AS128" s="149"/>
      <c r="AT128" s="149"/>
      <c r="AU128" s="149"/>
      <c r="AV128" s="149"/>
      <c r="AW128" s="149"/>
      <c r="AX128" s="113" t="str">
        <f>'Data Sample'!G124</f>
        <v>P02A296</v>
      </c>
      <c r="AY128" s="113" t="str">
        <f>'Data Sample'!G1133</f>
        <v>V0689738692606</v>
      </c>
      <c r="AZ128" s="113" t="str">
        <f>'Data Sample'!G629</f>
        <v>AU0083-05-004</v>
      </c>
      <c r="BA128" s="118"/>
      <c r="BC128" s="119" t="str">
        <f t="shared" si="8"/>
        <v>P02A296 (113)</v>
      </c>
      <c r="BD128" s="119" t="str">
        <f t="shared" si="9"/>
        <v>V0689738692606 (113)</v>
      </c>
      <c r="BE128" s="119" t="str">
        <f t="shared" si="10"/>
        <v>AU0083-05-004 (113)</v>
      </c>
    </row>
    <row r="129" spans="3:57">
      <c r="C129" s="170"/>
      <c r="D129" s="193"/>
      <c r="E129" s="50"/>
      <c r="F129" s="49" t="s">
        <v>187</v>
      </c>
      <c r="G129" s="194" t="e">
        <f>$J$47+$G$59</f>
        <v>#REF!</v>
      </c>
      <c r="H129" s="50"/>
      <c r="I129" s="170"/>
      <c r="J129" s="193"/>
      <c r="K129" s="148"/>
      <c r="L129" s="49"/>
      <c r="M129" s="52"/>
      <c r="O129"/>
      <c r="AR129" s="112">
        <f t="shared" si="7"/>
        <v>114</v>
      </c>
      <c r="AS129" s="149"/>
      <c r="AT129" s="149"/>
      <c r="AU129" s="149"/>
      <c r="AV129" s="149"/>
      <c r="AW129" s="149"/>
      <c r="AX129" s="113" t="str">
        <f>'Data Sample'!G125</f>
        <v>P02A114</v>
      </c>
      <c r="AY129" s="113" t="str">
        <f>'Data Sample'!G1134</f>
        <v>V0625016580473</v>
      </c>
      <c r="AZ129" s="113" t="str">
        <f>'Data Sample'!G630</f>
        <v>AU0086-13-037</v>
      </c>
      <c r="BA129" s="118"/>
      <c r="BC129" s="119" t="str">
        <f t="shared" si="8"/>
        <v>P02A114 (114)</v>
      </c>
      <c r="BD129" s="119" t="str">
        <f t="shared" si="9"/>
        <v>V0625016580473 (114)</v>
      </c>
      <c r="BE129" s="119" t="str">
        <f t="shared" si="10"/>
        <v>AU0086-13-037 (114)</v>
      </c>
    </row>
    <row r="130" spans="3:57">
      <c r="C130" s="170"/>
      <c r="D130" s="193"/>
      <c r="E130" s="50"/>
      <c r="F130" s="49" t="s">
        <v>188</v>
      </c>
      <c r="G130" s="194" t="e">
        <f>(1-G22)*(G129-$J$46)+G22*G23*G105</f>
        <v>#REF!</v>
      </c>
      <c r="H130" s="50"/>
      <c r="I130" s="170"/>
      <c r="J130" s="193"/>
      <c r="K130" s="148"/>
      <c r="L130" s="49"/>
      <c r="M130" s="52"/>
      <c r="O130"/>
      <c r="AR130" s="112">
        <f t="shared" si="7"/>
        <v>115</v>
      </c>
      <c r="AS130" s="149"/>
      <c r="AT130" s="149"/>
      <c r="AU130" s="149"/>
      <c r="AV130" s="149"/>
      <c r="AW130" s="149"/>
      <c r="AX130" s="113" t="str">
        <f>'Data Sample'!G126</f>
        <v>P02A242</v>
      </c>
      <c r="AY130" s="113" t="str">
        <f>'Data Sample'!G1135</f>
        <v>V0180133498565</v>
      </c>
      <c r="AZ130" s="113" t="str">
        <f>'Data Sample'!G631</f>
        <v>AU0081-82-448</v>
      </c>
      <c r="BA130" s="118"/>
      <c r="BC130" s="119" t="str">
        <f t="shared" si="8"/>
        <v>P02A242 (115)</v>
      </c>
      <c r="BD130" s="119" t="str">
        <f t="shared" si="9"/>
        <v>V0180133498565 (115)</v>
      </c>
      <c r="BE130" s="119" t="str">
        <f t="shared" si="10"/>
        <v>AU0081-82-448 (115)</v>
      </c>
    </row>
    <row r="131" spans="3:57">
      <c r="C131" s="170"/>
      <c r="D131" s="193"/>
      <c r="E131" s="50"/>
      <c r="F131" s="49" t="s">
        <v>189</v>
      </c>
      <c r="G131" s="194" t="e">
        <f>G130</f>
        <v>#REF!</v>
      </c>
      <c r="H131" s="50"/>
      <c r="I131" s="170"/>
      <c r="J131" s="193"/>
      <c r="K131" s="148"/>
      <c r="L131" s="49"/>
      <c r="M131" s="52"/>
      <c r="O131"/>
      <c r="AR131" s="112">
        <f t="shared" si="7"/>
        <v>116</v>
      </c>
      <c r="AS131" s="149"/>
      <c r="AT131" s="149"/>
      <c r="AU131" s="149"/>
      <c r="AV131" s="149"/>
      <c r="AW131" s="149"/>
      <c r="AX131" s="113" t="str">
        <f>'Data Sample'!G127</f>
        <v>P02A479</v>
      </c>
      <c r="AY131" s="113" t="str">
        <f>'Data Sample'!G1136</f>
        <v>V0804439259126</v>
      </c>
      <c r="AZ131" s="113" t="str">
        <f>'Data Sample'!G632</f>
        <v>AU0093-18-070</v>
      </c>
      <c r="BA131" s="118"/>
      <c r="BC131" s="119" t="str">
        <f t="shared" si="8"/>
        <v>P02A479 (116)</v>
      </c>
      <c r="BD131" s="119" t="str">
        <f t="shared" si="9"/>
        <v>V0804439259126 (116)</v>
      </c>
      <c r="BE131" s="119" t="str">
        <f t="shared" si="10"/>
        <v>AU0093-18-070 (116)</v>
      </c>
    </row>
    <row r="132" spans="3:57">
      <c r="C132" s="216"/>
      <c r="D132" s="217"/>
      <c r="E132" s="56"/>
      <c r="F132" s="55"/>
      <c r="G132" s="217"/>
      <c r="H132" s="56"/>
      <c r="I132" s="216"/>
      <c r="J132" s="217"/>
      <c r="K132" s="213"/>
      <c r="L132" s="55"/>
      <c r="M132" s="58"/>
      <c r="O132"/>
      <c r="AR132" s="112">
        <f t="shared" si="7"/>
        <v>117</v>
      </c>
      <c r="AS132" s="149"/>
      <c r="AT132" s="149"/>
      <c r="AU132" s="149"/>
      <c r="AV132" s="149"/>
      <c r="AW132" s="149"/>
      <c r="AX132" s="113" t="str">
        <f>'Data Sample'!G128</f>
        <v>P02A517</v>
      </c>
      <c r="AY132" s="113" t="str">
        <f>'Data Sample'!G1137</f>
        <v>V0017864461491</v>
      </c>
      <c r="AZ132" s="113" t="str">
        <f>'Data Sample'!G633</f>
        <v>AU0099-39-957</v>
      </c>
      <c r="BA132" s="118"/>
      <c r="BC132" s="119" t="str">
        <f t="shared" si="8"/>
        <v>P02A517 (117)</v>
      </c>
      <c r="BD132" s="119" t="str">
        <f t="shared" si="9"/>
        <v>V0017864461491 (117)</v>
      </c>
      <c r="BE132" s="119" t="str">
        <f t="shared" si="10"/>
        <v>AU0099-39-957 (117)</v>
      </c>
    </row>
    <row r="133" spans="3:57">
      <c r="H133" s="63"/>
      <c r="K133"/>
      <c r="L133" s="63"/>
      <c r="O133"/>
      <c r="AR133" s="112">
        <f t="shared" si="7"/>
        <v>118</v>
      </c>
      <c r="AS133" s="149"/>
      <c r="AT133" s="149"/>
      <c r="AU133" s="149"/>
      <c r="AV133" s="149"/>
      <c r="AW133" s="149"/>
      <c r="AX133" s="113" t="str">
        <f>'Data Sample'!G129</f>
        <v>P02A645</v>
      </c>
      <c r="AY133" s="113" t="str">
        <f>'Data Sample'!G1138</f>
        <v>V0990775048860</v>
      </c>
      <c r="AZ133" s="113" t="str">
        <f>'Data Sample'!G634</f>
        <v>AU0058-12-599</v>
      </c>
      <c r="BA133" s="118"/>
      <c r="BC133" s="119" t="str">
        <f t="shared" si="8"/>
        <v>P02A645 (118)</v>
      </c>
      <c r="BD133" s="119" t="str">
        <f t="shared" si="9"/>
        <v>V0990775048860 (118)</v>
      </c>
      <c r="BE133" s="119" t="str">
        <f t="shared" si="10"/>
        <v>AU0058-12-599 (118)</v>
      </c>
    </row>
    <row r="134" spans="3:57" ht="15.75">
      <c r="C134" s="866" t="s">
        <v>190</v>
      </c>
      <c r="D134" s="867"/>
      <c r="E134" s="867"/>
      <c r="F134" s="867"/>
      <c r="G134" s="867"/>
      <c r="H134" s="867"/>
      <c r="I134" s="867"/>
      <c r="J134" s="867"/>
      <c r="K134" s="867"/>
      <c r="L134" s="867"/>
      <c r="M134" s="868"/>
      <c r="O134"/>
      <c r="AR134" s="112">
        <f t="shared" si="7"/>
        <v>119</v>
      </c>
      <c r="AS134" s="149"/>
      <c r="AT134" s="149"/>
      <c r="AU134" s="149"/>
      <c r="AV134" s="149"/>
      <c r="AW134" s="149"/>
      <c r="AX134" s="113" t="str">
        <f>'Data Sample'!G130</f>
        <v>P02A937</v>
      </c>
      <c r="AY134" s="113" t="str">
        <f>'Data Sample'!G1139</f>
        <v>V0471323006530</v>
      </c>
      <c r="AZ134" s="113" t="str">
        <f>'Data Sample'!G635</f>
        <v>AU0048-33-884</v>
      </c>
      <c r="BA134" s="118"/>
      <c r="BC134" s="119" t="str">
        <f t="shared" si="8"/>
        <v>P02A937 (119)</v>
      </c>
      <c r="BD134" s="119" t="str">
        <f t="shared" si="9"/>
        <v>V0471323006530 (119)</v>
      </c>
      <c r="BE134" s="119" t="str">
        <f t="shared" si="10"/>
        <v>AU0048-33-884 (119)</v>
      </c>
    </row>
    <row r="135" spans="3:57">
      <c r="H135" s="63"/>
      <c r="K135"/>
      <c r="L135" s="63"/>
      <c r="O135"/>
      <c r="AR135" s="112">
        <f t="shared" si="7"/>
        <v>120</v>
      </c>
      <c r="AS135" s="149"/>
      <c r="AT135" s="149"/>
      <c r="AU135" s="149"/>
      <c r="AV135" s="149"/>
      <c r="AW135" s="149"/>
      <c r="AX135" s="113" t="str">
        <f>'Data Sample'!G131</f>
        <v>P02A633</v>
      </c>
      <c r="AY135" s="113" t="str">
        <f>'Data Sample'!G1140</f>
        <v>V0505693822904</v>
      </c>
      <c r="AZ135" s="113" t="str">
        <f>'Data Sample'!G636</f>
        <v>AU0045-83-657</v>
      </c>
      <c r="BA135" s="118"/>
      <c r="BC135" s="119" t="str">
        <f t="shared" si="8"/>
        <v>P02A633 (120)</v>
      </c>
      <c r="BD135" s="119" t="str">
        <f t="shared" si="9"/>
        <v>V0505693822904 (120)</v>
      </c>
      <c r="BE135" s="119" t="str">
        <f t="shared" si="10"/>
        <v>AU0045-83-657 (120)</v>
      </c>
    </row>
    <row r="136" spans="3:57" ht="15.75">
      <c r="F136" s="218" t="s">
        <v>24</v>
      </c>
      <c r="G136" s="103" t="e">
        <f>G152*G147</f>
        <v>#REF!</v>
      </c>
      <c r="H136" s="63"/>
      <c r="K136"/>
      <c r="L136" s="63"/>
      <c r="O136"/>
      <c r="AR136" s="112">
        <f t="shared" si="7"/>
        <v>121</v>
      </c>
      <c r="AS136" s="149"/>
      <c r="AT136" s="149"/>
      <c r="AU136" s="149"/>
      <c r="AV136" s="149"/>
      <c r="AW136" s="149"/>
      <c r="AX136" s="113" t="str">
        <f>'Data Sample'!G132</f>
        <v>P02A265</v>
      </c>
      <c r="AY136" s="113" t="str">
        <f>'Data Sample'!G1141</f>
        <v>V0548588366009</v>
      </c>
      <c r="AZ136" s="113" t="str">
        <f>'Data Sample'!G637</f>
        <v>AU0055-92-176</v>
      </c>
      <c r="BA136" s="118"/>
      <c r="BC136" s="119" t="str">
        <f t="shared" si="8"/>
        <v>P02A265 (121)</v>
      </c>
      <c r="BD136" s="119" t="str">
        <f t="shared" si="9"/>
        <v>V0548588366009 (121)</v>
      </c>
      <c r="BE136" s="119" t="str">
        <f t="shared" si="10"/>
        <v>AU0055-92-176 (121)</v>
      </c>
    </row>
    <row r="137" spans="3:57" ht="15.75">
      <c r="F137" s="218"/>
      <c r="G137" s="103"/>
      <c r="H137" s="63"/>
      <c r="K137"/>
      <c r="L137" s="63"/>
      <c r="O137"/>
      <c r="AR137" s="112">
        <f t="shared" si="7"/>
        <v>122</v>
      </c>
      <c r="AS137" s="149"/>
      <c r="AT137" s="149"/>
      <c r="AU137" s="149"/>
      <c r="AV137" s="149"/>
      <c r="AW137" s="149"/>
      <c r="AX137" s="113" t="str">
        <f>'Data Sample'!G133</f>
        <v>P02A363</v>
      </c>
      <c r="AY137" s="113" t="str">
        <f>'Data Sample'!G1142</f>
        <v>V0260417007352</v>
      </c>
      <c r="AZ137" s="113" t="str">
        <f>'Data Sample'!G638</f>
        <v>AU0088-25-507</v>
      </c>
      <c r="BA137" s="118"/>
      <c r="BC137" s="119" t="str">
        <f t="shared" si="8"/>
        <v>P02A363 (122)</v>
      </c>
      <c r="BD137" s="119" t="str">
        <f t="shared" si="9"/>
        <v>V0260417007352 (122)</v>
      </c>
      <c r="BE137" s="119" t="str">
        <f t="shared" si="10"/>
        <v>AU0088-25-507 (122)</v>
      </c>
    </row>
    <row r="138" spans="3:57">
      <c r="C138" s="853"/>
      <c r="D138" s="854"/>
      <c r="E138" s="854"/>
      <c r="F138" s="854"/>
      <c r="G138" s="854"/>
      <c r="H138" s="854"/>
      <c r="I138" s="854"/>
      <c r="J138" s="854"/>
      <c r="K138" s="854"/>
      <c r="L138" s="854"/>
      <c r="M138" s="855"/>
      <c r="O138"/>
      <c r="AR138" s="112">
        <f t="shared" si="7"/>
        <v>123</v>
      </c>
      <c r="AS138" s="149"/>
      <c r="AT138" s="149"/>
      <c r="AU138" s="149"/>
      <c r="AV138" s="149"/>
      <c r="AW138" s="149"/>
      <c r="AX138" s="113" t="str">
        <f>'Data Sample'!G134</f>
        <v>P02A559</v>
      </c>
      <c r="AY138" s="113" t="str">
        <f>'Data Sample'!G1143</f>
        <v>V0076382556895</v>
      </c>
      <c r="AZ138" s="113" t="str">
        <f>'Data Sample'!G639</f>
        <v>AU0038-81-164</v>
      </c>
      <c r="BA138" s="118"/>
      <c r="BC138" s="119" t="str">
        <f t="shared" si="8"/>
        <v>P02A559 (123)</v>
      </c>
      <c r="BD138" s="119" t="str">
        <f t="shared" si="9"/>
        <v>V0076382556895 (123)</v>
      </c>
      <c r="BE138" s="119" t="str">
        <f t="shared" si="10"/>
        <v>AU0038-81-164 (123)</v>
      </c>
    </row>
    <row r="139" spans="3:57">
      <c r="C139" s="856" t="s">
        <v>7</v>
      </c>
      <c r="D139" s="857"/>
      <c r="E139" s="50"/>
      <c r="F139" s="856" t="s">
        <v>9</v>
      </c>
      <c r="G139" s="857"/>
      <c r="H139" s="50"/>
      <c r="I139" s="856" t="s">
        <v>10</v>
      </c>
      <c r="J139" s="857"/>
      <c r="K139" s="148"/>
      <c r="L139" s="49"/>
      <c r="M139" s="52"/>
      <c r="O139"/>
      <c r="AR139" s="112">
        <f t="shared" si="7"/>
        <v>124</v>
      </c>
      <c r="AS139" s="149"/>
      <c r="AT139" s="149"/>
      <c r="AU139" s="149"/>
      <c r="AV139" s="149"/>
      <c r="AW139" s="149"/>
      <c r="AX139" s="113" t="str">
        <f>'Data Sample'!G135</f>
        <v>P02A659</v>
      </c>
      <c r="AY139" s="113" t="str">
        <f>'Data Sample'!G1144</f>
        <v>V0711912825020</v>
      </c>
      <c r="AZ139" s="113" t="str">
        <f>'Data Sample'!G640</f>
        <v>AU0087-80-142</v>
      </c>
      <c r="BA139" s="118"/>
      <c r="BC139" s="119" t="str">
        <f t="shared" si="8"/>
        <v>P02A659 (124)</v>
      </c>
      <c r="BD139" s="119" t="str">
        <f t="shared" si="9"/>
        <v>V0711912825020 (124)</v>
      </c>
      <c r="BE139" s="119" t="str">
        <f t="shared" si="10"/>
        <v>AU0087-80-142 (124)</v>
      </c>
    </row>
    <row r="140" spans="3:57">
      <c r="C140" s="170"/>
      <c r="D140" s="193"/>
      <c r="E140" s="50"/>
      <c r="F140" s="49" t="s">
        <v>191</v>
      </c>
      <c r="G140" s="194" t="e">
        <f>TSUBURBLARGE($G$46,"Hail Frequency",iQuote_Version)</f>
        <v>#REF!</v>
      </c>
      <c r="H140" s="50"/>
      <c r="I140" s="170"/>
      <c r="J140" s="193"/>
      <c r="K140" s="148"/>
      <c r="L140" s="49"/>
      <c r="M140" s="52"/>
      <c r="O140"/>
      <c r="AR140" s="112">
        <f t="shared" si="7"/>
        <v>125</v>
      </c>
      <c r="AS140" s="149"/>
      <c r="AT140" s="149"/>
      <c r="AU140" s="149"/>
      <c r="AV140" s="149"/>
      <c r="AW140" s="149"/>
      <c r="AX140" s="113" t="str">
        <f>'Data Sample'!G136</f>
        <v>P02A438</v>
      </c>
      <c r="AY140" s="113" t="str">
        <f>'Data Sample'!G1145</f>
        <v>V0536599246881</v>
      </c>
      <c r="AZ140" s="113" t="str">
        <f>'Data Sample'!G641</f>
        <v>AU0075-99-547</v>
      </c>
      <c r="BA140" s="118"/>
      <c r="BC140" s="119" t="str">
        <f t="shared" si="8"/>
        <v>P02A438 (125)</v>
      </c>
      <c r="BD140" s="119" t="str">
        <f t="shared" si="9"/>
        <v>V0536599246881 (125)</v>
      </c>
      <c r="BE140" s="119" t="str">
        <f t="shared" si="10"/>
        <v>AU0075-99-547 (125)</v>
      </c>
    </row>
    <row r="141" spans="3:57">
      <c r="C141" s="170"/>
      <c r="D141" s="193"/>
      <c r="E141" s="50"/>
      <c r="F141" s="49" t="s">
        <v>192</v>
      </c>
      <c r="G141" s="194" t="e">
        <f>TVEHPARKLE("Hail Frequency",$G$61,iQuote_Version)</f>
        <v>#REF!</v>
      </c>
      <c r="H141" s="50"/>
      <c r="I141" s="170"/>
      <c r="J141" s="193"/>
      <c r="K141" s="148"/>
      <c r="L141" s="49"/>
      <c r="M141" s="52"/>
      <c r="O141"/>
      <c r="AR141" s="112">
        <f t="shared" si="7"/>
        <v>126</v>
      </c>
      <c r="AS141" s="149"/>
      <c r="AT141" s="149"/>
      <c r="AU141" s="149"/>
      <c r="AV141" s="149"/>
      <c r="AW141" s="149"/>
      <c r="AX141" s="113" t="str">
        <f>'Data Sample'!G137</f>
        <v>P02A3</v>
      </c>
      <c r="AY141" s="113" t="str">
        <f>'Data Sample'!G1146</f>
        <v>V0129180300130</v>
      </c>
      <c r="AZ141" s="113" t="str">
        <f>'Data Sample'!G642</f>
        <v>AU0056-74-668</v>
      </c>
      <c r="BA141" s="118"/>
      <c r="BC141" s="119" t="str">
        <f t="shared" si="8"/>
        <v>P02A3 (126)</v>
      </c>
      <c r="BD141" s="119" t="str">
        <f t="shared" si="9"/>
        <v>V0129180300130 (126)</v>
      </c>
      <c r="BE141" s="119" t="str">
        <f t="shared" si="10"/>
        <v>AU0056-74-668 (126)</v>
      </c>
    </row>
    <row r="142" spans="3:57">
      <c r="C142" s="170"/>
      <c r="D142" s="193"/>
      <c r="E142" s="50"/>
      <c r="F142" s="49" t="s">
        <v>193</v>
      </c>
      <c r="G142" s="194" t="e">
        <f>TSUBURBLARGE($G$47,"Hail Frequency",iQuote_Version)</f>
        <v>#REF!</v>
      </c>
      <c r="H142" s="50"/>
      <c r="I142" s="170"/>
      <c r="J142" s="193"/>
      <c r="K142" s="148"/>
      <c r="L142" s="49"/>
      <c r="M142" s="52"/>
      <c r="O142"/>
      <c r="AR142" s="112">
        <f t="shared" si="7"/>
        <v>127</v>
      </c>
      <c r="AS142" s="149"/>
      <c r="AT142" s="149"/>
      <c r="AU142" s="149"/>
      <c r="AV142" s="149"/>
      <c r="AW142" s="149"/>
      <c r="AX142" s="113" t="str">
        <f>'Data Sample'!G138</f>
        <v>P02A358</v>
      </c>
      <c r="AY142" s="113" t="str">
        <f>'Data Sample'!G1147</f>
        <v>V0515745204666</v>
      </c>
      <c r="AZ142" s="113" t="str">
        <f>'Data Sample'!G643</f>
        <v>AU0071-10-762</v>
      </c>
      <c r="BA142" s="118"/>
      <c r="BC142" s="119" t="str">
        <f t="shared" si="8"/>
        <v>P02A358 (127)</v>
      </c>
      <c r="BD142" s="119" t="str">
        <f t="shared" si="9"/>
        <v>V0515745204666 (127)</v>
      </c>
      <c r="BE142" s="119" t="str">
        <f t="shared" si="10"/>
        <v>AU0071-10-762 (127)</v>
      </c>
    </row>
    <row r="143" spans="3:57">
      <c r="C143" s="170"/>
      <c r="D143" s="193"/>
      <c r="E143" s="50"/>
      <c r="F143" s="49" t="s">
        <v>194</v>
      </c>
      <c r="G143" s="194" t="e">
        <f>TVEHPARKLE("Hail Frequency",$G$62,iQuote_Version)</f>
        <v>#REF!</v>
      </c>
      <c r="H143" s="50"/>
      <c r="I143" s="170"/>
      <c r="J143" s="193"/>
      <c r="K143" s="148"/>
      <c r="L143" s="49"/>
      <c r="M143" s="52"/>
      <c r="O143"/>
      <c r="AR143" s="112">
        <f t="shared" si="7"/>
        <v>128</v>
      </c>
      <c r="AS143" s="149"/>
      <c r="AT143" s="149"/>
      <c r="AU143" s="149"/>
      <c r="AV143" s="149"/>
      <c r="AW143" s="149"/>
      <c r="AX143" s="113" t="str">
        <f>'Data Sample'!G139</f>
        <v>P02A792</v>
      </c>
      <c r="AY143" s="113" t="str">
        <f>'Data Sample'!G1148</f>
        <v>V0740066975850</v>
      </c>
      <c r="AZ143" s="113" t="str">
        <f>'Data Sample'!G644</f>
        <v>AU0091-11-353</v>
      </c>
      <c r="BA143" s="118"/>
      <c r="BC143" s="119" t="str">
        <f t="shared" si="8"/>
        <v>P02A792 (128)</v>
      </c>
      <c r="BD143" s="119" t="str">
        <f t="shared" si="9"/>
        <v>V0740066975850 (128)</v>
      </c>
      <c r="BE143" s="119" t="str">
        <f t="shared" si="10"/>
        <v>AU0091-11-353 (128)</v>
      </c>
    </row>
    <row r="144" spans="3:57">
      <c r="C144" s="170"/>
      <c r="D144" s="193"/>
      <c r="E144" s="50"/>
      <c r="F144" s="49" t="s">
        <v>195</v>
      </c>
      <c r="G144" s="194" t="e">
        <f>TVEHICLEUSELE("Hail Frequency",$G$53,iQuote_Version)</f>
        <v>#REF!</v>
      </c>
      <c r="H144" s="50"/>
      <c r="I144" s="170"/>
      <c r="J144" s="193"/>
      <c r="K144" s="148"/>
      <c r="L144" s="49"/>
      <c r="M144" s="52"/>
      <c r="AR144" s="112">
        <f t="shared" ref="AR144:AR207" si="11">1+AR143</f>
        <v>129</v>
      </c>
      <c r="AS144" s="149"/>
      <c r="AT144" s="149"/>
      <c r="AU144" s="149"/>
      <c r="AV144" s="149"/>
      <c r="AW144" s="149"/>
      <c r="AX144" s="113" t="str">
        <f>'Data Sample'!G140</f>
        <v>P02A386</v>
      </c>
      <c r="AY144" s="113" t="str">
        <f>'Data Sample'!G1149</f>
        <v>V0764125301142</v>
      </c>
      <c r="AZ144" s="113" t="str">
        <f>'Data Sample'!G645</f>
        <v>AU0014-53-061</v>
      </c>
      <c r="BA144" s="118"/>
      <c r="BC144" s="119" t="str">
        <f t="shared" ref="BC144:BC207" si="12">AX144 &amp; " ("&amp; $AR144 &amp; ")"</f>
        <v>P02A386 (129)</v>
      </c>
      <c r="BD144" s="119" t="str">
        <f t="shared" ref="BD144:BD207" si="13">AY144 &amp; " ("&amp; $AR144 &amp; ")"</f>
        <v>V0764125301142 (129)</v>
      </c>
      <c r="BE144" s="119" t="str">
        <f t="shared" ref="BE144:BE207" si="14">AZ144 &amp; " ("&amp; $AR144 &amp; ")"</f>
        <v>AU0014-53-061 (129)</v>
      </c>
    </row>
    <row r="145" spans="3:57">
      <c r="C145" s="170"/>
      <c r="D145" s="193"/>
      <c r="E145" s="50"/>
      <c r="F145" s="49" t="s">
        <v>196</v>
      </c>
      <c r="G145" s="194" t="e">
        <f>TVEH_KM_LE($G$56,"Hail Frequency",iQuote_Version)</f>
        <v>#REF!</v>
      </c>
      <c r="H145" s="50"/>
      <c r="I145" s="170"/>
      <c r="J145" s="193"/>
      <c r="K145" s="148"/>
      <c r="L145" s="49"/>
      <c r="M145" s="52"/>
      <c r="AR145" s="112">
        <f t="shared" si="11"/>
        <v>130</v>
      </c>
      <c r="AS145" s="149"/>
      <c r="AT145" s="149"/>
      <c r="AU145" s="149"/>
      <c r="AV145" s="149"/>
      <c r="AW145" s="149"/>
      <c r="AX145" s="113" t="str">
        <f>'Data Sample'!G141</f>
        <v>P02A191</v>
      </c>
      <c r="AY145" s="113" t="str">
        <f>'Data Sample'!G1150</f>
        <v>V0241411233933</v>
      </c>
      <c r="AZ145" s="113" t="str">
        <f>'Data Sample'!G646</f>
        <v>AU0026-38-455</v>
      </c>
      <c r="BA145" s="118"/>
      <c r="BC145" s="119" t="str">
        <f t="shared" si="12"/>
        <v>P02A191 (130)</v>
      </c>
      <c r="BD145" s="119" t="str">
        <f t="shared" si="13"/>
        <v>V0241411233933 (130)</v>
      </c>
      <c r="BE145" s="119" t="str">
        <f t="shared" si="14"/>
        <v>AU0026-38-455 (130)</v>
      </c>
    </row>
    <row r="146" spans="3:57">
      <c r="C146" s="170"/>
      <c r="D146" s="193"/>
      <c r="E146" s="50"/>
      <c r="F146" s="49" t="s">
        <v>197</v>
      </c>
      <c r="G146" s="194" t="e">
        <f>G140+G141+G142+G143+G144+G145</f>
        <v>#REF!</v>
      </c>
      <c r="H146" s="50"/>
      <c r="I146" s="170"/>
      <c r="J146" s="193"/>
      <c r="K146" s="148"/>
      <c r="L146" s="49"/>
      <c r="M146" s="52"/>
      <c r="AR146" s="112">
        <f t="shared" si="11"/>
        <v>131</v>
      </c>
      <c r="AS146" s="149"/>
      <c r="AT146" s="149"/>
      <c r="AU146" s="149"/>
      <c r="AV146" s="149"/>
      <c r="AW146" s="149"/>
      <c r="AX146" s="113" t="str">
        <f>'Data Sample'!G142</f>
        <v>P02A727</v>
      </c>
      <c r="AY146" s="113" t="str">
        <f>'Data Sample'!G1151</f>
        <v>V0331372793392</v>
      </c>
      <c r="AZ146" s="113" t="str">
        <f>'Data Sample'!G647</f>
        <v>AU0078-16-633</v>
      </c>
      <c r="BA146" s="118"/>
      <c r="BC146" s="119" t="str">
        <f t="shared" si="12"/>
        <v>P02A727 (131)</v>
      </c>
      <c r="BD146" s="119" t="str">
        <f t="shared" si="13"/>
        <v>V0331372793392 (131)</v>
      </c>
      <c r="BE146" s="119" t="str">
        <f t="shared" si="14"/>
        <v>AU0078-16-633 (131)</v>
      </c>
    </row>
    <row r="147" spans="3:57">
      <c r="C147" s="170"/>
      <c r="D147" s="193"/>
      <c r="E147" s="50"/>
      <c r="F147" s="49" t="s">
        <v>198</v>
      </c>
      <c r="G147" s="194" t="e">
        <f>1.01^G146 *G25</f>
        <v>#REF!</v>
      </c>
      <c r="H147" s="50"/>
      <c r="I147" s="170"/>
      <c r="J147" s="193"/>
      <c r="K147" s="148"/>
      <c r="L147" s="49"/>
      <c r="M147" s="52"/>
      <c r="AR147" s="112">
        <f t="shared" si="11"/>
        <v>132</v>
      </c>
      <c r="AS147" s="149"/>
      <c r="AT147" s="149"/>
      <c r="AU147" s="149"/>
      <c r="AV147" s="149"/>
      <c r="AW147" s="149"/>
      <c r="AX147" s="113" t="str">
        <f>'Data Sample'!G143</f>
        <v>P02A93</v>
      </c>
      <c r="AY147" s="113" t="str">
        <f>'Data Sample'!G1152</f>
        <v>V0300621552737</v>
      </c>
      <c r="AZ147" s="113" t="str">
        <f>'Data Sample'!G648</f>
        <v>AU0071-58-306</v>
      </c>
      <c r="BA147" s="118"/>
      <c r="BC147" s="119" t="str">
        <f t="shared" si="12"/>
        <v>P02A93 (132)</v>
      </c>
      <c r="BD147" s="119" t="str">
        <f t="shared" si="13"/>
        <v>V0300621552737 (132)</v>
      </c>
      <c r="BE147" s="119" t="str">
        <f t="shared" si="14"/>
        <v>AU0071-58-306 (132)</v>
      </c>
    </row>
    <row r="148" spans="3:57">
      <c r="C148" s="170"/>
      <c r="D148" s="193"/>
      <c r="E148" s="50"/>
      <c r="F148" s="49" t="s">
        <v>199</v>
      </c>
      <c r="G148" s="194" t="e">
        <f>TVEHICLELARGE($G$45,"ENV",iQuote_Version)</f>
        <v>#REF!</v>
      </c>
      <c r="H148" s="50"/>
      <c r="I148" s="170"/>
      <c r="J148" s="193"/>
      <c r="K148" s="148"/>
      <c r="L148" s="49"/>
      <c r="M148" s="52"/>
      <c r="AR148" s="112">
        <f t="shared" si="11"/>
        <v>133</v>
      </c>
      <c r="AS148" s="149"/>
      <c r="AT148" s="149"/>
      <c r="AU148" s="149"/>
      <c r="AV148" s="149"/>
      <c r="AW148" s="149"/>
      <c r="AX148" s="113" t="str">
        <f>'Data Sample'!G144</f>
        <v>P02A433</v>
      </c>
      <c r="AY148" s="113" t="str">
        <f>'Data Sample'!G1153</f>
        <v>V0994396721916</v>
      </c>
      <c r="AZ148" s="113" t="str">
        <f>'Data Sample'!G649</f>
        <v>AU0026-65-490</v>
      </c>
      <c r="BA148" s="118"/>
      <c r="BC148" s="119" t="str">
        <f t="shared" si="12"/>
        <v>P02A433 (133)</v>
      </c>
      <c r="BD148" s="119" t="str">
        <f t="shared" si="13"/>
        <v>V0994396721916 (133)</v>
      </c>
      <c r="BE148" s="119" t="str">
        <f t="shared" si="14"/>
        <v>AU0026-65-490 (133)</v>
      </c>
    </row>
    <row r="149" spans="3:57">
      <c r="C149" s="170"/>
      <c r="D149" s="193"/>
      <c r="E149" s="50"/>
      <c r="F149" s="49" t="s">
        <v>200</v>
      </c>
      <c r="G149" s="194" t="e">
        <f>G26*EXP(G27*G148/1000000)-J46</f>
        <v>#REF!</v>
      </c>
      <c r="H149" s="50"/>
      <c r="I149" s="170"/>
      <c r="J149" s="193"/>
      <c r="K149" s="148"/>
      <c r="L149" s="49"/>
      <c r="M149" s="52"/>
      <c r="AR149" s="112">
        <f t="shared" si="11"/>
        <v>134</v>
      </c>
      <c r="AS149" s="149"/>
      <c r="AT149" s="149"/>
      <c r="AU149" s="149"/>
      <c r="AV149" s="149"/>
      <c r="AW149" s="149"/>
      <c r="AX149" s="113" t="str">
        <f>'Data Sample'!G145</f>
        <v>P02A997</v>
      </c>
      <c r="AY149" s="113" t="str">
        <f>'Data Sample'!G1154</f>
        <v>V0816022323100</v>
      </c>
      <c r="AZ149" s="113" t="str">
        <f>'Data Sample'!G650</f>
        <v>AU0019-86-183</v>
      </c>
      <c r="BA149" s="118"/>
      <c r="BC149" s="119" t="str">
        <f t="shared" si="12"/>
        <v>P02A997 (134)</v>
      </c>
      <c r="BD149" s="119" t="str">
        <f t="shared" si="13"/>
        <v>V0816022323100 (134)</v>
      </c>
      <c r="BE149" s="119" t="str">
        <f t="shared" si="14"/>
        <v>AU0019-86-183 (134)</v>
      </c>
    </row>
    <row r="150" spans="3:57">
      <c r="C150" s="170"/>
      <c r="D150" s="193"/>
      <c r="E150" s="50"/>
      <c r="F150" s="49" t="s">
        <v>201</v>
      </c>
      <c r="G150" s="194" t="e">
        <f>TVEHICLECOLORLE("Hail Severity",G60,iQuote_Version)</f>
        <v>#REF!</v>
      </c>
      <c r="H150" s="50"/>
      <c r="I150" s="170"/>
      <c r="J150" s="193"/>
      <c r="K150" s="148"/>
      <c r="L150" s="49"/>
      <c r="M150" s="52"/>
      <c r="AR150" s="112">
        <f t="shared" si="11"/>
        <v>135</v>
      </c>
      <c r="AS150" s="149"/>
      <c r="AT150" s="149"/>
      <c r="AU150" s="149"/>
      <c r="AV150" s="149"/>
      <c r="AW150" s="149"/>
      <c r="AX150" s="113" t="str">
        <f>'Data Sample'!G146</f>
        <v>P02A51</v>
      </c>
      <c r="AY150" s="113" t="str">
        <f>'Data Sample'!G1155</f>
        <v>V0657661045441</v>
      </c>
      <c r="AZ150" s="113" t="str">
        <f>'Data Sample'!G651</f>
        <v>AU0072-28-942</v>
      </c>
      <c r="BA150" s="118"/>
      <c r="BC150" s="119" t="str">
        <f t="shared" si="12"/>
        <v>P02A51 (135)</v>
      </c>
      <c r="BD150" s="119" t="str">
        <f t="shared" si="13"/>
        <v>V0657661045441 (135)</v>
      </c>
      <c r="BE150" s="119" t="str">
        <f t="shared" si="14"/>
        <v>AU0072-28-942 (135)</v>
      </c>
    </row>
    <row r="151" spans="3:57">
      <c r="C151" s="170"/>
      <c r="D151" s="193"/>
      <c r="E151" s="50"/>
      <c r="F151" s="49" t="s">
        <v>202</v>
      </c>
      <c r="G151" s="194" t="e">
        <f>G150</f>
        <v>#REF!</v>
      </c>
      <c r="H151" s="50"/>
      <c r="I151" s="170"/>
      <c r="J151" s="193"/>
      <c r="K151" s="148"/>
      <c r="L151" s="49"/>
      <c r="M151" s="52"/>
      <c r="AR151" s="112">
        <f t="shared" si="11"/>
        <v>136</v>
      </c>
      <c r="AS151" s="149"/>
      <c r="AT151" s="149"/>
      <c r="AU151" s="149"/>
      <c r="AV151" s="149"/>
      <c r="AW151" s="149"/>
      <c r="AX151" s="113" t="str">
        <f>'Data Sample'!G147</f>
        <v>P02A390</v>
      </c>
      <c r="AY151" s="113" t="str">
        <f>'Data Sample'!G1156</f>
        <v>V0581581618608</v>
      </c>
      <c r="AZ151" s="113" t="str">
        <f>'Data Sample'!G652</f>
        <v>AU0043-98-221</v>
      </c>
      <c r="BA151" s="118"/>
      <c r="BC151" s="119" t="str">
        <f t="shared" si="12"/>
        <v>P02A390 (136)</v>
      </c>
      <c r="BD151" s="119" t="str">
        <f t="shared" si="13"/>
        <v>V0581581618608 (136)</v>
      </c>
      <c r="BE151" s="119" t="str">
        <f t="shared" si="14"/>
        <v>AU0043-98-221 (136)</v>
      </c>
    </row>
    <row r="152" spans="3:57">
      <c r="C152" s="216"/>
      <c r="D152" s="217"/>
      <c r="E152" s="56"/>
      <c r="F152" s="55" t="s">
        <v>203</v>
      </c>
      <c r="G152" s="219" t="e">
        <f>1.01^G151*G149</f>
        <v>#REF!</v>
      </c>
      <c r="H152" s="56"/>
      <c r="I152" s="216"/>
      <c r="J152" s="217"/>
      <c r="K152" s="213"/>
      <c r="L152" s="55"/>
      <c r="M152" s="58"/>
      <c r="AR152" s="112">
        <f t="shared" si="11"/>
        <v>137</v>
      </c>
      <c r="AS152" s="149"/>
      <c r="AT152" s="149"/>
      <c r="AU152" s="149"/>
      <c r="AV152" s="149"/>
      <c r="AW152" s="149"/>
      <c r="AX152" s="113" t="str">
        <f>'Data Sample'!G148</f>
        <v>P02A319</v>
      </c>
      <c r="AY152" s="113" t="str">
        <f>'Data Sample'!G1157</f>
        <v>V0553632363400</v>
      </c>
      <c r="AZ152" s="113" t="str">
        <f>'Data Sample'!G653</f>
        <v>AU0047-66-913</v>
      </c>
      <c r="BA152" s="118"/>
      <c r="BC152" s="119" t="str">
        <f t="shared" si="12"/>
        <v>P02A319 (137)</v>
      </c>
      <c r="BD152" s="119" t="str">
        <f t="shared" si="13"/>
        <v>V0553632363400 (137)</v>
      </c>
      <c r="BE152" s="119" t="str">
        <f t="shared" si="14"/>
        <v>AU0047-66-913 (137)</v>
      </c>
    </row>
    <row r="153" spans="3:57">
      <c r="AR153" s="112">
        <f t="shared" si="11"/>
        <v>138</v>
      </c>
      <c r="AS153" s="149"/>
      <c r="AT153" s="149"/>
      <c r="AU153" s="149"/>
      <c r="AV153" s="149"/>
      <c r="AW153" s="149"/>
      <c r="AX153" s="113" t="str">
        <f>'Data Sample'!G149</f>
        <v>P02A512</v>
      </c>
      <c r="AY153" s="113" t="str">
        <f>'Data Sample'!G1158</f>
        <v>V0443150753837</v>
      </c>
      <c r="AZ153" s="113" t="str">
        <f>'Data Sample'!G654</f>
        <v>AU0036-76-992</v>
      </c>
      <c r="BA153" s="118"/>
      <c r="BC153" s="119" t="str">
        <f t="shared" si="12"/>
        <v>P02A512 (138)</v>
      </c>
      <c r="BD153" s="119" t="str">
        <f t="shared" si="13"/>
        <v>V0443150753837 (138)</v>
      </c>
      <c r="BE153" s="119" t="str">
        <f t="shared" si="14"/>
        <v>AU0036-76-992 (138)</v>
      </c>
    </row>
    <row r="154" spans="3:57" ht="15.75">
      <c r="C154" s="850" t="s">
        <v>204</v>
      </c>
      <c r="D154" s="851"/>
      <c r="E154" s="851"/>
      <c r="F154" s="851"/>
      <c r="G154" s="851"/>
      <c r="H154" s="851"/>
      <c r="I154" s="851"/>
      <c r="J154" s="851"/>
      <c r="K154" s="851"/>
      <c r="L154" s="851"/>
      <c r="M154" s="852"/>
      <c r="AR154" s="112">
        <f t="shared" si="11"/>
        <v>139</v>
      </c>
      <c r="AS154" s="149"/>
      <c r="AT154" s="149"/>
      <c r="AU154" s="149"/>
      <c r="AV154" s="149"/>
      <c r="AW154" s="149"/>
      <c r="AX154" s="113" t="str">
        <f>'Data Sample'!G150</f>
        <v>P02A376</v>
      </c>
      <c r="AY154" s="113" t="str">
        <f>'Data Sample'!G1159</f>
        <v>V0001203068819</v>
      </c>
      <c r="AZ154" s="113" t="str">
        <f>'Data Sample'!G655</f>
        <v>AU0073-18-756</v>
      </c>
      <c r="BA154" s="118"/>
      <c r="BC154" s="119" t="str">
        <f t="shared" si="12"/>
        <v>P02A376 (139)</v>
      </c>
      <c r="BD154" s="119" t="str">
        <f t="shared" si="13"/>
        <v>V0001203068819 (139)</v>
      </c>
      <c r="BE154" s="119" t="str">
        <f t="shared" si="14"/>
        <v>AU0073-18-756 (139)</v>
      </c>
    </row>
    <row r="155" spans="3:57">
      <c r="AR155" s="112">
        <f t="shared" si="11"/>
        <v>140</v>
      </c>
      <c r="AS155" s="149"/>
      <c r="AT155" s="149"/>
      <c r="AU155" s="149"/>
      <c r="AV155" s="149"/>
      <c r="AW155" s="149"/>
      <c r="AX155" s="113" t="str">
        <f>'Data Sample'!G151</f>
        <v>P02A350</v>
      </c>
      <c r="AY155" s="113" t="str">
        <f>'Data Sample'!G1160</f>
        <v>V0149466374999</v>
      </c>
      <c r="AZ155" s="113" t="str">
        <f>'Data Sample'!G656</f>
        <v>AU0052-37-216</v>
      </c>
      <c r="BA155" s="118"/>
      <c r="BC155" s="119" t="str">
        <f t="shared" si="12"/>
        <v>P02A350 (140)</v>
      </c>
      <c r="BD155" s="119" t="str">
        <f t="shared" si="13"/>
        <v>V0149466374999 (140)</v>
      </c>
      <c r="BE155" s="119" t="str">
        <f t="shared" si="14"/>
        <v>AU0052-37-216 (140)</v>
      </c>
    </row>
    <row r="156" spans="3:57" ht="15.75">
      <c r="F156" s="218" t="s">
        <v>25</v>
      </c>
      <c r="G156" s="103" t="e">
        <f>G161*G29</f>
        <v>#REF!</v>
      </c>
      <c r="AR156" s="112">
        <f t="shared" si="11"/>
        <v>141</v>
      </c>
      <c r="AS156" s="149"/>
      <c r="AT156" s="149"/>
      <c r="AU156" s="149"/>
      <c r="AV156" s="149"/>
      <c r="AW156" s="149"/>
      <c r="AX156" s="113" t="str">
        <f>'Data Sample'!G152</f>
        <v>P02A235</v>
      </c>
      <c r="AY156" s="113" t="str">
        <f>'Data Sample'!G1161</f>
        <v>V0351576560219</v>
      </c>
      <c r="AZ156" s="113" t="str">
        <f>'Data Sample'!G657</f>
        <v>AU0046-80-579</v>
      </c>
      <c r="BA156" s="118"/>
      <c r="BC156" s="119" t="str">
        <f t="shared" si="12"/>
        <v>P02A235 (141)</v>
      </c>
      <c r="BD156" s="119" t="str">
        <f t="shared" si="13"/>
        <v>V0351576560219 (141)</v>
      </c>
      <c r="BE156" s="119" t="str">
        <f t="shared" si="14"/>
        <v>AU0046-80-579 (141)</v>
      </c>
    </row>
    <row r="157" spans="3:57">
      <c r="AR157" s="112">
        <f t="shared" si="11"/>
        <v>142</v>
      </c>
      <c r="AS157" s="149"/>
      <c r="AT157" s="149"/>
      <c r="AU157" s="149"/>
      <c r="AV157" s="149"/>
      <c r="AW157" s="149"/>
      <c r="AX157" s="113" t="str">
        <f>'Data Sample'!G153</f>
        <v>P02A926</v>
      </c>
      <c r="AY157" s="113" t="str">
        <f>'Data Sample'!G1162</f>
        <v>V0792630417515</v>
      </c>
      <c r="AZ157" s="113" t="str">
        <f>'Data Sample'!G658</f>
        <v>AU0086-11-503</v>
      </c>
      <c r="BA157" s="118"/>
      <c r="BC157" s="119" t="str">
        <f t="shared" si="12"/>
        <v>P02A926 (142)</v>
      </c>
      <c r="BD157" s="119" t="str">
        <f t="shared" si="13"/>
        <v>V0792630417515 (142)</v>
      </c>
      <c r="BE157" s="119" t="str">
        <f t="shared" si="14"/>
        <v>AU0086-11-503 (142)</v>
      </c>
    </row>
    <row r="158" spans="3:57">
      <c r="C158" s="853"/>
      <c r="D158" s="854"/>
      <c r="E158" s="854"/>
      <c r="F158" s="854"/>
      <c r="G158" s="854"/>
      <c r="H158" s="854"/>
      <c r="I158" s="854"/>
      <c r="J158" s="854"/>
      <c r="K158" s="854"/>
      <c r="L158" s="854"/>
      <c r="M158" s="855"/>
      <c r="AR158" s="112">
        <f t="shared" si="11"/>
        <v>143</v>
      </c>
      <c r="AS158" s="149"/>
      <c r="AT158" s="149"/>
      <c r="AU158" s="149"/>
      <c r="AV158" s="149"/>
      <c r="AW158" s="149"/>
      <c r="AX158" s="113" t="str">
        <f>'Data Sample'!G154</f>
        <v>P02A132</v>
      </c>
      <c r="AY158" s="113" t="str">
        <f>'Data Sample'!G1163</f>
        <v>V0791972586649</v>
      </c>
      <c r="AZ158" s="113" t="str">
        <f>'Data Sample'!G659</f>
        <v>AU0043-75-622</v>
      </c>
      <c r="BA158" s="118"/>
      <c r="BC158" s="119" t="str">
        <f t="shared" si="12"/>
        <v>P02A132 (143)</v>
      </c>
      <c r="BD158" s="119" t="str">
        <f t="shared" si="13"/>
        <v>V0791972586649 (143)</v>
      </c>
      <c r="BE158" s="119" t="str">
        <f t="shared" si="14"/>
        <v>AU0043-75-622 (143)</v>
      </c>
    </row>
    <row r="159" spans="3:57">
      <c r="C159" s="856" t="s">
        <v>7</v>
      </c>
      <c r="D159" s="857"/>
      <c r="E159" s="50"/>
      <c r="F159" s="856" t="s">
        <v>9</v>
      </c>
      <c r="G159" s="857"/>
      <c r="H159" s="50"/>
      <c r="I159" s="856" t="s">
        <v>10</v>
      </c>
      <c r="J159" s="857"/>
      <c r="K159" s="148"/>
      <c r="L159" s="49"/>
      <c r="M159" s="52"/>
      <c r="AR159" s="112">
        <f t="shared" si="11"/>
        <v>144</v>
      </c>
      <c r="AS159" s="149"/>
      <c r="AT159" s="149"/>
      <c r="AU159" s="149"/>
      <c r="AV159" s="149"/>
      <c r="AW159" s="149"/>
      <c r="AX159" s="113" t="str">
        <f>'Data Sample'!G155</f>
        <v>P02A888</v>
      </c>
      <c r="AY159" s="113" t="str">
        <f>'Data Sample'!G1164</f>
        <v>V0256209227384</v>
      </c>
      <c r="AZ159" s="113" t="str">
        <f>'Data Sample'!G660</f>
        <v>AU0056-37-283</v>
      </c>
      <c r="BA159" s="118"/>
      <c r="BC159" s="119" t="str">
        <f t="shared" si="12"/>
        <v>P02A888 (144)</v>
      </c>
      <c r="BD159" s="119" t="str">
        <f t="shared" si="13"/>
        <v>V0256209227384 (144)</v>
      </c>
      <c r="BE159" s="119" t="str">
        <f t="shared" si="14"/>
        <v>AU0056-37-283 (144)</v>
      </c>
    </row>
    <row r="160" spans="3:57">
      <c r="C160" s="170"/>
      <c r="D160" s="193"/>
      <c r="E160" s="50"/>
      <c r="F160" s="49" t="s">
        <v>205</v>
      </c>
      <c r="G160" s="194" t="e">
        <f>TVEHICLELARGE($G$45,"ENV",iQuote_Version)</f>
        <v>#REF!</v>
      </c>
      <c r="H160" s="50"/>
      <c r="I160" s="170"/>
      <c r="J160" s="193"/>
      <c r="K160" s="148"/>
      <c r="L160" s="49"/>
      <c r="M160" s="52"/>
      <c r="AR160" s="112">
        <f t="shared" si="11"/>
        <v>145</v>
      </c>
      <c r="AS160" s="149"/>
      <c r="AT160" s="149"/>
      <c r="AU160" s="149"/>
      <c r="AV160" s="149"/>
      <c r="AW160" s="149"/>
      <c r="AX160" s="113" t="str">
        <f>'Data Sample'!G156</f>
        <v>P02A256</v>
      </c>
      <c r="AY160" s="113" t="str">
        <f>'Data Sample'!G1165</f>
        <v>V0149733573134</v>
      </c>
      <c r="AZ160" s="113" t="str">
        <f>'Data Sample'!G661</f>
        <v>AU0014-34-129</v>
      </c>
      <c r="BA160" s="118"/>
      <c r="BC160" s="119" t="str">
        <f t="shared" si="12"/>
        <v>P02A256 (145)</v>
      </c>
      <c r="BD160" s="119" t="str">
        <f t="shared" si="13"/>
        <v>V0149733573134 (145)</v>
      </c>
      <c r="BE160" s="119" t="str">
        <f t="shared" si="14"/>
        <v>AU0014-34-129 (145)</v>
      </c>
    </row>
    <row r="161" spans="3:57">
      <c r="C161" s="216"/>
      <c r="D161" s="217"/>
      <c r="E161" s="56"/>
      <c r="F161" s="55" t="s">
        <v>206</v>
      </c>
      <c r="G161" s="220" t="e">
        <f>MIN(G96*G160,G160*G30)-J46</f>
        <v>#REF!</v>
      </c>
      <c r="H161" s="56"/>
      <c r="I161" s="216"/>
      <c r="J161" s="217"/>
      <c r="K161" s="213"/>
      <c r="L161" s="55"/>
      <c r="M161" s="58"/>
      <c r="AR161" s="112">
        <f t="shared" si="11"/>
        <v>146</v>
      </c>
      <c r="AS161" s="149"/>
      <c r="AT161" s="149"/>
      <c r="AU161" s="149"/>
      <c r="AV161" s="149"/>
      <c r="AW161" s="149"/>
      <c r="AX161" s="113" t="str">
        <f>'Data Sample'!G157</f>
        <v>P02A809</v>
      </c>
      <c r="AY161" s="113" t="str">
        <f>'Data Sample'!G1166</f>
        <v>V0231219564073</v>
      </c>
      <c r="AZ161" s="113" t="str">
        <f>'Data Sample'!G662</f>
        <v>AU0073-59-971</v>
      </c>
      <c r="BA161" s="118"/>
      <c r="BC161" s="119" t="str">
        <f t="shared" si="12"/>
        <v>P02A809 (146)</v>
      </c>
      <c r="BD161" s="119" t="str">
        <f t="shared" si="13"/>
        <v>V0231219564073 (146)</v>
      </c>
      <c r="BE161" s="119" t="str">
        <f t="shared" si="14"/>
        <v>AU0073-59-971 (146)</v>
      </c>
    </row>
    <row r="162" spans="3:57">
      <c r="AR162" s="112">
        <f t="shared" si="11"/>
        <v>147</v>
      </c>
      <c r="AS162" s="149"/>
      <c r="AT162" s="149"/>
      <c r="AU162" s="149"/>
      <c r="AV162" s="149"/>
      <c r="AW162" s="149"/>
      <c r="AX162" s="113" t="str">
        <f>'Data Sample'!G158</f>
        <v>P02A404</v>
      </c>
      <c r="AY162" s="113" t="str">
        <f>'Data Sample'!G1167</f>
        <v>V0720997006974</v>
      </c>
      <c r="AZ162" s="113" t="str">
        <f>'Data Sample'!G663</f>
        <v>AU0043-07-706</v>
      </c>
      <c r="BA162" s="118"/>
      <c r="BC162" s="119" t="str">
        <f t="shared" si="12"/>
        <v>P02A404 (147)</v>
      </c>
      <c r="BD162" s="119" t="str">
        <f t="shared" si="13"/>
        <v>V0720997006974 (147)</v>
      </c>
      <c r="BE162" s="119" t="str">
        <f t="shared" si="14"/>
        <v>AU0043-07-706 (147)</v>
      </c>
    </row>
    <row r="163" spans="3:57" ht="15.75">
      <c r="C163" s="858" t="s">
        <v>207</v>
      </c>
      <c r="D163" s="859"/>
      <c r="E163" s="859"/>
      <c r="F163" s="859"/>
      <c r="G163" s="859"/>
      <c r="H163" s="859"/>
      <c r="I163" s="859"/>
      <c r="J163" s="859"/>
      <c r="K163" s="859"/>
      <c r="L163" s="859"/>
      <c r="M163" s="860"/>
      <c r="AR163" s="112">
        <f t="shared" si="11"/>
        <v>148</v>
      </c>
      <c r="AS163" s="149"/>
      <c r="AT163" s="149"/>
      <c r="AU163" s="149"/>
      <c r="AV163" s="149"/>
      <c r="AW163" s="149"/>
      <c r="AX163" s="113" t="str">
        <f>'Data Sample'!G159</f>
        <v>P02A249</v>
      </c>
      <c r="AY163" s="113" t="str">
        <f>'Data Sample'!G1168</f>
        <v>V0411136871860</v>
      </c>
      <c r="AZ163" s="113" t="str">
        <f>'Data Sample'!G664</f>
        <v>AU0081-50-779</v>
      </c>
      <c r="BA163" s="118"/>
      <c r="BC163" s="119" t="str">
        <f t="shared" si="12"/>
        <v>P02A249 (148)</v>
      </c>
      <c r="BD163" s="119" t="str">
        <f t="shared" si="13"/>
        <v>V0411136871860 (148)</v>
      </c>
      <c r="BE163" s="119" t="str">
        <f t="shared" si="14"/>
        <v>AU0081-50-779 (148)</v>
      </c>
    </row>
    <row r="164" spans="3:57">
      <c r="AR164" s="112">
        <f t="shared" si="11"/>
        <v>149</v>
      </c>
      <c r="AS164" s="149"/>
      <c r="AT164" s="149"/>
      <c r="AU164" s="149"/>
      <c r="AV164" s="149"/>
      <c r="AW164" s="149"/>
      <c r="AX164" s="113" t="str">
        <f>'Data Sample'!G160</f>
        <v>P02A54</v>
      </c>
      <c r="AY164" s="113" t="str">
        <f>'Data Sample'!G1169</f>
        <v>V0885957627030</v>
      </c>
      <c r="AZ164" s="113" t="str">
        <f>'Data Sample'!G665</f>
        <v>AU0002-89-561</v>
      </c>
      <c r="BA164" s="118"/>
      <c r="BC164" s="119" t="str">
        <f t="shared" si="12"/>
        <v>P02A54 (149)</v>
      </c>
      <c r="BD164" s="119" t="str">
        <f t="shared" si="13"/>
        <v>V0885957627030 (149)</v>
      </c>
      <c r="BE164" s="119" t="str">
        <f t="shared" si="14"/>
        <v>AU0002-89-561 (149)</v>
      </c>
    </row>
    <row r="165" spans="3:57" ht="15.75">
      <c r="C165" s="218" t="s">
        <v>208</v>
      </c>
      <c r="D165" s="103" t="e">
        <f>D175*D176</f>
        <v>#REF!</v>
      </c>
      <c r="F165" s="221" t="s">
        <v>209</v>
      </c>
      <c r="G165" s="103" t="e">
        <f>((M173/(1-J23-J25))+J24+M174)/(1-J22-M176)</f>
        <v>#REF!</v>
      </c>
      <c r="I165" s="221" t="s">
        <v>210</v>
      </c>
      <c r="J165" s="222" t="e">
        <f>SUM(J180,J181,J182,J183,J184,J185,J186)</f>
        <v>#REF!</v>
      </c>
      <c r="AR165" s="112">
        <f t="shared" si="11"/>
        <v>150</v>
      </c>
      <c r="AS165" s="149"/>
      <c r="AT165" s="149"/>
      <c r="AU165" s="149"/>
      <c r="AV165" s="149"/>
      <c r="AW165" s="149"/>
      <c r="AX165" s="113" t="str">
        <f>'Data Sample'!G161</f>
        <v>P02A52</v>
      </c>
      <c r="AY165" s="113" t="str">
        <f>'Data Sample'!G1170</f>
        <v>V0411859790587</v>
      </c>
      <c r="AZ165" s="113" t="str">
        <f>'Data Sample'!G666</f>
        <v>AU0078-80-180</v>
      </c>
      <c r="BA165" s="118"/>
      <c r="BC165" s="119" t="str">
        <f t="shared" si="12"/>
        <v>P02A52 (150)</v>
      </c>
      <c r="BD165" s="119" t="str">
        <f t="shared" si="13"/>
        <v>V0411859790587 (150)</v>
      </c>
      <c r="BE165" s="119" t="str">
        <f t="shared" si="14"/>
        <v>AU0078-80-180 (150)</v>
      </c>
    </row>
    <row r="166" spans="3:57" ht="15.75">
      <c r="F166" s="221" t="s">
        <v>211</v>
      </c>
      <c r="G166" s="103" t="e">
        <f>IF(((M173/(1-J23-J25-J28))+J24+M174+J29+M177)/(1-J22-M176)&gt;9000,"",((M173/(1-J23-J25-J28))+J24+M174+J29+M177)/(1-J22-M176))</f>
        <v>#REF!</v>
      </c>
      <c r="I166" s="221" t="s">
        <v>212</v>
      </c>
      <c r="J166" s="222" t="e">
        <f>J178-J185</f>
        <v>#REF!</v>
      </c>
      <c r="AR166" s="112">
        <f t="shared" si="11"/>
        <v>151</v>
      </c>
      <c r="AS166" s="149"/>
      <c r="AT166" s="149"/>
      <c r="AU166" s="149"/>
      <c r="AV166" s="149"/>
      <c r="AW166" s="149"/>
      <c r="AX166" s="113" t="str">
        <f>'Data Sample'!G162</f>
        <v>P02A593</v>
      </c>
      <c r="AY166" s="113" t="str">
        <f>'Data Sample'!G1171</f>
        <v>V0980336334043</v>
      </c>
      <c r="AZ166" s="113" t="str">
        <f>'Data Sample'!G667</f>
        <v>AU0080-91-395</v>
      </c>
      <c r="BA166" s="118"/>
      <c r="BC166" s="119" t="str">
        <f t="shared" si="12"/>
        <v>P02A593 (151)</v>
      </c>
      <c r="BD166" s="119" t="str">
        <f t="shared" si="13"/>
        <v>V0980336334043 (151)</v>
      </c>
      <c r="BE166" s="119" t="str">
        <f t="shared" si="14"/>
        <v>AU0080-91-395 (151)</v>
      </c>
    </row>
    <row r="167" spans="3:57" ht="15.75">
      <c r="F167" s="221" t="s">
        <v>213</v>
      </c>
      <c r="G167" s="103" t="e">
        <f ca="1">G166*(1+M197)*(1+M198)*(1+M199)</f>
        <v>#REF!</v>
      </c>
      <c r="I167" s="221" t="s">
        <v>214</v>
      </c>
      <c r="J167" s="222" t="e">
        <f>J20-J186</f>
        <v>#REF!</v>
      </c>
      <c r="AR167" s="112">
        <f t="shared" si="11"/>
        <v>152</v>
      </c>
      <c r="AS167" s="149"/>
      <c r="AT167" s="149"/>
      <c r="AU167" s="149"/>
      <c r="AV167" s="149"/>
      <c r="AW167" s="149"/>
      <c r="AX167" s="113" t="str">
        <f>'Data Sample'!G163</f>
        <v>P02A823</v>
      </c>
      <c r="AY167" s="113" t="str">
        <f>'Data Sample'!G1172</f>
        <v>V0466849559035</v>
      </c>
      <c r="AZ167" s="113" t="str">
        <f>'Data Sample'!G668</f>
        <v>AU0082-05-615</v>
      </c>
      <c r="BA167" s="118"/>
      <c r="BC167" s="119" t="str">
        <f t="shared" si="12"/>
        <v>P02A823 (152)</v>
      </c>
      <c r="BD167" s="119" t="str">
        <f t="shared" si="13"/>
        <v>V0466849559035 (152)</v>
      </c>
      <c r="BE167" s="119" t="str">
        <f t="shared" si="14"/>
        <v>AU0082-05-615 (152)</v>
      </c>
    </row>
    <row r="168" spans="3:57" ht="15.75">
      <c r="F168" s="221"/>
      <c r="G168" s="103"/>
      <c r="I168" s="223" t="s">
        <v>215</v>
      </c>
      <c r="J168" s="222" t="e">
        <f>SUM(M180,M181,M182,M183,M184,J166,J167)</f>
        <v>#REF!</v>
      </c>
      <c r="AR168" s="112">
        <f t="shared" si="11"/>
        <v>153</v>
      </c>
      <c r="AS168" s="149"/>
      <c r="AT168" s="149"/>
      <c r="AU168" s="149"/>
      <c r="AV168" s="149"/>
      <c r="AW168" s="149"/>
      <c r="AX168" s="113" t="str">
        <f>'Data Sample'!G164</f>
        <v>P02A810</v>
      </c>
      <c r="AY168" s="113" t="str">
        <f>'Data Sample'!G1173</f>
        <v>V0223896532050</v>
      </c>
      <c r="AZ168" s="113" t="str">
        <f>'Data Sample'!G669</f>
        <v>AU0000-08-698</v>
      </c>
      <c r="BA168" s="118"/>
      <c r="BC168" s="119" t="str">
        <f t="shared" si="12"/>
        <v>P02A810 (153)</v>
      </c>
      <c r="BD168" s="119" t="str">
        <f t="shared" si="13"/>
        <v>V0223896532050 (153)</v>
      </c>
      <c r="BE168" s="119" t="str">
        <f t="shared" si="14"/>
        <v>AU0000-08-698 (153)</v>
      </c>
    </row>
    <row r="169" spans="3:57">
      <c r="AR169" s="112">
        <f t="shared" si="11"/>
        <v>154</v>
      </c>
      <c r="AS169" s="149"/>
      <c r="AT169" s="149"/>
      <c r="AU169" s="149"/>
      <c r="AV169" s="149"/>
      <c r="AW169" s="149"/>
      <c r="AX169" s="113" t="str">
        <f>'Data Sample'!G165</f>
        <v>P02A646</v>
      </c>
      <c r="AY169" s="113" t="str">
        <f>'Data Sample'!G1174</f>
        <v>V0671219079142</v>
      </c>
      <c r="AZ169" s="113" t="str">
        <f>'Data Sample'!G670</f>
        <v>AU0071-74-623</v>
      </c>
      <c r="BA169" s="118"/>
      <c r="BC169" s="119" t="str">
        <f t="shared" si="12"/>
        <v>P02A646 (154)</v>
      </c>
      <c r="BD169" s="119" t="str">
        <f t="shared" si="13"/>
        <v>V0671219079142 (154)</v>
      </c>
      <c r="BE169" s="119" t="str">
        <f t="shared" si="14"/>
        <v>AU0071-74-623 (154)</v>
      </c>
    </row>
    <row r="170" spans="3:57">
      <c r="C170" s="64" t="s">
        <v>126</v>
      </c>
      <c r="D170" s="77">
        <f>TBASELE(F34,iQuote_Version)</f>
        <v>2066.37</v>
      </c>
      <c r="F170" s="64" t="s">
        <v>216</v>
      </c>
      <c r="G170" s="96">
        <f>D28*D170</f>
        <v>3099.5549999999998</v>
      </c>
      <c r="I170" s="64" t="s">
        <v>128</v>
      </c>
      <c r="J170" s="96">
        <f>LN(D170^2/SQRT(D170^2+G170^2))</f>
        <v>7.0442212255030974</v>
      </c>
      <c r="L170" s="64" t="s">
        <v>129</v>
      </c>
      <c r="M170" s="97">
        <f>SQRT(LN((G170^2+D170^2)/D170/D170))</f>
        <v>1.085658784490618</v>
      </c>
      <c r="AR170" s="112">
        <f t="shared" si="11"/>
        <v>155</v>
      </c>
      <c r="AS170" s="149"/>
      <c r="AT170" s="149"/>
      <c r="AU170" s="149"/>
      <c r="AV170" s="149"/>
      <c r="AW170" s="149"/>
      <c r="AX170" s="113" t="str">
        <f>'Data Sample'!G166</f>
        <v>P02A151</v>
      </c>
      <c r="AY170" s="113" t="str">
        <f>'Data Sample'!G1175</f>
        <v>V0032003517628</v>
      </c>
      <c r="AZ170" s="113" t="str">
        <f>'Data Sample'!G671</f>
        <v>AU0052-41-713</v>
      </c>
      <c r="BA170" s="118"/>
      <c r="BC170" s="119" t="str">
        <f t="shared" si="12"/>
        <v>P02A151 (155)</v>
      </c>
      <c r="BD170" s="119" t="str">
        <f t="shared" si="13"/>
        <v>V0032003517628 (155)</v>
      </c>
      <c r="BE170" s="119" t="str">
        <f t="shared" si="14"/>
        <v>AU0052-41-713 (155)</v>
      </c>
    </row>
    <row r="171" spans="3:57">
      <c r="C171" s="853"/>
      <c r="D171" s="854"/>
      <c r="E171" s="854"/>
      <c r="F171" s="854"/>
      <c r="G171" s="854"/>
      <c r="H171" s="854"/>
      <c r="I171" s="854"/>
      <c r="J171" s="854"/>
      <c r="K171" s="854"/>
      <c r="L171" s="854"/>
      <c r="M171" s="855"/>
      <c r="AR171" s="112">
        <f t="shared" si="11"/>
        <v>156</v>
      </c>
      <c r="AS171" s="149"/>
      <c r="AT171" s="149"/>
      <c r="AU171" s="149"/>
      <c r="AV171" s="149"/>
      <c r="AW171" s="149"/>
      <c r="AX171" s="113" t="str">
        <f>'Data Sample'!G167</f>
        <v>P02A944</v>
      </c>
      <c r="AY171" s="113" t="str">
        <f>'Data Sample'!G1176</f>
        <v>V0379339197959</v>
      </c>
      <c r="AZ171" s="113" t="str">
        <f>'Data Sample'!G672</f>
        <v>AU0047-84-696</v>
      </c>
      <c r="BA171" s="118"/>
      <c r="BC171" s="119" t="str">
        <f t="shared" si="12"/>
        <v>P02A944 (156)</v>
      </c>
      <c r="BD171" s="119" t="str">
        <f t="shared" si="13"/>
        <v>V0379339197959 (156)</v>
      </c>
      <c r="BE171" s="119" t="str">
        <f t="shared" si="14"/>
        <v>AU0047-84-696 (156)</v>
      </c>
    </row>
    <row r="172" spans="3:57">
      <c r="C172" s="861" t="s">
        <v>217</v>
      </c>
      <c r="D172" s="862"/>
      <c r="E172" s="46"/>
      <c r="F172" s="861" t="s">
        <v>218</v>
      </c>
      <c r="G172" s="862"/>
      <c r="H172" s="46"/>
      <c r="I172" s="861" t="s">
        <v>219</v>
      </c>
      <c r="J172" s="862"/>
      <c r="K172" s="224"/>
      <c r="L172" s="861" t="s">
        <v>220</v>
      </c>
      <c r="M172" s="862"/>
      <c r="AR172" s="112">
        <f t="shared" si="11"/>
        <v>157</v>
      </c>
      <c r="AS172" s="149"/>
      <c r="AT172" s="149"/>
      <c r="AU172" s="149"/>
      <c r="AV172" s="149"/>
      <c r="AW172" s="149"/>
      <c r="AX172" s="113" t="str">
        <f>'Data Sample'!G168</f>
        <v>P02A384</v>
      </c>
      <c r="AY172" s="113" t="str">
        <f>'Data Sample'!G1177</f>
        <v>V0983471963318</v>
      </c>
      <c r="AZ172" s="113" t="str">
        <f>'Data Sample'!G673</f>
        <v>AU0099-16-776</v>
      </c>
      <c r="BA172" s="118"/>
      <c r="BC172" s="119" t="str">
        <f t="shared" si="12"/>
        <v>P02A384 (157)</v>
      </c>
      <c r="BD172" s="119" t="str">
        <f t="shared" si="13"/>
        <v>V0983471963318 (157)</v>
      </c>
      <c r="BE172" s="119" t="str">
        <f t="shared" si="14"/>
        <v>AU0099-16-776 (157)</v>
      </c>
    </row>
    <row r="173" spans="3:57">
      <c r="C173" s="195" t="s">
        <v>221</v>
      </c>
      <c r="D173" s="127" t="e">
        <f>IF(D176=0,1,EXP(-G32*(J46/D176)))</f>
        <v>#REF!</v>
      </c>
      <c r="E173" s="50"/>
      <c r="F173" s="195" t="s">
        <v>222</v>
      </c>
      <c r="G173" s="127" t="e">
        <f>D177*G33</f>
        <v>#REF!</v>
      </c>
      <c r="H173" s="50"/>
      <c r="I173" s="195" t="s">
        <v>223</v>
      </c>
      <c r="J173" s="129" t="e">
        <f>IF(M45="Motor Comp",G105*G92,0)</f>
        <v>#REF!</v>
      </c>
      <c r="K173" s="148"/>
      <c r="L173" s="195" t="s">
        <v>224</v>
      </c>
      <c r="M173" s="212" t="e">
        <f>J173+J174+J175+J176+J177+J178+J20</f>
        <v>#REF!</v>
      </c>
      <c r="AR173" s="112">
        <f t="shared" si="11"/>
        <v>158</v>
      </c>
      <c r="AS173" s="149"/>
      <c r="AT173" s="149"/>
      <c r="AU173" s="149"/>
      <c r="AV173" s="149"/>
      <c r="AW173" s="149"/>
      <c r="AX173" s="113" t="str">
        <f>'Data Sample'!G169</f>
        <v>P02A33</v>
      </c>
      <c r="AY173" s="113" t="str">
        <f>'Data Sample'!G1178</f>
        <v>V0703204604978</v>
      </c>
      <c r="AZ173" s="113" t="str">
        <f>'Data Sample'!G674</f>
        <v>AU0089-26-435</v>
      </c>
      <c r="BA173" s="118"/>
      <c r="BC173" s="119" t="str">
        <f t="shared" si="12"/>
        <v>P02A33 (158)</v>
      </c>
      <c r="BD173" s="119" t="str">
        <f t="shared" si="13"/>
        <v>V0703204604978 (158)</v>
      </c>
      <c r="BE173" s="119" t="str">
        <f t="shared" si="14"/>
        <v>AU0089-26-435 (158)</v>
      </c>
    </row>
    <row r="174" spans="3:57">
      <c r="C174" s="195" t="s">
        <v>225</v>
      </c>
      <c r="D174" s="211" t="e">
        <f>G91</f>
        <v>#REF!</v>
      </c>
      <c r="E174" s="50"/>
      <c r="F174" s="195" t="s">
        <v>226</v>
      </c>
      <c r="G174" s="225" t="e">
        <f>1/((EXP(J170)/J46)^(PI()/M170/3^0.5)+1)</f>
        <v>#REF!</v>
      </c>
      <c r="H174" s="50"/>
      <c r="I174" s="195" t="s">
        <v>227</v>
      </c>
      <c r="J174" s="129" t="e">
        <f>IF(OR(M45="Motor Comp",M45="3&amp;F&amp;T"),G131*G127,0)</f>
        <v>#REF!</v>
      </c>
      <c r="K174" s="148"/>
      <c r="L174" s="195" t="s">
        <v>228</v>
      </c>
      <c r="M174" s="129" t="e">
        <f>TREF_COMMLE("Acquisition Fees",$G$64,iQuote_Version)/J26</f>
        <v>#REF!</v>
      </c>
      <c r="AR174" s="112">
        <f t="shared" si="11"/>
        <v>159</v>
      </c>
      <c r="AS174" s="149"/>
      <c r="AT174" s="149"/>
      <c r="AU174" s="149"/>
      <c r="AV174" s="149"/>
      <c r="AW174" s="149"/>
      <c r="AX174" s="113" t="str">
        <f>'Data Sample'!G170</f>
        <v>P02A91</v>
      </c>
      <c r="AY174" s="113" t="str">
        <f>'Data Sample'!G1179</f>
        <v>V0985003632231</v>
      </c>
      <c r="AZ174" s="113" t="str">
        <f>'Data Sample'!G675</f>
        <v>AU0029-81-360</v>
      </c>
      <c r="BA174" s="118"/>
      <c r="BC174" s="119" t="str">
        <f t="shared" si="12"/>
        <v>P02A91 (159)</v>
      </c>
      <c r="BD174" s="119" t="str">
        <f t="shared" si="13"/>
        <v>V0985003632231 (159)</v>
      </c>
      <c r="BE174" s="119" t="str">
        <f t="shared" si="14"/>
        <v>AU0029-81-360 (159)</v>
      </c>
    </row>
    <row r="175" spans="3:57">
      <c r="C175" s="195" t="s">
        <v>229</v>
      </c>
      <c r="D175" s="226" t="e">
        <f>1.01^D174*G31*D173</f>
        <v>#REF!</v>
      </c>
      <c r="E175" s="50"/>
      <c r="F175" s="195" t="s">
        <v>80</v>
      </c>
      <c r="G175" s="227" t="e">
        <f>EXP(J170+M170^2/2)*NORMSDIST((-LN(J46)+J170+M170^2)/M170)/(1-G174)-J46</f>
        <v>#REF!</v>
      </c>
      <c r="H175" s="50"/>
      <c r="I175" s="195" t="s">
        <v>230</v>
      </c>
      <c r="J175" s="129" t="e">
        <f>IF(M45="Motor Comp",G152*G147,0)</f>
        <v>#REF!</v>
      </c>
      <c r="K175" s="148"/>
      <c r="L175" s="195" t="s">
        <v>231</v>
      </c>
      <c r="M175" s="129" t="e">
        <f>TREF_COMMLE("Acquisition Fees",$G$64,iQuote_Version)/$J$26</f>
        <v>#REF!</v>
      </c>
      <c r="AR175" s="112">
        <f t="shared" si="11"/>
        <v>160</v>
      </c>
      <c r="AS175" s="149"/>
      <c r="AT175" s="149"/>
      <c r="AU175" s="149"/>
      <c r="AV175" s="149"/>
      <c r="AW175" s="149"/>
      <c r="AX175" s="113" t="str">
        <f>'Data Sample'!G171</f>
        <v>P02A747</v>
      </c>
      <c r="AY175" s="113" t="str">
        <f>'Data Sample'!G1180</f>
        <v>V0534773764626</v>
      </c>
      <c r="AZ175" s="113" t="str">
        <f>'Data Sample'!G676</f>
        <v>AU0041-70-376</v>
      </c>
      <c r="BA175" s="118"/>
      <c r="BC175" s="119" t="str">
        <f t="shared" si="12"/>
        <v>P02A747 (160)</v>
      </c>
      <c r="BD175" s="119" t="str">
        <f t="shared" si="13"/>
        <v>V0534773764626 (160)</v>
      </c>
      <c r="BE175" s="119" t="str">
        <f t="shared" si="14"/>
        <v>AU0041-70-376 (160)</v>
      </c>
    </row>
    <row r="176" spans="3:57">
      <c r="C176" s="195" t="s">
        <v>232</v>
      </c>
      <c r="D176" s="228" t="e">
        <f>MAX(0,TVEHICLELARGE($G$45,"WS",iQuote_Version) -J46)</f>
        <v>#REF!</v>
      </c>
      <c r="E176" s="50"/>
      <c r="F176" s="195" t="s">
        <v>233</v>
      </c>
      <c r="G176" s="212" t="e">
        <f>G175*G173</f>
        <v>#REF!</v>
      </c>
      <c r="H176" s="50"/>
      <c r="I176" s="195" t="s">
        <v>234</v>
      </c>
      <c r="J176" s="129" t="e">
        <f>IF(M45="Motor Comp",D175*D176,0)</f>
        <v>#REF!</v>
      </c>
      <c r="K176" s="148"/>
      <c r="L176" s="195" t="s">
        <v>235</v>
      </c>
      <c r="M176" s="127" t="e">
        <f>TREF_COMMLE("Commission",$G$64,iQuote_Version)/$J$26</f>
        <v>#REF!</v>
      </c>
      <c r="AR176" s="112">
        <f t="shared" si="11"/>
        <v>161</v>
      </c>
      <c r="AS176" s="149"/>
      <c r="AT176" s="149"/>
      <c r="AU176" s="149"/>
      <c r="AV176" s="149"/>
      <c r="AW176" s="149"/>
      <c r="AX176" s="113" t="str">
        <f>'Data Sample'!G172</f>
        <v>P02A735</v>
      </c>
      <c r="AY176" s="113" t="str">
        <f>'Data Sample'!G1181</f>
        <v>V0474947092316</v>
      </c>
      <c r="AZ176" s="113" t="str">
        <f>'Data Sample'!G677</f>
        <v>AU0084-86-593</v>
      </c>
      <c r="BA176" s="118"/>
      <c r="BC176" s="119" t="str">
        <f t="shared" si="12"/>
        <v>P02A735 (161)</v>
      </c>
      <c r="BD176" s="119" t="str">
        <f t="shared" si="13"/>
        <v>V0474947092316 (161)</v>
      </c>
      <c r="BE176" s="119" t="str">
        <f t="shared" si="14"/>
        <v>AU0084-86-593 (161)</v>
      </c>
    </row>
    <row r="177" spans="3:57">
      <c r="C177" s="229" t="s">
        <v>152</v>
      </c>
      <c r="D177" s="127" t="e">
        <f>G92</f>
        <v>#REF!</v>
      </c>
      <c r="E177" s="50"/>
      <c r="F177" s="49"/>
      <c r="G177" s="52"/>
      <c r="H177" s="50"/>
      <c r="I177" s="195" t="s">
        <v>236</v>
      </c>
      <c r="J177" s="129" t="e">
        <f>G176</f>
        <v>#REF!</v>
      </c>
      <c r="K177" s="148"/>
      <c r="L177" s="195" t="s">
        <v>237</v>
      </c>
      <c r="M177" s="129" t="e">
        <f>TREF_COMMLE("Acquisition Cost",$G$64,iQuote_Version)/$J$26</f>
        <v>#REF!</v>
      </c>
      <c r="AR177" s="112">
        <f t="shared" si="11"/>
        <v>162</v>
      </c>
      <c r="AS177" s="149"/>
      <c r="AT177" s="149"/>
      <c r="AU177" s="149"/>
      <c r="AV177" s="149"/>
      <c r="AW177" s="149"/>
      <c r="AX177" s="113" t="str">
        <f>'Data Sample'!G173</f>
        <v>P02A129</v>
      </c>
      <c r="AY177" s="113" t="str">
        <f>'Data Sample'!G1182</f>
        <v>V0448762387587</v>
      </c>
      <c r="AZ177" s="113" t="str">
        <f>'Data Sample'!G678</f>
        <v>AU0059-48-633</v>
      </c>
      <c r="BA177" s="118"/>
      <c r="BC177" s="119" t="str">
        <f t="shared" si="12"/>
        <v>P02A129 (162)</v>
      </c>
      <c r="BD177" s="119" t="str">
        <f t="shared" si="13"/>
        <v>V0448762387587 (162)</v>
      </c>
      <c r="BE177" s="119" t="str">
        <f t="shared" si="14"/>
        <v>AU0059-48-633 (162)</v>
      </c>
    </row>
    <row r="178" spans="3:57">
      <c r="C178" s="55"/>
      <c r="D178" s="58"/>
      <c r="E178" s="56"/>
      <c r="F178" s="55"/>
      <c r="G178" s="58"/>
      <c r="H178" s="56"/>
      <c r="I178" s="230" t="s">
        <v>238</v>
      </c>
      <c r="J178" s="231" t="e">
        <f>IF(OR(M45="Motor Comp",M45="3&amp;F&amp;T"),G156,0)</f>
        <v>#REF!</v>
      </c>
      <c r="K178" s="213"/>
      <c r="L178" s="55"/>
      <c r="M178" s="182"/>
      <c r="AR178" s="112">
        <f t="shared" si="11"/>
        <v>163</v>
      </c>
      <c r="AS178" s="149"/>
      <c r="AT178" s="149"/>
      <c r="AU178" s="149"/>
      <c r="AV178" s="149"/>
      <c r="AW178" s="149"/>
      <c r="AX178" s="113" t="str">
        <f>'Data Sample'!G174</f>
        <v>P02A585</v>
      </c>
      <c r="AY178" s="113" t="str">
        <f>'Data Sample'!G1183</f>
        <v>V0624403841763</v>
      </c>
      <c r="AZ178" s="113" t="str">
        <f>'Data Sample'!G679</f>
        <v>AU0043-34-003</v>
      </c>
      <c r="BA178" s="118"/>
      <c r="BC178" s="119" t="str">
        <f t="shared" si="12"/>
        <v>P02A585 (163)</v>
      </c>
      <c r="BD178" s="119" t="str">
        <f t="shared" si="13"/>
        <v>V0624403841763 (163)</v>
      </c>
      <c r="BE178" s="119" t="str">
        <f t="shared" si="14"/>
        <v>AU0043-34-003 (163)</v>
      </c>
    </row>
    <row r="179" spans="3:57">
      <c r="AR179" s="112">
        <f t="shared" si="11"/>
        <v>164</v>
      </c>
      <c r="AS179" s="149"/>
      <c r="AT179" s="149"/>
      <c r="AU179" s="149"/>
      <c r="AV179" s="149"/>
      <c r="AW179" s="149"/>
      <c r="AX179" s="113" t="str">
        <f>'Data Sample'!G175</f>
        <v>P02A775</v>
      </c>
      <c r="AY179" s="113" t="str">
        <f>'Data Sample'!G1184</f>
        <v>V0914528735049</v>
      </c>
      <c r="AZ179" s="113" t="str">
        <f>'Data Sample'!G680</f>
        <v>AU0079-33-650</v>
      </c>
      <c r="BA179" s="118"/>
      <c r="BC179" s="119" t="str">
        <f t="shared" si="12"/>
        <v>P02A775 (164)</v>
      </c>
      <c r="BD179" s="119" t="str">
        <f t="shared" si="13"/>
        <v>V0914528735049 (164)</v>
      </c>
      <c r="BE179" s="119" t="str">
        <f t="shared" si="14"/>
        <v>AU0079-33-650 (164)</v>
      </c>
    </row>
    <row r="180" spans="3:57">
      <c r="C180" s="232" t="s">
        <v>239</v>
      </c>
      <c r="D180" s="233" t="e">
        <f>TSPLITLE($D$46,"Split_Acc_Min")</f>
        <v>#REF!</v>
      </c>
      <c r="E180" s="46"/>
      <c r="F180" s="232" t="s">
        <v>240</v>
      </c>
      <c r="G180" s="234" t="e">
        <f>MIN(1,MAX(H180,D181))</f>
        <v>#REF!</v>
      </c>
      <c r="H180" s="235" t="e">
        <f>TSPLITLE($D$46,"Split_Acc")</f>
        <v>#REF!</v>
      </c>
      <c r="I180" s="232" t="s">
        <v>241</v>
      </c>
      <c r="J180" s="236" t="e">
        <f t="shared" ref="J180:J185" si="15">J173*G180</f>
        <v>#REF!</v>
      </c>
      <c r="K180" s="224"/>
      <c r="L180" s="45" t="s">
        <v>242</v>
      </c>
      <c r="M180" s="237" t="e">
        <f>J173-J180</f>
        <v>#REF!</v>
      </c>
      <c r="AR180" s="112">
        <f t="shared" si="11"/>
        <v>165</v>
      </c>
      <c r="AS180" s="149"/>
      <c r="AT180" s="149"/>
      <c r="AU180" s="149"/>
      <c r="AV180" s="149"/>
      <c r="AW180" s="149"/>
      <c r="AX180" s="113" t="str">
        <f>'Data Sample'!G176</f>
        <v>P02A605</v>
      </c>
      <c r="AY180" s="113" t="str">
        <f>'Data Sample'!G1185</f>
        <v>V0441998668289</v>
      </c>
      <c r="AZ180" s="113" t="str">
        <f>'Data Sample'!G681</f>
        <v>AU0080-33-158</v>
      </c>
      <c r="BA180" s="118"/>
      <c r="BC180" s="119" t="str">
        <f t="shared" si="12"/>
        <v>P02A605 (165)</v>
      </c>
      <c r="BD180" s="119" t="str">
        <f t="shared" si="13"/>
        <v>V0441998668289 (165)</v>
      </c>
      <c r="BE180" s="119" t="str">
        <f t="shared" si="14"/>
        <v>AU0080-33-158 (165)</v>
      </c>
    </row>
    <row r="181" spans="3:57">
      <c r="C181" s="195" t="s">
        <v>243</v>
      </c>
      <c r="D181" s="238" t="e">
        <f>(D180*M173-SUM(J181,J182,J183,J184,J185,J186))/J173</f>
        <v>#REF!</v>
      </c>
      <c r="E181" s="50"/>
      <c r="F181" s="195" t="s">
        <v>244</v>
      </c>
      <c r="G181" s="207" t="e">
        <f>TSPLITLE($D$46,"Split_Hail")</f>
        <v>#REF!</v>
      </c>
      <c r="H181" s="148"/>
      <c r="I181" s="195" t="s">
        <v>245</v>
      </c>
      <c r="J181" s="239" t="e">
        <f t="shared" si="15"/>
        <v>#REF!</v>
      </c>
      <c r="K181" s="148"/>
      <c r="L181" s="49" t="s">
        <v>246</v>
      </c>
      <c r="M181" s="240" t="e">
        <f>J174-J181</f>
        <v>#REF!</v>
      </c>
      <c r="AR181" s="112">
        <f t="shared" si="11"/>
        <v>166</v>
      </c>
      <c r="AS181" s="149"/>
      <c r="AT181" s="149"/>
      <c r="AU181" s="149"/>
      <c r="AV181" s="149"/>
      <c r="AW181" s="149"/>
      <c r="AX181" s="113" t="str">
        <f>'Data Sample'!G177</f>
        <v>P02A703</v>
      </c>
      <c r="AY181" s="113" t="str">
        <f>'Data Sample'!G1186</f>
        <v>V0553277064550</v>
      </c>
      <c r="AZ181" s="113" t="str">
        <f>'Data Sample'!G682</f>
        <v>AU0030-72-496</v>
      </c>
      <c r="BA181" s="118"/>
      <c r="BC181" s="119" t="str">
        <f t="shared" si="12"/>
        <v>P02A703 (166)</v>
      </c>
      <c r="BD181" s="119" t="str">
        <f t="shared" si="13"/>
        <v>V0553277064550 (166)</v>
      </c>
      <c r="BE181" s="119" t="str">
        <f t="shared" si="14"/>
        <v>AU0030-72-496 (166)</v>
      </c>
    </row>
    <row r="182" spans="3:57">
      <c r="C182" s="49"/>
      <c r="D182" s="196"/>
      <c r="E182" s="50"/>
      <c r="F182" s="195" t="s">
        <v>247</v>
      </c>
      <c r="G182" s="207" t="e">
        <f>TSPLITLE($D$46,"Split_Hail")</f>
        <v>#REF!</v>
      </c>
      <c r="H182" s="148"/>
      <c r="I182" s="195" t="s">
        <v>248</v>
      </c>
      <c r="J182" s="239" t="e">
        <f t="shared" si="15"/>
        <v>#REF!</v>
      </c>
      <c r="K182" s="148"/>
      <c r="L182" s="49" t="s">
        <v>249</v>
      </c>
      <c r="M182" s="240" t="e">
        <f>J175-J182</f>
        <v>#REF!</v>
      </c>
      <c r="AR182" s="112">
        <f t="shared" si="11"/>
        <v>167</v>
      </c>
      <c r="AS182" s="149"/>
      <c r="AT182" s="149"/>
      <c r="AU182" s="149"/>
      <c r="AV182" s="149"/>
      <c r="AW182" s="149"/>
      <c r="AX182" s="113" t="str">
        <f>'Data Sample'!G178</f>
        <v>P02A574</v>
      </c>
      <c r="AY182" s="113" t="str">
        <f>'Data Sample'!G1187</f>
        <v>V0155364957698</v>
      </c>
      <c r="AZ182" s="113" t="str">
        <f>'Data Sample'!G683</f>
        <v>AU0026-50-768</v>
      </c>
      <c r="BA182" s="118"/>
      <c r="BC182" s="119" t="str">
        <f t="shared" si="12"/>
        <v>P02A574 (167)</v>
      </c>
      <c r="BD182" s="119" t="str">
        <f t="shared" si="13"/>
        <v>V0155364957698 (167)</v>
      </c>
      <c r="BE182" s="119" t="str">
        <f t="shared" si="14"/>
        <v>AU0026-50-768 (167)</v>
      </c>
    </row>
    <row r="183" spans="3:57">
      <c r="C183" s="49"/>
      <c r="D183" s="196"/>
      <c r="E183" s="50"/>
      <c r="F183" s="195" t="s">
        <v>250</v>
      </c>
      <c r="G183" s="207" t="e">
        <f>TSPLITLE($D$46,"Split_WS")</f>
        <v>#REF!</v>
      </c>
      <c r="H183" s="148"/>
      <c r="I183" s="195" t="s">
        <v>251</v>
      </c>
      <c r="J183" s="239" t="e">
        <f t="shared" si="15"/>
        <v>#REF!</v>
      </c>
      <c r="K183" s="148"/>
      <c r="L183" s="49" t="s">
        <v>252</v>
      </c>
      <c r="M183" s="240" t="e">
        <f>J176-J183</f>
        <v>#REF!</v>
      </c>
      <c r="AR183" s="112">
        <f t="shared" si="11"/>
        <v>168</v>
      </c>
      <c r="AS183" s="149"/>
      <c r="AT183" s="149"/>
      <c r="AU183" s="149"/>
      <c r="AV183" s="149"/>
      <c r="AW183" s="149"/>
      <c r="AX183" s="113" t="str">
        <f>'Data Sample'!G179</f>
        <v>P02A549</v>
      </c>
      <c r="AY183" s="113" t="str">
        <f>'Data Sample'!G1188</f>
        <v>V0030467992368</v>
      </c>
      <c r="AZ183" s="113" t="str">
        <f>'Data Sample'!G684</f>
        <v>AU0054-74-838</v>
      </c>
      <c r="BA183" s="118"/>
      <c r="BC183" s="119" t="str">
        <f t="shared" si="12"/>
        <v>P02A549 (168)</v>
      </c>
      <c r="BD183" s="119" t="str">
        <f t="shared" si="13"/>
        <v>V0030467992368 (168)</v>
      </c>
      <c r="BE183" s="119" t="str">
        <f t="shared" si="14"/>
        <v>AU0054-74-838 (168)</v>
      </c>
    </row>
    <row r="184" spans="3:57">
      <c r="C184" s="49"/>
      <c r="D184" s="196"/>
      <c r="E184" s="50"/>
      <c r="F184" s="195" t="s">
        <v>253</v>
      </c>
      <c r="G184" s="207" t="e">
        <f>TSPLITLE($D$46,"Split_3rd")</f>
        <v>#REF!</v>
      </c>
      <c r="H184" s="148"/>
      <c r="I184" s="195" t="s">
        <v>254</v>
      </c>
      <c r="J184" s="239" t="e">
        <f t="shared" si="15"/>
        <v>#REF!</v>
      </c>
      <c r="K184" s="148"/>
      <c r="L184" s="49" t="s">
        <v>255</v>
      </c>
      <c r="M184" s="240" t="e">
        <f>J177-J184</f>
        <v>#REF!</v>
      </c>
      <c r="AR184" s="112">
        <f t="shared" si="11"/>
        <v>169</v>
      </c>
      <c r="AS184" s="149"/>
      <c r="AT184" s="149"/>
      <c r="AU184" s="149"/>
      <c r="AV184" s="149"/>
      <c r="AW184" s="149"/>
      <c r="AX184" s="113" t="str">
        <f>'Data Sample'!G180</f>
        <v>P02A468</v>
      </c>
      <c r="AY184" s="113" t="str">
        <f>'Data Sample'!G1189</f>
        <v>V0942238404714</v>
      </c>
      <c r="AZ184" s="113" t="str">
        <f>'Data Sample'!G685</f>
        <v>AU0045-90-368</v>
      </c>
      <c r="BA184" s="118"/>
      <c r="BC184" s="119" t="str">
        <f t="shared" si="12"/>
        <v>P02A468 (169)</v>
      </c>
      <c r="BD184" s="119" t="str">
        <f t="shared" si="13"/>
        <v>V0942238404714 (169)</v>
      </c>
      <c r="BE184" s="119" t="str">
        <f t="shared" si="14"/>
        <v>AU0045-90-368 (169)</v>
      </c>
    </row>
    <row r="185" spans="3:57">
      <c r="C185" s="49"/>
      <c r="D185" s="196"/>
      <c r="E185" s="50"/>
      <c r="F185" s="195" t="s">
        <v>256</v>
      </c>
      <c r="G185" s="207" t="e">
        <f>TSPLITLE($D$46,"Split_Fire")</f>
        <v>#REF!</v>
      </c>
      <c r="H185" s="148"/>
      <c r="I185" s="195" t="s">
        <v>257</v>
      </c>
      <c r="J185" s="239" t="e">
        <f t="shared" si="15"/>
        <v>#REF!</v>
      </c>
      <c r="K185" s="148"/>
      <c r="L185" s="49"/>
      <c r="M185" s="774"/>
      <c r="AR185" s="112">
        <f t="shared" si="11"/>
        <v>170</v>
      </c>
      <c r="AS185" s="149"/>
      <c r="AT185" s="149"/>
      <c r="AU185" s="149"/>
      <c r="AV185" s="149"/>
      <c r="AW185" s="149"/>
      <c r="AX185" s="113" t="str">
        <f>'Data Sample'!G181</f>
        <v>P02A13</v>
      </c>
      <c r="AY185" s="113" t="str">
        <f>'Data Sample'!G1190</f>
        <v>V0186829400736</v>
      </c>
      <c r="AZ185" s="113" t="str">
        <f>'Data Sample'!G686</f>
        <v>AU0028-58-428</v>
      </c>
      <c r="BA185" s="118"/>
      <c r="BC185" s="119" t="str">
        <f t="shared" si="12"/>
        <v>P02A13 (170)</v>
      </c>
      <c r="BD185" s="119" t="str">
        <f t="shared" si="13"/>
        <v>V0186829400736 (170)</v>
      </c>
      <c r="BE185" s="119" t="str">
        <f t="shared" si="14"/>
        <v>AU0028-58-428 (170)</v>
      </c>
    </row>
    <row r="186" spans="3:57">
      <c r="C186" s="55"/>
      <c r="D186" s="241"/>
      <c r="E186" s="56"/>
      <c r="F186" s="230" t="s">
        <v>258</v>
      </c>
      <c r="G186" s="242" t="e">
        <f>TSPLITLE($D$46,"Split_Liab")</f>
        <v>#REF!</v>
      </c>
      <c r="H186" s="213"/>
      <c r="I186" s="230" t="s">
        <v>259</v>
      </c>
      <c r="J186" s="243" t="e">
        <f>J20*G186</f>
        <v>#REF!</v>
      </c>
      <c r="K186" s="213"/>
      <c r="L186" s="55"/>
      <c r="M186" s="182"/>
      <c r="AR186" s="112">
        <f t="shared" si="11"/>
        <v>171</v>
      </c>
      <c r="AS186" s="149"/>
      <c r="AT186" s="149"/>
      <c r="AU186" s="149"/>
      <c r="AV186" s="149"/>
      <c r="AW186" s="149"/>
      <c r="AX186" s="113" t="str">
        <f>'Data Sample'!G182</f>
        <v>P02A281</v>
      </c>
      <c r="AY186" s="113" t="str">
        <f>'Data Sample'!G1191</f>
        <v>V0048372758556</v>
      </c>
      <c r="AZ186" s="113" t="str">
        <f>'Data Sample'!G687</f>
        <v>AU0046-13-462</v>
      </c>
      <c r="BA186" s="118"/>
      <c r="BC186" s="119" t="str">
        <f t="shared" si="12"/>
        <v>P02A281 (171)</v>
      </c>
      <c r="BD186" s="119" t="str">
        <f t="shared" si="13"/>
        <v>V0048372758556 (171)</v>
      </c>
      <c r="BE186" s="119" t="str">
        <f t="shared" si="14"/>
        <v>AU0046-13-462 (171)</v>
      </c>
    </row>
    <row r="187" spans="3:57">
      <c r="G187" s="244"/>
      <c r="AR187" s="112">
        <f t="shared" si="11"/>
        <v>172</v>
      </c>
      <c r="AS187" s="149"/>
      <c r="AT187" s="149"/>
      <c r="AU187" s="149"/>
      <c r="AV187" s="149"/>
      <c r="AW187" s="149"/>
      <c r="AX187" s="113" t="str">
        <f>'Data Sample'!G183</f>
        <v>P02A900</v>
      </c>
      <c r="AY187" s="113" t="str">
        <f>'Data Sample'!G1192</f>
        <v>V0763986947206</v>
      </c>
      <c r="AZ187" s="113" t="str">
        <f>'Data Sample'!G688</f>
        <v>AU0046-98-914</v>
      </c>
      <c r="BA187" s="118"/>
      <c r="BC187" s="119" t="str">
        <f t="shared" si="12"/>
        <v>P02A900 (172)</v>
      </c>
      <c r="BD187" s="119" t="str">
        <f t="shared" si="13"/>
        <v>V0763986947206 (172)</v>
      </c>
      <c r="BE187" s="119" t="str">
        <f t="shared" si="14"/>
        <v>AU0046-98-914 (172)</v>
      </c>
    </row>
    <row r="188" spans="3:57">
      <c r="AR188" s="112">
        <f t="shared" si="11"/>
        <v>173</v>
      </c>
      <c r="AS188" s="149"/>
      <c r="AT188" s="149"/>
      <c r="AU188" s="149"/>
      <c r="AV188" s="149"/>
      <c r="AW188" s="149"/>
      <c r="AX188" s="113" t="str">
        <f>'Data Sample'!G184</f>
        <v>P02A892</v>
      </c>
      <c r="AY188" s="113" t="str">
        <f>'Data Sample'!G1193</f>
        <v>V0283498470388</v>
      </c>
      <c r="AZ188" s="113" t="str">
        <f>'Data Sample'!G689</f>
        <v>AU0053-49-624</v>
      </c>
      <c r="BA188" s="118"/>
      <c r="BC188" s="119" t="str">
        <f t="shared" si="12"/>
        <v>P02A892 (173)</v>
      </c>
      <c r="BD188" s="119" t="str">
        <f t="shared" si="13"/>
        <v>V0283498470388 (173)</v>
      </c>
      <c r="BE188" s="119" t="str">
        <f t="shared" si="14"/>
        <v>AU0053-49-624 (173)</v>
      </c>
    </row>
    <row r="189" spans="3:57">
      <c r="AR189" s="112">
        <f t="shared" si="11"/>
        <v>174</v>
      </c>
      <c r="AS189" s="149"/>
      <c r="AT189" s="149"/>
      <c r="AU189" s="149"/>
      <c r="AV189" s="149"/>
      <c r="AW189" s="149"/>
      <c r="AX189" s="113" t="str">
        <f>'Data Sample'!G185</f>
        <v>P02A739</v>
      </c>
      <c r="AY189" s="113" t="str">
        <f>'Data Sample'!G1194</f>
        <v>V0129076862413</v>
      </c>
      <c r="AZ189" s="113" t="str">
        <f>'Data Sample'!G690</f>
        <v>AU0035-31-598</v>
      </c>
      <c r="BA189" s="118"/>
      <c r="BC189" s="119" t="str">
        <f t="shared" si="12"/>
        <v>P02A739 (174)</v>
      </c>
      <c r="BD189" s="119" t="str">
        <f t="shared" si="13"/>
        <v>V0129076862413 (174)</v>
      </c>
      <c r="BE189" s="119" t="str">
        <f t="shared" si="14"/>
        <v>AU0035-31-598 (174)</v>
      </c>
    </row>
    <row r="190" spans="3:57">
      <c r="AR190" s="112">
        <f t="shared" si="11"/>
        <v>175</v>
      </c>
      <c r="AS190" s="149"/>
      <c r="AT190" s="149"/>
      <c r="AU190" s="149"/>
      <c r="AV190" s="149"/>
      <c r="AW190" s="149"/>
      <c r="AX190" s="113" t="str">
        <f>'Data Sample'!G186</f>
        <v>P02A994</v>
      </c>
      <c r="AY190" s="113" t="str">
        <f>'Data Sample'!G1195</f>
        <v>V0205289764945</v>
      </c>
      <c r="AZ190" s="113" t="str">
        <f>'Data Sample'!G691</f>
        <v>AU0006-69-169</v>
      </c>
      <c r="BA190" s="118"/>
      <c r="BC190" s="119" t="str">
        <f t="shared" si="12"/>
        <v>P02A994 (175)</v>
      </c>
      <c r="BD190" s="119" t="str">
        <f t="shared" si="13"/>
        <v>V0205289764945 (175)</v>
      </c>
      <c r="BE190" s="119" t="str">
        <f t="shared" si="14"/>
        <v>AU0006-69-169 (175)</v>
      </c>
    </row>
    <row r="191" spans="3:57" ht="18">
      <c r="C191" s="847" t="s">
        <v>260</v>
      </c>
      <c r="D191" s="848"/>
      <c r="E191" s="848"/>
      <c r="F191" s="848"/>
      <c r="G191" s="848"/>
      <c r="H191" s="848"/>
      <c r="I191" s="848"/>
      <c r="J191" s="848"/>
      <c r="K191" s="848"/>
      <c r="L191" s="848"/>
      <c r="M191" s="849"/>
      <c r="AR191" s="112">
        <f t="shared" si="11"/>
        <v>176</v>
      </c>
      <c r="AS191" s="149"/>
      <c r="AT191" s="149"/>
      <c r="AU191" s="149"/>
      <c r="AV191" s="149"/>
      <c r="AW191" s="149"/>
      <c r="AX191" s="113" t="str">
        <f>'Data Sample'!G187</f>
        <v>P02A441</v>
      </c>
      <c r="AY191" s="113" t="str">
        <f>'Data Sample'!G1196</f>
        <v>V0227432474730</v>
      </c>
      <c r="AZ191" s="113" t="str">
        <f>'Data Sample'!G692</f>
        <v>AU0053-67-561</v>
      </c>
      <c r="BA191" s="118"/>
      <c r="BC191" s="119" t="str">
        <f t="shared" si="12"/>
        <v>P02A441 (176)</v>
      </c>
      <c r="BD191" s="119" t="str">
        <f t="shared" si="13"/>
        <v>V0227432474730 (176)</v>
      </c>
      <c r="BE191" s="119" t="str">
        <f t="shared" si="14"/>
        <v>AU0053-67-561 (176)</v>
      </c>
    </row>
    <row r="192" spans="3:57">
      <c r="AR192" s="112">
        <f t="shared" si="11"/>
        <v>177</v>
      </c>
      <c r="AS192" s="149"/>
      <c r="AT192" s="149"/>
      <c r="AU192" s="149"/>
      <c r="AV192" s="149"/>
      <c r="AW192" s="149"/>
      <c r="AX192" s="113" t="str">
        <f>'Data Sample'!G188</f>
        <v>P02A709</v>
      </c>
      <c r="AY192" s="113" t="str">
        <f>'Data Sample'!G1197</f>
        <v>V0117533103989</v>
      </c>
      <c r="AZ192" s="113" t="str">
        <f>'Data Sample'!G693</f>
        <v>AU0045-25-606</v>
      </c>
      <c r="BA192" s="118"/>
      <c r="BC192" s="119" t="str">
        <f t="shared" si="12"/>
        <v>P02A709 (177)</v>
      </c>
      <c r="BD192" s="119" t="str">
        <f t="shared" si="13"/>
        <v>V0117533103989 (177)</v>
      </c>
      <c r="BE192" s="119" t="str">
        <f t="shared" si="14"/>
        <v>AU0045-25-606 (177)</v>
      </c>
    </row>
    <row r="193" spans="3:57" ht="18">
      <c r="F193" s="245" t="s">
        <v>26</v>
      </c>
      <c r="G193" s="246" t="e">
        <f ca="1">J200+J197+SUM(J203,J204,J205)</f>
        <v>#REF!</v>
      </c>
      <c r="AR193" s="112">
        <f t="shared" si="11"/>
        <v>178</v>
      </c>
      <c r="AS193" s="149"/>
      <c r="AT193" s="149"/>
      <c r="AU193" s="149"/>
      <c r="AV193" s="149"/>
      <c r="AW193" s="149"/>
      <c r="AX193" s="113" t="str">
        <f>'Data Sample'!G189</f>
        <v>P02A1</v>
      </c>
      <c r="AY193" s="113" t="str">
        <f>'Data Sample'!G1198</f>
        <v>V0776837040002</v>
      </c>
      <c r="AZ193" s="113" t="str">
        <f>'Data Sample'!G694</f>
        <v>AU0071-53-804</v>
      </c>
      <c r="BA193" s="118"/>
      <c r="BC193" s="119" t="str">
        <f t="shared" si="12"/>
        <v>P02A1 (178)</v>
      </c>
      <c r="BD193" s="119" t="str">
        <f t="shared" si="13"/>
        <v>V0776837040002 (178)</v>
      </c>
      <c r="BE193" s="119" t="str">
        <f t="shared" si="14"/>
        <v>AU0071-53-804 (178)</v>
      </c>
    </row>
    <row r="194" spans="3:57" ht="18">
      <c r="F194" s="218" t="s">
        <v>12</v>
      </c>
      <c r="G194" s="246" t="e">
        <f ca="1">M203+M200</f>
        <v>#REF!</v>
      </c>
      <c r="AR194" s="112">
        <f t="shared" si="11"/>
        <v>179</v>
      </c>
      <c r="AS194" s="149"/>
      <c r="AT194" s="149"/>
      <c r="AU194" s="149"/>
      <c r="AV194" s="149"/>
      <c r="AW194" s="149"/>
      <c r="AX194" s="113" t="str">
        <f>'Data Sample'!G190</f>
        <v>P02A868</v>
      </c>
      <c r="AY194" s="113" t="str">
        <f>'Data Sample'!G1199</f>
        <v>V0705087232954</v>
      </c>
      <c r="AZ194" s="113" t="str">
        <f>'Data Sample'!G695</f>
        <v>AU0056-41-981</v>
      </c>
      <c r="BA194" s="118"/>
      <c r="BC194" s="119" t="str">
        <f t="shared" si="12"/>
        <v>P02A868 (179)</v>
      </c>
      <c r="BD194" s="119" t="str">
        <f t="shared" si="13"/>
        <v>V0705087232954 (179)</v>
      </c>
      <c r="BE194" s="119" t="str">
        <f t="shared" si="14"/>
        <v>AU0056-41-981 (179)</v>
      </c>
    </row>
    <row r="195" spans="3:57">
      <c r="AR195" s="112">
        <f t="shared" si="11"/>
        <v>180</v>
      </c>
      <c r="AS195" s="149"/>
      <c r="AT195" s="149"/>
      <c r="AU195" s="149"/>
      <c r="AV195" s="149"/>
      <c r="AW195" s="149"/>
      <c r="AX195" s="113" t="str">
        <f>'Data Sample'!G191</f>
        <v>P02A330</v>
      </c>
      <c r="AY195" s="113" t="str">
        <f>'Data Sample'!G1200</f>
        <v>V0775330659845</v>
      </c>
      <c r="AZ195" s="113" t="str">
        <f>'Data Sample'!G696</f>
        <v>AU0042-01-500</v>
      </c>
      <c r="BA195" s="118"/>
      <c r="BC195" s="119" t="str">
        <f t="shared" si="12"/>
        <v>P02A330 (180)</v>
      </c>
      <c r="BD195" s="119" t="str">
        <f t="shared" si="13"/>
        <v>V0775330659845 (180)</v>
      </c>
      <c r="BE195" s="119" t="str">
        <f t="shared" si="14"/>
        <v>AU0042-01-500 (180)</v>
      </c>
    </row>
    <row r="196" spans="3:57">
      <c r="D196" s="247" t="e">
        <f>EXPECTEDMILEAGE(INT(YEAR($J$1))-$G$65,"Ratio")</f>
        <v>#REF!</v>
      </c>
      <c r="AR196" s="112">
        <f t="shared" si="11"/>
        <v>181</v>
      </c>
      <c r="AS196" s="149"/>
      <c r="AT196" s="149"/>
      <c r="AU196" s="149"/>
      <c r="AV196" s="149"/>
      <c r="AW196" s="149"/>
      <c r="AX196" s="113" t="str">
        <f>'Data Sample'!G192</f>
        <v>P02A409</v>
      </c>
      <c r="AY196" s="113" t="str">
        <f>'Data Sample'!G1201</f>
        <v>V0374387010196</v>
      </c>
      <c r="AZ196" s="113" t="str">
        <f>'Data Sample'!G697</f>
        <v>AU0056-63-416</v>
      </c>
      <c r="BA196" s="118"/>
      <c r="BC196" s="119" t="str">
        <f t="shared" si="12"/>
        <v>P02A409 (181)</v>
      </c>
      <c r="BD196" s="119" t="str">
        <f t="shared" si="13"/>
        <v>V0374387010196 (181)</v>
      </c>
      <c r="BE196" s="119" t="str">
        <f t="shared" si="14"/>
        <v>AU0056-63-416 (181)</v>
      </c>
    </row>
    <row r="197" spans="3:57">
      <c r="C197" s="247" t="s">
        <v>261</v>
      </c>
      <c r="D197" s="248" t="e">
        <f>D198</f>
        <v>#REF!</v>
      </c>
      <c r="F197" t="s">
        <v>262</v>
      </c>
      <c r="G197" s="249" t="e">
        <f>J168/D197*D205</f>
        <v>#REF!</v>
      </c>
      <c r="I197" s="250" t="s">
        <v>263</v>
      </c>
      <c r="J197" s="251" t="e">
        <f ca="1">MAX(((J165/(1-J23-J25-J28))+J24+M175+D211+J29*G207+M177*G207)/(1-J22-M176),TBASELE(I30,iQuote_Version))</f>
        <v>#REF!</v>
      </c>
      <c r="L197" t="s">
        <v>264</v>
      </c>
      <c r="M197" s="252" t="e">
        <f ca="1">TAXESLE($G$69,"GST")</f>
        <v>#NAME?</v>
      </c>
      <c r="AR197" s="112">
        <f t="shared" si="11"/>
        <v>182</v>
      </c>
      <c r="AS197" s="149"/>
      <c r="AT197" s="149"/>
      <c r="AU197" s="149"/>
      <c r="AV197" s="149"/>
      <c r="AW197" s="149"/>
      <c r="AX197" s="113" t="str">
        <f>'Data Sample'!G193</f>
        <v>P02A410</v>
      </c>
      <c r="AY197" s="113" t="str">
        <f>'Data Sample'!G1202</f>
        <v>V0890625403802</v>
      </c>
      <c r="AZ197" s="113" t="str">
        <f>'Data Sample'!G698</f>
        <v>AU0063-82-989</v>
      </c>
      <c r="BA197" s="118"/>
      <c r="BC197" s="119" t="str">
        <f t="shared" si="12"/>
        <v>P02A410 (182)</v>
      </c>
      <c r="BD197" s="119" t="str">
        <f t="shared" si="13"/>
        <v>V0890625403802 (182)</v>
      </c>
      <c r="BE197" s="119" t="str">
        <f t="shared" si="14"/>
        <v>AU0063-82-989 (182)</v>
      </c>
    </row>
    <row r="198" spans="3:57">
      <c r="C198" s="253" t="s">
        <v>265</v>
      </c>
      <c r="D198" s="248" t="e">
        <f>EXPECTEDMILEAGE($D$46,$D$45)*EXPECTEDMILEAGE($G$68,"KM")*EXPECTEDMILEAGE(INT(YEAR($J$1))-$G$65,"Ratio")</f>
        <v>#REF!</v>
      </c>
      <c r="F198" t="s">
        <v>266</v>
      </c>
      <c r="G198" s="251" t="e">
        <f>G197*J48</f>
        <v>#REF!</v>
      </c>
      <c r="I198" s="250" t="s">
        <v>267</v>
      </c>
      <c r="J198" s="251" t="e">
        <f>((J168/(1-J23-J25-J28))+M175+D211+J29*(1-G207)+M177*(1-G207))/(1-J22-M176)</f>
        <v>#REF!</v>
      </c>
      <c r="L198" t="s">
        <v>268</v>
      </c>
      <c r="M198" s="252" t="e">
        <f>TAXESLE($G$69,"Stamp Duty")</f>
        <v>#REF!</v>
      </c>
      <c r="AR198" s="112">
        <f t="shared" si="11"/>
        <v>183</v>
      </c>
      <c r="AS198" s="149"/>
      <c r="AT198" s="149"/>
      <c r="AU198" s="149"/>
      <c r="AV198" s="149"/>
      <c r="AW198" s="149"/>
      <c r="AX198" s="113" t="str">
        <f>'Data Sample'!G194</f>
        <v>P02A866</v>
      </c>
      <c r="AY198" s="113" t="str">
        <f>'Data Sample'!G1203</f>
        <v>V0756255181164</v>
      </c>
      <c r="AZ198" s="113" t="str">
        <f>'Data Sample'!G699</f>
        <v>AU0072-41-330</v>
      </c>
      <c r="BA198" s="118"/>
      <c r="BC198" s="119" t="str">
        <f t="shared" si="12"/>
        <v>P02A866 (183)</v>
      </c>
      <c r="BD198" s="119" t="str">
        <f t="shared" si="13"/>
        <v>V0756255181164 (183)</v>
      </c>
      <c r="BE198" s="119" t="str">
        <f t="shared" si="14"/>
        <v>AU0072-41-330 (183)</v>
      </c>
    </row>
    <row r="199" spans="3:57">
      <c r="C199" t="s">
        <v>269</v>
      </c>
      <c r="D199" s="254">
        <f>TMILE_HIGHLOW(C199,iQuote_Version)</f>
        <v>1</v>
      </c>
      <c r="F199" t="s">
        <v>270</v>
      </c>
      <c r="G199" s="251" t="e">
        <f>G198+J165</f>
        <v>#REF!</v>
      </c>
      <c r="I199" s="250" t="s">
        <v>271</v>
      </c>
      <c r="J199" s="251" t="e">
        <f>J198/D197*D205</f>
        <v>#REF!</v>
      </c>
      <c r="L199" t="s">
        <v>272</v>
      </c>
      <c r="M199" s="252" t="e">
        <f>TAXESLE($G$69,"FSL")</f>
        <v>#REF!</v>
      </c>
      <c r="AR199" s="112">
        <f t="shared" si="11"/>
        <v>184</v>
      </c>
      <c r="AS199" s="149"/>
      <c r="AT199" s="149"/>
      <c r="AU199" s="149"/>
      <c r="AV199" s="149"/>
      <c r="AW199" s="149"/>
      <c r="AX199" s="113" t="str">
        <f>'Data Sample'!G195</f>
        <v>P02A957</v>
      </c>
      <c r="AY199" s="113" t="str">
        <f>'Data Sample'!G1204</f>
        <v>V0976448798705</v>
      </c>
      <c r="AZ199" s="113" t="str">
        <f>'Data Sample'!G700</f>
        <v>AU0085-90-901</v>
      </c>
      <c r="BA199" s="118"/>
      <c r="BC199" s="119" t="str">
        <f t="shared" si="12"/>
        <v>P02A957 (184)</v>
      </c>
      <c r="BD199" s="119" t="str">
        <f t="shared" si="13"/>
        <v>V0976448798705 (184)</v>
      </c>
      <c r="BE199" s="119" t="str">
        <f t="shared" si="14"/>
        <v>AU0085-90-901 (184)</v>
      </c>
    </row>
    <row r="200" spans="3:57">
      <c r="C200" t="s">
        <v>273</v>
      </c>
      <c r="D200" s="254">
        <f>TMILE_HIGHLOW(C200,iQuote_Version)</f>
        <v>2</v>
      </c>
      <c r="G200" s="244"/>
      <c r="I200" s="250" t="s">
        <v>274</v>
      </c>
      <c r="J200" s="251" t="e">
        <f>J199*J48</f>
        <v>#REF!</v>
      </c>
      <c r="L200" t="s">
        <v>275</v>
      </c>
      <c r="M200" s="251" t="e">
        <f ca="1">J197*(1+M197)*(1+M198)*(1+M199)</f>
        <v>#REF!</v>
      </c>
      <c r="AR200" s="112">
        <f t="shared" si="11"/>
        <v>185</v>
      </c>
      <c r="AS200" s="149"/>
      <c r="AT200" s="149"/>
      <c r="AU200" s="149"/>
      <c r="AV200" s="149"/>
      <c r="AW200" s="149"/>
      <c r="AX200" s="113" t="str">
        <f>'Data Sample'!G196</f>
        <v>P02A740</v>
      </c>
      <c r="AY200" s="113" t="str">
        <f>'Data Sample'!G1205</f>
        <v>V0262580693983</v>
      </c>
      <c r="AZ200" s="113" t="str">
        <f>'Data Sample'!G701</f>
        <v>AU0013-62-494</v>
      </c>
      <c r="BA200" s="118"/>
      <c r="BC200" s="119" t="str">
        <f t="shared" si="12"/>
        <v>P02A740 (185)</v>
      </c>
      <c r="BD200" s="119" t="str">
        <f t="shared" si="13"/>
        <v>V0262580693983 (185)</v>
      </c>
      <c r="BE200" s="119" t="str">
        <f t="shared" si="14"/>
        <v>AU0013-62-494 (185)</v>
      </c>
    </row>
    <row r="201" spans="3:57">
      <c r="C201" t="s">
        <v>276</v>
      </c>
      <c r="D201" s="254">
        <f>TMILE_HIGHLOW(C201,iQuote_Version)</f>
        <v>2.3371624757437806</v>
      </c>
      <c r="F201" t="s">
        <v>277</v>
      </c>
      <c r="G201" s="251" t="e">
        <f>((J165/(1-J23-J25))+J24+M175)/(1-J22-M176)+D211</f>
        <v>#REF!</v>
      </c>
      <c r="I201" s="250"/>
      <c r="J201" s="244"/>
      <c r="L201" t="s">
        <v>278</v>
      </c>
      <c r="M201" s="251" t="e">
        <f ca="1">J198*(1+M197)*(1+M198)*(1+M199)</f>
        <v>#REF!</v>
      </c>
      <c r="AR201" s="112">
        <f t="shared" si="11"/>
        <v>186</v>
      </c>
      <c r="AS201" s="149"/>
      <c r="AT201" s="149"/>
      <c r="AU201" s="149"/>
      <c r="AV201" s="149"/>
      <c r="AW201" s="149"/>
      <c r="AX201" s="113" t="str">
        <f>'Data Sample'!G197</f>
        <v>P02A343</v>
      </c>
      <c r="AY201" s="113" t="str">
        <f>'Data Sample'!G1206</f>
        <v>V0713631599333</v>
      </c>
      <c r="AZ201" s="113" t="str">
        <f>'Data Sample'!G702</f>
        <v>AU0061-03-113</v>
      </c>
      <c r="BA201" s="118"/>
      <c r="BC201" s="119" t="str">
        <f t="shared" si="12"/>
        <v>P02A343 (186)</v>
      </c>
      <c r="BD201" s="119" t="str">
        <f t="shared" si="13"/>
        <v>V0713631599333 (186)</v>
      </c>
      <c r="BE201" s="119" t="str">
        <f t="shared" si="14"/>
        <v>AU0061-03-113 (186)</v>
      </c>
    </row>
    <row r="202" spans="3:57">
      <c r="C202" t="s">
        <v>279</v>
      </c>
      <c r="D202" s="254">
        <f>TMILE_HIGHLOW(C202,iQuote_Version)</f>
        <v>4.2772560953038186</v>
      </c>
      <c r="F202" t="s">
        <v>280</v>
      </c>
      <c r="G202" s="251" t="e">
        <f>((J168/(1-J23-J25))+M175)/(1-J22-M176)</f>
        <v>#REF!</v>
      </c>
      <c r="I202" s="250" t="s">
        <v>281</v>
      </c>
      <c r="J202" s="255"/>
      <c r="L202" t="s">
        <v>282</v>
      </c>
      <c r="M202" s="251" t="e">
        <f ca="1">M201/D197*D205</f>
        <v>#REF!</v>
      </c>
      <c r="AR202" s="112">
        <f t="shared" si="11"/>
        <v>187</v>
      </c>
      <c r="AS202" s="149"/>
      <c r="AT202" s="149"/>
      <c r="AU202" s="149"/>
      <c r="AV202" s="149"/>
      <c r="AW202" s="149"/>
      <c r="AX202" s="113" t="str">
        <f>'Data Sample'!G198</f>
        <v>P02A690</v>
      </c>
      <c r="AY202" s="113" t="str">
        <f>'Data Sample'!G1207</f>
        <v>V0911125170957</v>
      </c>
      <c r="AZ202" s="113" t="str">
        <f>'Data Sample'!G703</f>
        <v>AU0042-40-086</v>
      </c>
      <c r="BA202" s="118"/>
      <c r="BC202" s="119" t="str">
        <f t="shared" si="12"/>
        <v>P02A690 (187)</v>
      </c>
      <c r="BD202" s="119" t="str">
        <f t="shared" si="13"/>
        <v>V0911125170957 (187)</v>
      </c>
      <c r="BE202" s="119" t="str">
        <f t="shared" si="14"/>
        <v>AU0042-40-086 (187)</v>
      </c>
    </row>
    <row r="203" spans="3:57">
      <c r="C203" t="s">
        <v>283</v>
      </c>
      <c r="D203" s="254">
        <f>TMILE_HIGHLOW(C203,iQuote_Version)</f>
        <v>1.3920271109678881</v>
      </c>
      <c r="F203" t="s">
        <v>284</v>
      </c>
      <c r="G203" s="251" t="e">
        <f>G202/D197*D205</f>
        <v>#REF!</v>
      </c>
      <c r="I203" s="250" t="s">
        <v>285</v>
      </c>
      <c r="J203" s="110" t="e">
        <f>IF(G66="Yes",TBASELE(I203,iQuote_Version+1),0)</f>
        <v>#REF!</v>
      </c>
      <c r="L203" t="s">
        <v>286</v>
      </c>
      <c r="M203" s="251" t="e">
        <f ca="1">M202*J48</f>
        <v>#REF!</v>
      </c>
      <c r="AR203" s="112">
        <f t="shared" si="11"/>
        <v>188</v>
      </c>
      <c r="AS203" s="149"/>
      <c r="AT203" s="149"/>
      <c r="AU203" s="149"/>
      <c r="AV203" s="149"/>
      <c r="AW203" s="149"/>
      <c r="AX203" s="113" t="str">
        <f>'Data Sample'!G199</f>
        <v>P02A758</v>
      </c>
      <c r="AY203" s="113" t="str">
        <f>'Data Sample'!G1208</f>
        <v>V0928250545042</v>
      </c>
      <c r="AZ203" s="113" t="str">
        <f>'Data Sample'!G704</f>
        <v>AU0073-04-310</v>
      </c>
      <c r="BA203" s="118"/>
      <c r="BC203" s="119" t="str">
        <f t="shared" si="12"/>
        <v>P02A758 (188)</v>
      </c>
      <c r="BD203" s="119" t="str">
        <f t="shared" si="13"/>
        <v>V0928250545042 (188)</v>
      </c>
      <c r="BE203" s="119" t="str">
        <f t="shared" si="14"/>
        <v>AU0073-04-310 (188)</v>
      </c>
    </row>
    <row r="204" spans="3:57">
      <c r="C204" t="s">
        <v>287</v>
      </c>
      <c r="D204" s="256" t="e">
        <f>J48/D197</f>
        <v>#REF!</v>
      </c>
      <c r="F204" t="s">
        <v>288</v>
      </c>
      <c r="G204" s="251" t="e">
        <f>G203*J48</f>
        <v>#REF!</v>
      </c>
      <c r="I204" s="250" t="s">
        <v>289</v>
      </c>
      <c r="J204" s="110" t="e">
        <f>IF(G67="Yes",TBASELE(I204,iQuote_Version+1),0)</f>
        <v>#REF!</v>
      </c>
      <c r="M204" s="244"/>
      <c r="AR204" s="112">
        <f t="shared" si="11"/>
        <v>189</v>
      </c>
      <c r="AS204" s="149"/>
      <c r="AT204" s="149"/>
      <c r="AU204" s="149"/>
      <c r="AV204" s="149"/>
      <c r="AW204" s="149"/>
      <c r="AX204" s="113" t="str">
        <f>'Data Sample'!G200</f>
        <v>P02A883</v>
      </c>
      <c r="AY204" s="113" t="str">
        <f>'Data Sample'!G1209</f>
        <v>V0846856008253</v>
      </c>
      <c r="AZ204" s="113" t="str">
        <f>'Data Sample'!G705</f>
        <v>AU0073-67-830</v>
      </c>
      <c r="BA204" s="118"/>
      <c r="BC204" s="119" t="str">
        <f t="shared" si="12"/>
        <v>P02A883 (189)</v>
      </c>
      <c r="BD204" s="119" t="str">
        <f t="shared" si="13"/>
        <v>V0846856008253 (189)</v>
      </c>
      <c r="BE204" s="119" t="str">
        <f t="shared" si="14"/>
        <v>AU0073-67-830 (189)</v>
      </c>
    </row>
    <row r="205" spans="3:57">
      <c r="C205" t="s">
        <v>290</v>
      </c>
      <c r="D205" s="256" t="e">
        <f>($D199+($D200/(1+$D203*EXP(-$D202*(D204-$D201)))^(1/$D203)))^TSPLITLE(D46,"Age_Loading")</f>
        <v>#REF!</v>
      </c>
      <c r="F205" t="s">
        <v>291</v>
      </c>
      <c r="G205" s="251" t="e">
        <f>G204+G201</f>
        <v>#REF!</v>
      </c>
      <c r="I205" s="250" t="s">
        <v>292</v>
      </c>
      <c r="J205" s="110" t="e">
        <f>IF(G68="Yes",TBASELE(I205,iQuote_Version+1),0)</f>
        <v>#REF!</v>
      </c>
      <c r="L205" t="s">
        <v>293</v>
      </c>
      <c r="M205" s="251" t="e">
        <f>G205</f>
        <v>#REF!</v>
      </c>
      <c r="AR205" s="112">
        <f t="shared" si="11"/>
        <v>190</v>
      </c>
      <c r="AS205" s="149"/>
      <c r="AT205" s="149"/>
      <c r="AU205" s="149"/>
      <c r="AV205" s="149"/>
      <c r="AW205" s="149"/>
      <c r="AX205" s="113" t="str">
        <f>'Data Sample'!G201</f>
        <v>P02A250</v>
      </c>
      <c r="AY205" s="113" t="str">
        <f>'Data Sample'!G1210</f>
        <v>V0138488274429</v>
      </c>
      <c r="AZ205" s="113" t="str">
        <f>'Data Sample'!G706</f>
        <v>AU0094-97-704</v>
      </c>
      <c r="BA205" s="118"/>
      <c r="BC205" s="119" t="str">
        <f t="shared" si="12"/>
        <v>P02A250 (190)</v>
      </c>
      <c r="BD205" s="119" t="str">
        <f t="shared" si="13"/>
        <v>V0138488274429 (190)</v>
      </c>
      <c r="BE205" s="119" t="str">
        <f t="shared" si="14"/>
        <v>AU0094-97-704 (190)</v>
      </c>
    </row>
    <row r="206" spans="3:57">
      <c r="C206" t="s">
        <v>294</v>
      </c>
      <c r="D206" s="254">
        <f>TMILE_HIGHLOW(C206,iQuote_Version)</f>
        <v>0</v>
      </c>
      <c r="G206" s="244"/>
      <c r="I206" s="250"/>
      <c r="J206" s="244"/>
      <c r="L206" t="s">
        <v>295</v>
      </c>
      <c r="M206" s="251" t="e">
        <f ca="1">G194-(G193-G205)*(G167/G166)</f>
        <v>#REF!</v>
      </c>
      <c r="AR206" s="112">
        <f t="shared" si="11"/>
        <v>191</v>
      </c>
      <c r="AS206" s="149"/>
      <c r="AT206" s="149"/>
      <c r="AU206" s="149"/>
      <c r="AV206" s="149"/>
      <c r="AW206" s="149"/>
      <c r="AX206" s="113" t="str">
        <f>'Data Sample'!G202</f>
        <v>P02A914</v>
      </c>
      <c r="AY206" s="113" t="str">
        <f>'Data Sample'!G1211</f>
        <v>V0549347663223</v>
      </c>
      <c r="AZ206" s="113" t="str">
        <f>'Data Sample'!G707</f>
        <v>AU0080-88-619</v>
      </c>
      <c r="BA206" s="118"/>
      <c r="BC206" s="119" t="str">
        <f t="shared" si="12"/>
        <v>P02A914 (191)</v>
      </c>
      <c r="BD206" s="119" t="str">
        <f t="shared" si="13"/>
        <v>V0549347663223 (191)</v>
      </c>
      <c r="BE206" s="119" t="str">
        <f t="shared" si="14"/>
        <v>AU0080-88-619 (191)</v>
      </c>
    </row>
    <row r="207" spans="3:57">
      <c r="C207" t="s">
        <v>296</v>
      </c>
      <c r="D207" s="254">
        <f>TMILE_HIGHLOW(C207,iQuote_Version)</f>
        <v>0</v>
      </c>
      <c r="F207" t="s">
        <v>297</v>
      </c>
      <c r="G207" s="104" t="e">
        <f>TSPLITLE(D46,"Split_Cost")</f>
        <v>#REF!</v>
      </c>
      <c r="AR207" s="112">
        <f t="shared" si="11"/>
        <v>192</v>
      </c>
      <c r="AS207" s="149"/>
      <c r="AT207" s="149"/>
      <c r="AU207" s="149"/>
      <c r="AV207" s="149"/>
      <c r="AW207" s="149"/>
      <c r="AX207" s="113" t="str">
        <f>'Data Sample'!G203</f>
        <v>P02A686</v>
      </c>
      <c r="AY207" s="113" t="str">
        <f>'Data Sample'!G1212</f>
        <v>V0666514161038</v>
      </c>
      <c r="AZ207" s="113" t="str">
        <f>'Data Sample'!G708</f>
        <v>AU0085-41-229</v>
      </c>
      <c r="BA207" s="118"/>
      <c r="BC207" s="119" t="str">
        <f t="shared" si="12"/>
        <v>P02A686 (192)</v>
      </c>
      <c r="BD207" s="119" t="str">
        <f t="shared" si="13"/>
        <v>V0666514161038 (192)</v>
      </c>
      <c r="BE207" s="119" t="str">
        <f t="shared" si="14"/>
        <v>AU0085-41-229 (192)</v>
      </c>
    </row>
    <row r="208" spans="3:57">
      <c r="C208" t="s">
        <v>298</v>
      </c>
      <c r="D208" s="254">
        <f>TMILE_HIGHLOW(C208,iQuote_Version)</f>
        <v>0.42604492898968532</v>
      </c>
      <c r="G208" s="244"/>
      <c r="AR208" s="112">
        <f t="shared" ref="AR208:AR271" si="16">1+AR207</f>
        <v>193</v>
      </c>
      <c r="AS208" s="149"/>
      <c r="AT208" s="149"/>
      <c r="AU208" s="149"/>
      <c r="AV208" s="149"/>
      <c r="AW208" s="149"/>
      <c r="AX208" s="113" t="str">
        <f>'Data Sample'!G204</f>
        <v>P02A19</v>
      </c>
      <c r="AY208" s="113" t="str">
        <f>'Data Sample'!G1213</f>
        <v>V0393428825138</v>
      </c>
      <c r="AZ208" s="113" t="str">
        <f>'Data Sample'!G709</f>
        <v>AU0060-53-316</v>
      </c>
      <c r="BA208" s="118"/>
      <c r="BC208" s="119" t="str">
        <f t="shared" ref="BC208:BC271" si="17">AX208 &amp; " ("&amp; $AR208 &amp; ")"</f>
        <v>P02A19 (193)</v>
      </c>
      <c r="BD208" s="119" t="str">
        <f t="shared" ref="BD208:BD271" si="18">AY208 &amp; " ("&amp; $AR208 &amp; ")"</f>
        <v>V0393428825138 (193)</v>
      </c>
      <c r="BE208" s="119" t="str">
        <f t="shared" ref="BE208:BE271" si="19">AZ208 &amp; " ("&amp; $AR208 &amp; ")"</f>
        <v>AU0060-53-316 (193)</v>
      </c>
    </row>
    <row r="209" spans="3:57">
      <c r="C209" t="s">
        <v>299</v>
      </c>
      <c r="D209" s="254">
        <f>TMILE_HIGHLOW(C209,iQuote_Version)</f>
        <v>9</v>
      </c>
      <c r="G209" s="244"/>
      <c r="AR209" s="112">
        <f t="shared" si="16"/>
        <v>194</v>
      </c>
      <c r="AS209" s="149"/>
      <c r="AT209" s="149"/>
      <c r="AU209" s="149"/>
      <c r="AV209" s="149"/>
      <c r="AW209" s="149"/>
      <c r="AX209" s="113" t="str">
        <f>'Data Sample'!G205</f>
        <v>P02A236</v>
      </c>
      <c r="AY209" s="113" t="str">
        <f>'Data Sample'!G1214</f>
        <v>V0695168000208</v>
      </c>
      <c r="AZ209" s="113" t="str">
        <f>'Data Sample'!G710</f>
        <v>AU0047-87-934</v>
      </c>
      <c r="BA209" s="118"/>
      <c r="BC209" s="119" t="str">
        <f t="shared" si="17"/>
        <v>P02A236 (194)</v>
      </c>
      <c r="BD209" s="119" t="str">
        <f t="shared" si="18"/>
        <v>V0695168000208 (194)</v>
      </c>
      <c r="BE209" s="119" t="str">
        <f t="shared" si="19"/>
        <v>AU0047-87-934 (194)</v>
      </c>
    </row>
    <row r="210" spans="3:57">
      <c r="C210" t="s">
        <v>300</v>
      </c>
      <c r="D210" s="254">
        <f>TMILE_HIGHLOW(C210,iQuote_Version)</f>
        <v>1E-4</v>
      </c>
      <c r="G210" s="244"/>
      <c r="AR210" s="112">
        <f t="shared" si="16"/>
        <v>195</v>
      </c>
      <c r="AS210" s="149"/>
      <c r="AT210" s="149"/>
      <c r="AU210" s="149"/>
      <c r="AV210" s="149"/>
      <c r="AW210" s="149"/>
      <c r="AX210" s="113" t="str">
        <f>'Data Sample'!G206</f>
        <v>P02A422</v>
      </c>
      <c r="AY210" s="113" t="str">
        <f>'Data Sample'!G1215</f>
        <v>V0961834373120</v>
      </c>
      <c r="AZ210" s="113" t="str">
        <f>'Data Sample'!G711</f>
        <v>AU0081-26-669</v>
      </c>
      <c r="BA210" s="118"/>
      <c r="BC210" s="119" t="str">
        <f t="shared" si="17"/>
        <v>P02A422 (195)</v>
      </c>
      <c r="BD210" s="119" t="str">
        <f t="shared" si="18"/>
        <v>V0961834373120 (195)</v>
      </c>
      <c r="BE210" s="119" t="str">
        <f t="shared" si="19"/>
        <v>AU0081-26-669 (195)</v>
      </c>
    </row>
    <row r="211" spans="3:57">
      <c r="C211" t="s">
        <v>301</v>
      </c>
      <c r="D211" s="249" t="e">
        <f>$D207-$D206-($D207/(1+$D210*EXP(-$D209*(D204-$D208)))^(1/$D210))</f>
        <v>#REF!</v>
      </c>
      <c r="G211" s="244"/>
      <c r="AR211" s="112">
        <f t="shared" si="16"/>
        <v>196</v>
      </c>
      <c r="AS211" s="149"/>
      <c r="AT211" s="149"/>
      <c r="AU211" s="149"/>
      <c r="AV211" s="149"/>
      <c r="AW211" s="149"/>
      <c r="AX211" s="113" t="str">
        <f>'Data Sample'!G207</f>
        <v>P02A445</v>
      </c>
      <c r="AY211" s="113" t="str">
        <f>'Data Sample'!G1216</f>
        <v>V0434765061375</v>
      </c>
      <c r="AZ211" s="113" t="str">
        <f>'Data Sample'!G712</f>
        <v>AU0024-04-785</v>
      </c>
      <c r="BA211" s="118"/>
      <c r="BC211" s="119" t="str">
        <f t="shared" si="17"/>
        <v>P02A445 (196)</v>
      </c>
      <c r="BD211" s="119" t="str">
        <f t="shared" si="18"/>
        <v>V0434765061375 (196)</v>
      </c>
      <c r="BE211" s="119" t="str">
        <f t="shared" si="19"/>
        <v>AU0024-04-785 (196)</v>
      </c>
    </row>
    <row r="212" spans="3:57">
      <c r="G212" s="244"/>
      <c r="AR212" s="112">
        <f t="shared" si="16"/>
        <v>197</v>
      </c>
      <c r="AS212" s="149"/>
      <c r="AT212" s="149"/>
      <c r="AU212" s="149"/>
      <c r="AV212" s="149"/>
      <c r="AW212" s="149"/>
      <c r="AX212" s="113" t="str">
        <f>'Data Sample'!G208</f>
        <v>P02A72</v>
      </c>
      <c r="AY212" s="113" t="str">
        <f>'Data Sample'!G1217</f>
        <v>V0781800302904</v>
      </c>
      <c r="AZ212" s="113" t="str">
        <f>'Data Sample'!G713</f>
        <v>AU0040-93-219</v>
      </c>
      <c r="BA212" s="118"/>
      <c r="BC212" s="119" t="str">
        <f t="shared" si="17"/>
        <v>P02A72 (197)</v>
      </c>
      <c r="BD212" s="119" t="str">
        <f t="shared" si="18"/>
        <v>V0781800302904 (197)</v>
      </c>
      <c r="BE212" s="119" t="str">
        <f t="shared" si="19"/>
        <v>AU0040-93-219 (197)</v>
      </c>
    </row>
    <row r="213" spans="3:57">
      <c r="AR213" s="112">
        <f t="shared" si="16"/>
        <v>198</v>
      </c>
      <c r="AS213" s="149"/>
      <c r="AT213" s="149"/>
      <c r="AU213" s="149"/>
      <c r="AV213" s="149"/>
      <c r="AW213" s="149"/>
      <c r="AX213" s="113" t="str">
        <f>'Data Sample'!G209</f>
        <v>P02A620</v>
      </c>
      <c r="AY213" s="113" t="str">
        <f>'Data Sample'!G1218</f>
        <v>V0716188994694</v>
      </c>
      <c r="AZ213" s="113" t="str">
        <f>'Data Sample'!G714</f>
        <v>AU0093-71-786</v>
      </c>
      <c r="BA213" s="118"/>
      <c r="BC213" s="119" t="str">
        <f t="shared" si="17"/>
        <v>P02A620 (198)</v>
      </c>
      <c r="BD213" s="119" t="str">
        <f t="shared" si="18"/>
        <v>V0716188994694 (198)</v>
      </c>
      <c r="BE213" s="119" t="str">
        <f t="shared" si="19"/>
        <v>AU0093-71-786 (198)</v>
      </c>
    </row>
    <row r="214" spans="3:57">
      <c r="AR214" s="112">
        <f t="shared" si="16"/>
        <v>199</v>
      </c>
      <c r="AS214" s="149"/>
      <c r="AT214" s="149"/>
      <c r="AU214" s="149"/>
      <c r="AV214" s="149"/>
      <c r="AW214" s="149"/>
      <c r="AX214" s="113" t="str">
        <f>'Data Sample'!G210</f>
        <v>P02A321</v>
      </c>
      <c r="AY214" s="113" t="str">
        <f>'Data Sample'!G1219</f>
        <v>V0843117488010</v>
      </c>
      <c r="AZ214" s="113" t="str">
        <f>'Data Sample'!G715</f>
        <v>AU0024-16-442</v>
      </c>
      <c r="BA214" s="118"/>
      <c r="BC214" s="119" t="str">
        <f t="shared" si="17"/>
        <v>P02A321 (199)</v>
      </c>
      <c r="BD214" s="119" t="str">
        <f t="shared" si="18"/>
        <v>V0843117488010 (199)</v>
      </c>
      <c r="BE214" s="119" t="str">
        <f t="shared" si="19"/>
        <v>AU0024-16-442 (199)</v>
      </c>
    </row>
    <row r="215" spans="3:57">
      <c r="AR215" s="112">
        <f t="shared" si="16"/>
        <v>200</v>
      </c>
      <c r="AS215" s="149"/>
      <c r="AT215" s="149"/>
      <c r="AU215" s="149"/>
      <c r="AV215" s="149"/>
      <c r="AW215" s="149"/>
      <c r="AX215" s="113" t="str">
        <f>'Data Sample'!G211</f>
        <v>P02A941</v>
      </c>
      <c r="AY215" s="113" t="str">
        <f>'Data Sample'!G1220</f>
        <v>V0001941531715</v>
      </c>
      <c r="AZ215" s="113" t="str">
        <f>'Data Sample'!G716</f>
        <v>AU0067-28-192</v>
      </c>
      <c r="BA215" s="118"/>
      <c r="BC215" s="119" t="str">
        <f t="shared" si="17"/>
        <v>P02A941 (200)</v>
      </c>
      <c r="BD215" s="119" t="str">
        <f t="shared" si="18"/>
        <v>V0001941531715 (200)</v>
      </c>
      <c r="BE215" s="119" t="str">
        <f t="shared" si="19"/>
        <v>AU0067-28-192 (200)</v>
      </c>
    </row>
    <row r="216" spans="3:57">
      <c r="AR216" s="112">
        <f t="shared" si="16"/>
        <v>201</v>
      </c>
      <c r="AS216" s="149"/>
      <c r="AT216" s="149"/>
      <c r="AU216" s="149"/>
      <c r="AV216" s="149"/>
      <c r="AW216" s="149"/>
      <c r="AX216" s="113" t="str">
        <f>'Data Sample'!G212</f>
        <v>P02A952</v>
      </c>
      <c r="AY216" s="113" t="str">
        <f>'Data Sample'!G1221</f>
        <v>V0746741137544</v>
      </c>
      <c r="AZ216" s="113" t="str">
        <f>'Data Sample'!G717</f>
        <v>AU0013-68-815</v>
      </c>
      <c r="BA216" s="118"/>
      <c r="BC216" s="119" t="str">
        <f t="shared" si="17"/>
        <v>P02A952 (201)</v>
      </c>
      <c r="BD216" s="119" t="str">
        <f t="shared" si="18"/>
        <v>V0746741137544 (201)</v>
      </c>
      <c r="BE216" s="119" t="str">
        <f t="shared" si="19"/>
        <v>AU0013-68-815 (201)</v>
      </c>
    </row>
    <row r="217" spans="3:57">
      <c r="AR217" s="112">
        <f t="shared" si="16"/>
        <v>202</v>
      </c>
      <c r="AS217" s="149"/>
      <c r="AT217" s="149"/>
      <c r="AU217" s="149"/>
      <c r="AV217" s="149"/>
      <c r="AW217" s="149"/>
      <c r="AX217" s="113" t="str">
        <f>'Data Sample'!G213</f>
        <v>P02A580</v>
      </c>
      <c r="AY217" s="113" t="str">
        <f>'Data Sample'!G1222</f>
        <v>V0316450432364</v>
      </c>
      <c r="AZ217" s="113" t="str">
        <f>'Data Sample'!G718</f>
        <v>AU0034-28-843</v>
      </c>
      <c r="BA217" s="118"/>
      <c r="BC217" s="119" t="str">
        <f t="shared" si="17"/>
        <v>P02A580 (202)</v>
      </c>
      <c r="BD217" s="119" t="str">
        <f t="shared" si="18"/>
        <v>V0316450432364 (202)</v>
      </c>
      <c r="BE217" s="119" t="str">
        <f t="shared" si="19"/>
        <v>AU0034-28-843 (202)</v>
      </c>
    </row>
    <row r="218" spans="3:57">
      <c r="AR218" s="112">
        <f t="shared" si="16"/>
        <v>203</v>
      </c>
      <c r="AS218" s="149"/>
      <c r="AT218" s="149"/>
      <c r="AU218" s="149"/>
      <c r="AV218" s="149"/>
      <c r="AW218" s="149"/>
      <c r="AX218" s="113" t="str">
        <f>'Data Sample'!G214</f>
        <v>P02A878</v>
      </c>
      <c r="AY218" s="113" t="str">
        <f>'Data Sample'!G1223</f>
        <v>V0209495619067</v>
      </c>
      <c r="AZ218" s="113" t="str">
        <f>'Data Sample'!G719</f>
        <v>AU0018-90-590</v>
      </c>
      <c r="BA218" s="118"/>
      <c r="BC218" s="119" t="str">
        <f t="shared" si="17"/>
        <v>P02A878 (203)</v>
      </c>
      <c r="BD218" s="119" t="str">
        <f t="shared" si="18"/>
        <v>V0209495619067 (203)</v>
      </c>
      <c r="BE218" s="119" t="str">
        <f t="shared" si="19"/>
        <v>AU0018-90-590 (203)</v>
      </c>
    </row>
    <row r="219" spans="3:57">
      <c r="AR219" s="112">
        <f t="shared" si="16"/>
        <v>204</v>
      </c>
      <c r="AS219" s="149"/>
      <c r="AT219" s="149"/>
      <c r="AU219" s="149"/>
      <c r="AV219" s="149"/>
      <c r="AW219" s="149"/>
      <c r="AX219" s="113" t="str">
        <f>'Data Sample'!G215</f>
        <v>P02A61</v>
      </c>
      <c r="AY219" s="113" t="str">
        <f>'Data Sample'!G1224</f>
        <v>V0185964907946</v>
      </c>
      <c r="AZ219" s="113" t="str">
        <f>'Data Sample'!G720</f>
        <v>AU0098-17-537</v>
      </c>
      <c r="BA219" s="118"/>
      <c r="BC219" s="119" t="str">
        <f t="shared" si="17"/>
        <v>P02A61 (204)</v>
      </c>
      <c r="BD219" s="119" t="str">
        <f t="shared" si="18"/>
        <v>V0185964907946 (204)</v>
      </c>
      <c r="BE219" s="119" t="str">
        <f t="shared" si="19"/>
        <v>AU0098-17-537 (204)</v>
      </c>
    </row>
    <row r="220" spans="3:57">
      <c r="AR220" s="112">
        <f t="shared" si="16"/>
        <v>205</v>
      </c>
      <c r="AS220" s="149"/>
      <c r="AT220" s="149"/>
      <c r="AU220" s="149"/>
      <c r="AV220" s="149"/>
      <c r="AW220" s="149"/>
      <c r="AX220" s="113" t="str">
        <f>'Data Sample'!G216</f>
        <v>P02A4</v>
      </c>
      <c r="AY220" s="113" t="str">
        <f>'Data Sample'!G1225</f>
        <v>V0654505806568</v>
      </c>
      <c r="AZ220" s="113" t="str">
        <f>'Data Sample'!G721</f>
        <v>AU0031-41-879</v>
      </c>
      <c r="BA220" s="118"/>
      <c r="BC220" s="119" t="str">
        <f t="shared" si="17"/>
        <v>P02A4 (205)</v>
      </c>
      <c r="BD220" s="119" t="str">
        <f t="shared" si="18"/>
        <v>V0654505806568 (205)</v>
      </c>
      <c r="BE220" s="119" t="str">
        <f t="shared" si="19"/>
        <v>AU0031-41-879 (205)</v>
      </c>
    </row>
    <row r="221" spans="3:57">
      <c r="AR221" s="112">
        <f t="shared" si="16"/>
        <v>206</v>
      </c>
      <c r="AS221" s="149"/>
      <c r="AT221" s="149"/>
      <c r="AU221" s="149"/>
      <c r="AV221" s="149"/>
      <c r="AW221" s="149"/>
      <c r="AX221" s="113" t="str">
        <f>'Data Sample'!G217</f>
        <v>P02A867</v>
      </c>
      <c r="AY221" s="113" t="str">
        <f>'Data Sample'!G1226</f>
        <v>V0666516500986</v>
      </c>
      <c r="AZ221" s="113" t="str">
        <f>'Data Sample'!G722</f>
        <v>AU0047-19-045</v>
      </c>
      <c r="BA221" s="118"/>
      <c r="BC221" s="119" t="str">
        <f t="shared" si="17"/>
        <v>P02A867 (206)</v>
      </c>
      <c r="BD221" s="119" t="str">
        <f t="shared" si="18"/>
        <v>V0666516500986 (206)</v>
      </c>
      <c r="BE221" s="119" t="str">
        <f t="shared" si="19"/>
        <v>AU0047-19-045 (206)</v>
      </c>
    </row>
    <row r="222" spans="3:57">
      <c r="AR222" s="112">
        <f t="shared" si="16"/>
        <v>207</v>
      </c>
      <c r="AS222" s="149"/>
      <c r="AT222" s="149"/>
      <c r="AU222" s="149"/>
      <c r="AV222" s="149"/>
      <c r="AW222" s="149"/>
      <c r="AX222" s="113" t="str">
        <f>'Data Sample'!G218</f>
        <v>P02A547</v>
      </c>
      <c r="AY222" s="113" t="str">
        <f>'Data Sample'!G1227</f>
        <v>V0711146419964</v>
      </c>
      <c r="AZ222" s="113" t="str">
        <f>'Data Sample'!G723</f>
        <v>AU0090-72-713</v>
      </c>
      <c r="BA222" s="118"/>
      <c r="BC222" s="119" t="str">
        <f t="shared" si="17"/>
        <v>P02A547 (207)</v>
      </c>
      <c r="BD222" s="119" t="str">
        <f t="shared" si="18"/>
        <v>V0711146419964 (207)</v>
      </c>
      <c r="BE222" s="119" t="str">
        <f t="shared" si="19"/>
        <v>AU0090-72-713 (207)</v>
      </c>
    </row>
    <row r="223" spans="3:57">
      <c r="AR223" s="112">
        <f t="shared" si="16"/>
        <v>208</v>
      </c>
      <c r="AS223" s="149"/>
      <c r="AT223" s="149"/>
      <c r="AU223" s="149"/>
      <c r="AV223" s="149"/>
      <c r="AW223" s="149"/>
      <c r="AX223" s="113" t="str">
        <f>'Data Sample'!G219</f>
        <v>P02A756</v>
      </c>
      <c r="AY223" s="113" t="str">
        <f>'Data Sample'!G1228</f>
        <v>V0196556316912</v>
      </c>
      <c r="AZ223" s="113" t="str">
        <f>'Data Sample'!G724</f>
        <v>AU0067-96-211</v>
      </c>
      <c r="BA223" s="118"/>
      <c r="BC223" s="119" t="str">
        <f t="shared" si="17"/>
        <v>P02A756 (208)</v>
      </c>
      <c r="BD223" s="119" t="str">
        <f t="shared" si="18"/>
        <v>V0196556316912 (208)</v>
      </c>
      <c r="BE223" s="119" t="str">
        <f t="shared" si="19"/>
        <v>AU0067-96-211 (208)</v>
      </c>
    </row>
    <row r="224" spans="3:57">
      <c r="AR224" s="112">
        <f t="shared" si="16"/>
        <v>209</v>
      </c>
      <c r="AS224" s="149"/>
      <c r="AT224" s="149"/>
      <c r="AU224" s="149"/>
      <c r="AV224" s="149"/>
      <c r="AW224" s="149"/>
      <c r="AX224" s="113" t="str">
        <f>'Data Sample'!G220</f>
        <v>P02A742</v>
      </c>
      <c r="AY224" s="113" t="str">
        <f>'Data Sample'!G1229</f>
        <v>V0927834672996</v>
      </c>
      <c r="AZ224" s="113" t="str">
        <f>'Data Sample'!G725</f>
        <v>AU0096-31-771</v>
      </c>
      <c r="BA224" s="118"/>
      <c r="BC224" s="119" t="str">
        <f t="shared" si="17"/>
        <v>P02A742 (209)</v>
      </c>
      <c r="BD224" s="119" t="str">
        <f t="shared" si="18"/>
        <v>V0927834672996 (209)</v>
      </c>
      <c r="BE224" s="119" t="str">
        <f t="shared" si="19"/>
        <v>AU0096-31-771 (209)</v>
      </c>
    </row>
    <row r="225" spans="44:57">
      <c r="AR225" s="112">
        <f t="shared" si="16"/>
        <v>210</v>
      </c>
      <c r="AS225" s="149"/>
      <c r="AT225" s="149"/>
      <c r="AU225" s="149"/>
      <c r="AV225" s="149"/>
      <c r="AW225" s="149"/>
      <c r="AX225" s="113" t="str">
        <f>'Data Sample'!G221</f>
        <v>P02A113</v>
      </c>
      <c r="AY225" s="113" t="str">
        <f>'Data Sample'!G1230</f>
        <v>V0718395588688</v>
      </c>
      <c r="AZ225" s="113" t="str">
        <f>'Data Sample'!G726</f>
        <v>AU0067-19-252</v>
      </c>
      <c r="BA225" s="118"/>
      <c r="BC225" s="119" t="str">
        <f t="shared" si="17"/>
        <v>P02A113 (210)</v>
      </c>
      <c r="BD225" s="119" t="str">
        <f t="shared" si="18"/>
        <v>V0718395588688 (210)</v>
      </c>
      <c r="BE225" s="119" t="str">
        <f t="shared" si="19"/>
        <v>AU0067-19-252 (210)</v>
      </c>
    </row>
    <row r="226" spans="44:57">
      <c r="AR226" s="112">
        <f t="shared" si="16"/>
        <v>211</v>
      </c>
      <c r="AS226" s="149"/>
      <c r="AT226" s="149"/>
      <c r="AU226" s="149"/>
      <c r="AV226" s="149"/>
      <c r="AW226" s="149"/>
      <c r="AX226" s="113" t="str">
        <f>'Data Sample'!G222</f>
        <v>P02A504</v>
      </c>
      <c r="AY226" s="113" t="str">
        <f>'Data Sample'!G1231</f>
        <v>V0288941034892</v>
      </c>
      <c r="AZ226" s="113" t="str">
        <f>'Data Sample'!G727</f>
        <v>AU0070-94-543</v>
      </c>
      <c r="BA226" s="118"/>
      <c r="BC226" s="119" t="str">
        <f t="shared" si="17"/>
        <v>P02A504 (211)</v>
      </c>
      <c r="BD226" s="119" t="str">
        <f t="shared" si="18"/>
        <v>V0288941034892 (211)</v>
      </c>
      <c r="BE226" s="119" t="str">
        <f t="shared" si="19"/>
        <v>AU0070-94-543 (211)</v>
      </c>
    </row>
    <row r="227" spans="44:57">
      <c r="AR227" s="112">
        <f t="shared" si="16"/>
        <v>212</v>
      </c>
      <c r="AS227" s="149"/>
      <c r="AT227" s="149"/>
      <c r="AU227" s="149"/>
      <c r="AV227" s="149"/>
      <c r="AW227" s="149"/>
      <c r="AX227" s="113" t="str">
        <f>'Data Sample'!G223</f>
        <v>P02A73</v>
      </c>
      <c r="AY227" s="113" t="str">
        <f>'Data Sample'!G1232</f>
        <v>V0727795001684</v>
      </c>
      <c r="AZ227" s="113" t="str">
        <f>'Data Sample'!G728</f>
        <v>AU0032-63-224</v>
      </c>
      <c r="BA227" s="118"/>
      <c r="BC227" s="119" t="str">
        <f t="shared" si="17"/>
        <v>P02A73 (212)</v>
      </c>
      <c r="BD227" s="119" t="str">
        <f t="shared" si="18"/>
        <v>V0727795001684 (212)</v>
      </c>
      <c r="BE227" s="119" t="str">
        <f t="shared" si="19"/>
        <v>AU0032-63-224 (212)</v>
      </c>
    </row>
    <row r="228" spans="44:57">
      <c r="AR228" s="112">
        <f t="shared" si="16"/>
        <v>213</v>
      </c>
      <c r="AS228" s="149"/>
      <c r="AT228" s="149"/>
      <c r="AU228" s="149"/>
      <c r="AV228" s="149"/>
      <c r="AW228" s="149"/>
      <c r="AX228" s="113" t="str">
        <f>'Data Sample'!G224</f>
        <v>P02A655</v>
      </c>
      <c r="AY228" s="113" t="str">
        <f>'Data Sample'!G1233</f>
        <v>V0363060022699</v>
      </c>
      <c r="AZ228" s="113" t="str">
        <f>'Data Sample'!G729</f>
        <v>AU0075-70-348</v>
      </c>
      <c r="BA228" s="118"/>
      <c r="BC228" s="119" t="str">
        <f t="shared" si="17"/>
        <v>P02A655 (213)</v>
      </c>
      <c r="BD228" s="119" t="str">
        <f t="shared" si="18"/>
        <v>V0363060022699 (213)</v>
      </c>
      <c r="BE228" s="119" t="str">
        <f t="shared" si="19"/>
        <v>AU0075-70-348 (213)</v>
      </c>
    </row>
    <row r="229" spans="44:57">
      <c r="AR229" s="112">
        <f t="shared" si="16"/>
        <v>214</v>
      </c>
      <c r="AS229" s="149"/>
      <c r="AT229" s="149"/>
      <c r="AU229" s="149"/>
      <c r="AV229" s="149"/>
      <c r="AW229" s="149"/>
      <c r="AX229" s="113" t="str">
        <f>'Data Sample'!G225</f>
        <v>P02A502</v>
      </c>
      <c r="AY229" s="113" t="str">
        <f>'Data Sample'!G1234</f>
        <v>V0757920050626</v>
      </c>
      <c r="AZ229" s="113" t="str">
        <f>'Data Sample'!G730</f>
        <v>AU0081-17-913</v>
      </c>
      <c r="BA229" s="118"/>
      <c r="BC229" s="119" t="str">
        <f t="shared" si="17"/>
        <v>P02A502 (214)</v>
      </c>
      <c r="BD229" s="119" t="str">
        <f t="shared" si="18"/>
        <v>V0757920050626 (214)</v>
      </c>
      <c r="BE229" s="119" t="str">
        <f t="shared" si="19"/>
        <v>AU0081-17-913 (214)</v>
      </c>
    </row>
    <row r="230" spans="44:57">
      <c r="AR230" s="112">
        <f t="shared" si="16"/>
        <v>215</v>
      </c>
      <c r="AS230" s="149"/>
      <c r="AT230" s="149"/>
      <c r="AU230" s="149"/>
      <c r="AV230" s="149"/>
      <c r="AW230" s="149"/>
      <c r="AX230" s="113" t="str">
        <f>'Data Sample'!G226</f>
        <v>P02A964</v>
      </c>
      <c r="AY230" s="113" t="str">
        <f>'Data Sample'!G1235</f>
        <v>V0007218700501</v>
      </c>
      <c r="AZ230" s="113" t="str">
        <f>'Data Sample'!G731</f>
        <v>AU0006-47-704</v>
      </c>
      <c r="BA230" s="118"/>
      <c r="BC230" s="119" t="str">
        <f t="shared" si="17"/>
        <v>P02A964 (215)</v>
      </c>
      <c r="BD230" s="119" t="str">
        <f t="shared" si="18"/>
        <v>V0007218700501 (215)</v>
      </c>
      <c r="BE230" s="119" t="str">
        <f t="shared" si="19"/>
        <v>AU0006-47-704 (215)</v>
      </c>
    </row>
    <row r="231" spans="44:57">
      <c r="AR231" s="112">
        <f t="shared" si="16"/>
        <v>216</v>
      </c>
      <c r="AS231" s="149"/>
      <c r="AT231" s="149"/>
      <c r="AU231" s="149"/>
      <c r="AV231" s="149"/>
      <c r="AW231" s="149"/>
      <c r="AX231" s="113" t="str">
        <f>'Data Sample'!G227</f>
        <v>P02A46</v>
      </c>
      <c r="AY231" s="113" t="str">
        <f>'Data Sample'!G1236</f>
        <v>V0475296037487</v>
      </c>
      <c r="AZ231" s="113" t="str">
        <f>'Data Sample'!G732</f>
        <v>AU0079-37-278</v>
      </c>
      <c r="BA231" s="118"/>
      <c r="BC231" s="119" t="str">
        <f t="shared" si="17"/>
        <v>P02A46 (216)</v>
      </c>
      <c r="BD231" s="119" t="str">
        <f t="shared" si="18"/>
        <v>V0475296037487 (216)</v>
      </c>
      <c r="BE231" s="119" t="str">
        <f t="shared" si="19"/>
        <v>AU0079-37-278 (216)</v>
      </c>
    </row>
    <row r="232" spans="44:57">
      <c r="AR232" s="112">
        <f t="shared" si="16"/>
        <v>217</v>
      </c>
      <c r="AS232" s="149"/>
      <c r="AT232" s="149"/>
      <c r="AU232" s="149"/>
      <c r="AV232" s="149"/>
      <c r="AW232" s="149"/>
      <c r="AX232" s="113" t="str">
        <f>'Data Sample'!G228</f>
        <v>P02A515</v>
      </c>
      <c r="AY232" s="113" t="str">
        <f>'Data Sample'!G1237</f>
        <v>V0680328178382</v>
      </c>
      <c r="AZ232" s="113" t="str">
        <f>'Data Sample'!G733</f>
        <v>AU0011-45-365</v>
      </c>
      <c r="BA232" s="118"/>
      <c r="BC232" s="119" t="str">
        <f t="shared" si="17"/>
        <v>P02A515 (217)</v>
      </c>
      <c r="BD232" s="119" t="str">
        <f t="shared" si="18"/>
        <v>V0680328178382 (217)</v>
      </c>
      <c r="BE232" s="119" t="str">
        <f t="shared" si="19"/>
        <v>AU0011-45-365 (217)</v>
      </c>
    </row>
    <row r="233" spans="44:57">
      <c r="AR233" s="112">
        <f t="shared" si="16"/>
        <v>218</v>
      </c>
      <c r="AS233" s="149"/>
      <c r="AT233" s="149"/>
      <c r="AU233" s="149"/>
      <c r="AV233" s="149"/>
      <c r="AW233" s="149"/>
      <c r="AX233" s="113" t="str">
        <f>'Data Sample'!G229</f>
        <v>P02A753</v>
      </c>
      <c r="AY233" s="113" t="str">
        <f>'Data Sample'!G1238</f>
        <v>V0481231414556</v>
      </c>
      <c r="AZ233" s="113" t="str">
        <f>'Data Sample'!G734</f>
        <v>AU0071-94-875</v>
      </c>
      <c r="BA233" s="118"/>
      <c r="BC233" s="119" t="str">
        <f t="shared" si="17"/>
        <v>P02A753 (218)</v>
      </c>
      <c r="BD233" s="119" t="str">
        <f t="shared" si="18"/>
        <v>V0481231414556 (218)</v>
      </c>
      <c r="BE233" s="119" t="str">
        <f t="shared" si="19"/>
        <v>AU0071-94-875 (218)</v>
      </c>
    </row>
    <row r="234" spans="44:57">
      <c r="AR234" s="112">
        <f t="shared" si="16"/>
        <v>219</v>
      </c>
      <c r="AS234" s="149"/>
      <c r="AT234" s="149"/>
      <c r="AU234" s="149"/>
      <c r="AV234" s="149"/>
      <c r="AW234" s="149"/>
      <c r="AX234" s="113" t="str">
        <f>'Data Sample'!G230</f>
        <v>P02A300</v>
      </c>
      <c r="AY234" s="113" t="str">
        <f>'Data Sample'!G1239</f>
        <v>V0630429756045</v>
      </c>
      <c r="AZ234" s="113" t="str">
        <f>'Data Sample'!G735</f>
        <v>AU0020-86-759</v>
      </c>
      <c r="BA234" s="118"/>
      <c r="BC234" s="119" t="str">
        <f t="shared" si="17"/>
        <v>P02A300 (219)</v>
      </c>
      <c r="BD234" s="119" t="str">
        <f t="shared" si="18"/>
        <v>V0630429756045 (219)</v>
      </c>
      <c r="BE234" s="119" t="str">
        <f t="shared" si="19"/>
        <v>AU0020-86-759 (219)</v>
      </c>
    </row>
    <row r="235" spans="44:57">
      <c r="AR235" s="112">
        <f t="shared" si="16"/>
        <v>220</v>
      </c>
      <c r="AS235" s="149"/>
      <c r="AT235" s="149"/>
      <c r="AU235" s="149"/>
      <c r="AV235" s="149"/>
      <c r="AW235" s="149"/>
      <c r="AX235" s="113" t="str">
        <f>'Data Sample'!G231</f>
        <v>P02A17</v>
      </c>
      <c r="AY235" s="113" t="str">
        <f>'Data Sample'!G1240</f>
        <v>V0208832877091</v>
      </c>
      <c r="AZ235" s="113" t="str">
        <f>'Data Sample'!G736</f>
        <v>AU0020-61-468</v>
      </c>
      <c r="BA235" s="118"/>
      <c r="BC235" s="119" t="str">
        <f t="shared" si="17"/>
        <v>P02A17 (220)</v>
      </c>
      <c r="BD235" s="119" t="str">
        <f t="shared" si="18"/>
        <v>V0208832877091 (220)</v>
      </c>
      <c r="BE235" s="119" t="str">
        <f t="shared" si="19"/>
        <v>AU0020-61-468 (220)</v>
      </c>
    </row>
    <row r="236" spans="44:57">
      <c r="AR236" s="112">
        <f t="shared" si="16"/>
        <v>221</v>
      </c>
      <c r="AS236" s="149"/>
      <c r="AT236" s="149"/>
      <c r="AU236" s="149"/>
      <c r="AV236" s="149"/>
      <c r="AW236" s="149"/>
      <c r="AX236" s="113" t="str">
        <f>'Data Sample'!G232</f>
        <v>P02A702</v>
      </c>
      <c r="AY236" s="113" t="str">
        <f>'Data Sample'!G1241</f>
        <v>V0322304517224</v>
      </c>
      <c r="AZ236" s="113" t="str">
        <f>'Data Sample'!G737</f>
        <v>AU0006-71-080</v>
      </c>
      <c r="BA236" s="118"/>
      <c r="BC236" s="119" t="str">
        <f t="shared" si="17"/>
        <v>P02A702 (221)</v>
      </c>
      <c r="BD236" s="119" t="str">
        <f t="shared" si="18"/>
        <v>V0322304517224 (221)</v>
      </c>
      <c r="BE236" s="119" t="str">
        <f t="shared" si="19"/>
        <v>AU0006-71-080 (221)</v>
      </c>
    </row>
    <row r="237" spans="44:57">
      <c r="AR237" s="112">
        <f t="shared" si="16"/>
        <v>222</v>
      </c>
      <c r="AS237" s="149"/>
      <c r="AT237" s="149"/>
      <c r="AU237" s="149"/>
      <c r="AV237" s="149"/>
      <c r="AW237" s="149"/>
      <c r="AX237" s="113" t="str">
        <f>'Data Sample'!G233</f>
        <v>P02A233</v>
      </c>
      <c r="AY237" s="113" t="str">
        <f>'Data Sample'!G1242</f>
        <v>V0305420397389</v>
      </c>
      <c r="AZ237" s="113" t="str">
        <f>'Data Sample'!G738</f>
        <v>AU0037-32-363</v>
      </c>
      <c r="BA237" s="118"/>
      <c r="BC237" s="119" t="str">
        <f t="shared" si="17"/>
        <v>P02A233 (222)</v>
      </c>
      <c r="BD237" s="119" t="str">
        <f t="shared" si="18"/>
        <v>V0305420397389 (222)</v>
      </c>
      <c r="BE237" s="119" t="str">
        <f t="shared" si="19"/>
        <v>AU0037-32-363 (222)</v>
      </c>
    </row>
    <row r="238" spans="44:57">
      <c r="AR238" s="112">
        <f t="shared" si="16"/>
        <v>223</v>
      </c>
      <c r="AS238" s="149"/>
      <c r="AT238" s="149"/>
      <c r="AU238" s="149"/>
      <c r="AV238" s="149"/>
      <c r="AW238" s="149"/>
      <c r="AX238" s="113" t="str">
        <f>'Data Sample'!G234</f>
        <v>P02A285</v>
      </c>
      <c r="AY238" s="113" t="str">
        <f>'Data Sample'!G1243</f>
        <v>V0482518349925</v>
      </c>
      <c r="AZ238" s="113" t="str">
        <f>'Data Sample'!G739</f>
        <v>AU0095-92-956</v>
      </c>
      <c r="BA238" s="118"/>
      <c r="BC238" s="119" t="str">
        <f t="shared" si="17"/>
        <v>P02A285 (223)</v>
      </c>
      <c r="BD238" s="119" t="str">
        <f t="shared" si="18"/>
        <v>V0482518349925 (223)</v>
      </c>
      <c r="BE238" s="119" t="str">
        <f t="shared" si="19"/>
        <v>AU0095-92-956 (223)</v>
      </c>
    </row>
    <row r="239" spans="44:57">
      <c r="AR239" s="112">
        <f t="shared" si="16"/>
        <v>224</v>
      </c>
      <c r="AS239" s="149"/>
      <c r="AT239" s="149"/>
      <c r="AU239" s="149"/>
      <c r="AV239" s="149"/>
      <c r="AW239" s="149"/>
      <c r="AX239" s="113" t="str">
        <f>'Data Sample'!G235</f>
        <v>P02A484</v>
      </c>
      <c r="AY239" s="113" t="str">
        <f>'Data Sample'!G1244</f>
        <v>V0703057145612</v>
      </c>
      <c r="AZ239" s="113" t="str">
        <f>'Data Sample'!G740</f>
        <v>AU0049-58-914</v>
      </c>
      <c r="BA239" s="118"/>
      <c r="BC239" s="119" t="str">
        <f t="shared" si="17"/>
        <v>P02A484 (224)</v>
      </c>
      <c r="BD239" s="119" t="str">
        <f t="shared" si="18"/>
        <v>V0703057145612 (224)</v>
      </c>
      <c r="BE239" s="119" t="str">
        <f t="shared" si="19"/>
        <v>AU0049-58-914 (224)</v>
      </c>
    </row>
    <row r="240" spans="44:57">
      <c r="AR240" s="112">
        <f t="shared" si="16"/>
        <v>225</v>
      </c>
      <c r="AS240" s="149"/>
      <c r="AT240" s="149"/>
      <c r="AU240" s="149"/>
      <c r="AV240" s="149"/>
      <c r="AW240" s="149"/>
      <c r="AX240" s="113" t="str">
        <f>'Data Sample'!G236</f>
        <v>P02A933</v>
      </c>
      <c r="AY240" s="113" t="str">
        <f>'Data Sample'!G1245</f>
        <v>V0530065175295</v>
      </c>
      <c r="AZ240" s="113" t="str">
        <f>'Data Sample'!G741</f>
        <v>AU0073-16-544</v>
      </c>
      <c r="BA240" s="118"/>
      <c r="BC240" s="119" t="str">
        <f t="shared" si="17"/>
        <v>P02A933 (225)</v>
      </c>
      <c r="BD240" s="119" t="str">
        <f t="shared" si="18"/>
        <v>V0530065175295 (225)</v>
      </c>
      <c r="BE240" s="119" t="str">
        <f t="shared" si="19"/>
        <v>AU0073-16-544 (225)</v>
      </c>
    </row>
    <row r="241" spans="44:57">
      <c r="AR241" s="112">
        <f t="shared" si="16"/>
        <v>226</v>
      </c>
      <c r="AS241" s="149"/>
      <c r="AT241" s="149"/>
      <c r="AU241" s="149"/>
      <c r="AV241" s="149"/>
      <c r="AW241" s="149"/>
      <c r="AX241" s="113" t="str">
        <f>'Data Sample'!G237</f>
        <v>P02A309</v>
      </c>
      <c r="AY241" s="113" t="str">
        <f>'Data Sample'!G1246</f>
        <v>V0732412805816</v>
      </c>
      <c r="AZ241" s="113" t="str">
        <f>'Data Sample'!G742</f>
        <v>AU0015-04-526</v>
      </c>
      <c r="BA241" s="118"/>
      <c r="BC241" s="119" t="str">
        <f t="shared" si="17"/>
        <v>P02A309 (226)</v>
      </c>
      <c r="BD241" s="119" t="str">
        <f t="shared" si="18"/>
        <v>V0732412805816 (226)</v>
      </c>
      <c r="BE241" s="119" t="str">
        <f t="shared" si="19"/>
        <v>AU0015-04-526 (226)</v>
      </c>
    </row>
    <row r="242" spans="44:57">
      <c r="AR242" s="112">
        <f t="shared" si="16"/>
        <v>227</v>
      </c>
      <c r="AS242" s="149"/>
      <c r="AT242" s="149"/>
      <c r="AU242" s="149"/>
      <c r="AV242" s="149"/>
      <c r="AW242" s="149"/>
      <c r="AX242" s="113" t="str">
        <f>'Data Sample'!G238</f>
        <v>P02A245</v>
      </c>
      <c r="AY242" s="113" t="str">
        <f>'Data Sample'!G1247</f>
        <v>V0045178419860</v>
      </c>
      <c r="AZ242" s="113" t="str">
        <f>'Data Sample'!G743</f>
        <v>AU0091-08-258</v>
      </c>
      <c r="BA242" s="118"/>
      <c r="BC242" s="119" t="str">
        <f t="shared" si="17"/>
        <v>P02A245 (227)</v>
      </c>
      <c r="BD242" s="119" t="str">
        <f t="shared" si="18"/>
        <v>V0045178419860 (227)</v>
      </c>
      <c r="BE242" s="119" t="str">
        <f t="shared" si="19"/>
        <v>AU0091-08-258 (227)</v>
      </c>
    </row>
    <row r="243" spans="44:57">
      <c r="AR243" s="112">
        <f t="shared" si="16"/>
        <v>228</v>
      </c>
      <c r="AS243" s="149"/>
      <c r="AT243" s="149"/>
      <c r="AU243" s="149"/>
      <c r="AV243" s="149"/>
      <c r="AW243" s="149"/>
      <c r="AX243" s="113" t="str">
        <f>'Data Sample'!G239</f>
        <v>P02A392</v>
      </c>
      <c r="AY243" s="113" t="str">
        <f>'Data Sample'!G1248</f>
        <v>V0323351098092</v>
      </c>
      <c r="AZ243" s="113" t="str">
        <f>'Data Sample'!G744</f>
        <v>AU0074-72-923</v>
      </c>
      <c r="BA243" s="118"/>
      <c r="BC243" s="119" t="str">
        <f t="shared" si="17"/>
        <v>P02A392 (228)</v>
      </c>
      <c r="BD243" s="119" t="str">
        <f t="shared" si="18"/>
        <v>V0323351098092 (228)</v>
      </c>
      <c r="BE243" s="119" t="str">
        <f t="shared" si="19"/>
        <v>AU0074-72-923 (228)</v>
      </c>
    </row>
    <row r="244" spans="44:57">
      <c r="AR244" s="112">
        <f t="shared" si="16"/>
        <v>229</v>
      </c>
      <c r="AS244" s="149"/>
      <c r="AT244" s="149"/>
      <c r="AU244" s="149"/>
      <c r="AV244" s="149"/>
      <c r="AW244" s="149"/>
      <c r="AX244" s="113" t="str">
        <f>'Data Sample'!G240</f>
        <v>P02A195</v>
      </c>
      <c r="AY244" s="113" t="str">
        <f>'Data Sample'!G1249</f>
        <v>V0142804526140</v>
      </c>
      <c r="AZ244" s="113" t="str">
        <f>'Data Sample'!G745</f>
        <v>AU0028-14-374</v>
      </c>
      <c r="BA244" s="118"/>
      <c r="BC244" s="119" t="str">
        <f t="shared" si="17"/>
        <v>P02A195 (229)</v>
      </c>
      <c r="BD244" s="119" t="str">
        <f t="shared" si="18"/>
        <v>V0142804526140 (229)</v>
      </c>
      <c r="BE244" s="119" t="str">
        <f t="shared" si="19"/>
        <v>AU0028-14-374 (229)</v>
      </c>
    </row>
    <row r="245" spans="44:57">
      <c r="AR245" s="112">
        <f t="shared" si="16"/>
        <v>230</v>
      </c>
      <c r="AS245" s="149"/>
      <c r="AT245" s="149"/>
      <c r="AU245" s="149"/>
      <c r="AV245" s="149"/>
      <c r="AW245" s="149"/>
      <c r="AX245" s="113" t="str">
        <f>'Data Sample'!G241</f>
        <v>P02A293</v>
      </c>
      <c r="AY245" s="113" t="str">
        <f>'Data Sample'!G1250</f>
        <v>V0649602665548</v>
      </c>
      <c r="AZ245" s="113" t="str">
        <f>'Data Sample'!G746</f>
        <v>AU0077-49-874</v>
      </c>
      <c r="BA245" s="118"/>
      <c r="BC245" s="119" t="str">
        <f t="shared" si="17"/>
        <v>P02A293 (230)</v>
      </c>
      <c r="BD245" s="119" t="str">
        <f t="shared" si="18"/>
        <v>V0649602665548 (230)</v>
      </c>
      <c r="BE245" s="119" t="str">
        <f t="shared" si="19"/>
        <v>AU0077-49-874 (230)</v>
      </c>
    </row>
    <row r="246" spans="44:57">
      <c r="AR246" s="112">
        <f t="shared" si="16"/>
        <v>231</v>
      </c>
      <c r="AS246" s="149"/>
      <c r="AT246" s="149"/>
      <c r="AU246" s="149"/>
      <c r="AV246" s="149"/>
      <c r="AW246" s="149"/>
      <c r="AX246" s="113" t="str">
        <f>'Data Sample'!G242</f>
        <v>P02A710</v>
      </c>
      <c r="AY246" s="113" t="str">
        <f>'Data Sample'!G1251</f>
        <v>V0837905401583</v>
      </c>
      <c r="AZ246" s="113" t="str">
        <f>'Data Sample'!G747</f>
        <v>AU0019-88-920</v>
      </c>
      <c r="BA246" s="118"/>
      <c r="BC246" s="119" t="str">
        <f t="shared" si="17"/>
        <v>P02A710 (231)</v>
      </c>
      <c r="BD246" s="119" t="str">
        <f t="shared" si="18"/>
        <v>V0837905401583 (231)</v>
      </c>
      <c r="BE246" s="119" t="str">
        <f t="shared" si="19"/>
        <v>AU0019-88-920 (231)</v>
      </c>
    </row>
    <row r="247" spans="44:57">
      <c r="AR247" s="112">
        <f t="shared" si="16"/>
        <v>232</v>
      </c>
      <c r="AS247" s="149"/>
      <c r="AT247" s="149"/>
      <c r="AU247" s="149"/>
      <c r="AV247" s="149"/>
      <c r="AW247" s="149"/>
      <c r="AX247" s="113" t="str">
        <f>'Data Sample'!G243</f>
        <v>P02A637</v>
      </c>
      <c r="AY247" s="113" t="str">
        <f>'Data Sample'!G1252</f>
        <v>V0419847225526</v>
      </c>
      <c r="AZ247" s="113" t="str">
        <f>'Data Sample'!G748</f>
        <v>AU0025-99-998</v>
      </c>
      <c r="BA247" s="118"/>
      <c r="BC247" s="119" t="str">
        <f t="shared" si="17"/>
        <v>P02A637 (232)</v>
      </c>
      <c r="BD247" s="119" t="str">
        <f t="shared" si="18"/>
        <v>V0419847225526 (232)</v>
      </c>
      <c r="BE247" s="119" t="str">
        <f t="shared" si="19"/>
        <v>AU0025-99-998 (232)</v>
      </c>
    </row>
    <row r="248" spans="44:57">
      <c r="AR248" s="112">
        <f t="shared" si="16"/>
        <v>233</v>
      </c>
      <c r="AS248" s="149"/>
      <c r="AT248" s="149"/>
      <c r="AU248" s="149"/>
      <c r="AV248" s="149"/>
      <c r="AW248" s="149"/>
      <c r="AX248" s="113" t="str">
        <f>'Data Sample'!G244</f>
        <v>P02A967</v>
      </c>
      <c r="AY248" s="113" t="str">
        <f>'Data Sample'!G1253</f>
        <v>V0767543859832</v>
      </c>
      <c r="AZ248" s="113" t="str">
        <f>'Data Sample'!G749</f>
        <v>AU0052-21-398</v>
      </c>
      <c r="BA248" s="118"/>
      <c r="BC248" s="119" t="str">
        <f t="shared" si="17"/>
        <v>P02A967 (233)</v>
      </c>
      <c r="BD248" s="119" t="str">
        <f t="shared" si="18"/>
        <v>V0767543859832 (233)</v>
      </c>
      <c r="BE248" s="119" t="str">
        <f t="shared" si="19"/>
        <v>AU0052-21-398 (233)</v>
      </c>
    </row>
    <row r="249" spans="44:57">
      <c r="AR249" s="112">
        <f t="shared" si="16"/>
        <v>234</v>
      </c>
      <c r="AS249" s="149"/>
      <c r="AT249" s="149"/>
      <c r="AU249" s="149"/>
      <c r="AV249" s="149"/>
      <c r="AW249" s="149"/>
      <c r="AX249" s="113" t="str">
        <f>'Data Sample'!G245</f>
        <v>P02A916</v>
      </c>
      <c r="AY249" s="113" t="str">
        <f>'Data Sample'!G1254</f>
        <v>V0529333522682</v>
      </c>
      <c r="AZ249" s="113" t="str">
        <f>'Data Sample'!G750</f>
        <v>AU0012-27-966</v>
      </c>
      <c r="BA249" s="118"/>
      <c r="BC249" s="119" t="str">
        <f t="shared" si="17"/>
        <v>P02A916 (234)</v>
      </c>
      <c r="BD249" s="119" t="str">
        <f t="shared" si="18"/>
        <v>V0529333522682 (234)</v>
      </c>
      <c r="BE249" s="119" t="str">
        <f t="shared" si="19"/>
        <v>AU0012-27-966 (234)</v>
      </c>
    </row>
    <row r="250" spans="44:57">
      <c r="AR250" s="112">
        <f t="shared" si="16"/>
        <v>235</v>
      </c>
      <c r="AS250" s="149"/>
      <c r="AT250" s="149"/>
      <c r="AU250" s="149"/>
      <c r="AV250" s="149"/>
      <c r="AW250" s="149"/>
      <c r="AX250" s="113" t="str">
        <f>'Data Sample'!G246</f>
        <v>P02A246</v>
      </c>
      <c r="AY250" s="113" t="str">
        <f>'Data Sample'!G1255</f>
        <v>V0376647872301</v>
      </c>
      <c r="AZ250" s="113" t="str">
        <f>'Data Sample'!G751</f>
        <v>AU0083-90-206</v>
      </c>
      <c r="BA250" s="118"/>
      <c r="BC250" s="119" t="str">
        <f t="shared" si="17"/>
        <v>P02A246 (235)</v>
      </c>
      <c r="BD250" s="119" t="str">
        <f t="shared" si="18"/>
        <v>V0376647872301 (235)</v>
      </c>
      <c r="BE250" s="119" t="str">
        <f t="shared" si="19"/>
        <v>AU0083-90-206 (235)</v>
      </c>
    </row>
    <row r="251" spans="44:57">
      <c r="AR251" s="112">
        <f t="shared" si="16"/>
        <v>236</v>
      </c>
      <c r="AS251" s="149"/>
      <c r="AT251" s="149"/>
      <c r="AU251" s="149"/>
      <c r="AV251" s="149"/>
      <c r="AW251" s="149"/>
      <c r="AX251" s="113" t="str">
        <f>'Data Sample'!G247</f>
        <v>P02A596</v>
      </c>
      <c r="AY251" s="113" t="str">
        <f>'Data Sample'!G1256</f>
        <v>V0779253655901</v>
      </c>
      <c r="AZ251" s="113" t="str">
        <f>'Data Sample'!G752</f>
        <v>AU0071-44-187</v>
      </c>
      <c r="BA251" s="118"/>
      <c r="BC251" s="119" t="str">
        <f t="shared" si="17"/>
        <v>P02A596 (236)</v>
      </c>
      <c r="BD251" s="119" t="str">
        <f t="shared" si="18"/>
        <v>V0779253655901 (236)</v>
      </c>
      <c r="BE251" s="119" t="str">
        <f t="shared" si="19"/>
        <v>AU0071-44-187 (236)</v>
      </c>
    </row>
    <row r="252" spans="44:57">
      <c r="AR252" s="112">
        <f t="shared" si="16"/>
        <v>237</v>
      </c>
      <c r="AS252" s="149"/>
      <c r="AT252" s="149"/>
      <c r="AU252" s="149"/>
      <c r="AV252" s="149"/>
      <c r="AW252" s="149"/>
      <c r="AX252" s="113" t="str">
        <f>'Data Sample'!G248</f>
        <v>P02A186</v>
      </c>
      <c r="AY252" s="113" t="str">
        <f>'Data Sample'!G1257</f>
        <v>V0122849654577</v>
      </c>
      <c r="AZ252" s="113" t="str">
        <f>'Data Sample'!G753</f>
        <v>AU0067-39-626</v>
      </c>
      <c r="BA252" s="118"/>
      <c r="BC252" s="119" t="str">
        <f t="shared" si="17"/>
        <v>P02A186 (237)</v>
      </c>
      <c r="BD252" s="119" t="str">
        <f t="shared" si="18"/>
        <v>V0122849654577 (237)</v>
      </c>
      <c r="BE252" s="119" t="str">
        <f t="shared" si="19"/>
        <v>AU0067-39-626 (237)</v>
      </c>
    </row>
    <row r="253" spans="44:57">
      <c r="AR253" s="112">
        <f t="shared" si="16"/>
        <v>238</v>
      </c>
      <c r="AS253" s="149"/>
      <c r="AT253" s="149"/>
      <c r="AU253" s="149"/>
      <c r="AV253" s="149"/>
      <c r="AW253" s="149"/>
      <c r="AX253" s="113" t="str">
        <f>'Data Sample'!G249</f>
        <v>P02A364</v>
      </c>
      <c r="AY253" s="113" t="str">
        <f>'Data Sample'!G1258</f>
        <v>V0127753804393</v>
      </c>
      <c r="AZ253" s="113" t="str">
        <f>'Data Sample'!G754</f>
        <v>AU0029-23-169</v>
      </c>
      <c r="BA253" s="118"/>
      <c r="BC253" s="119" t="str">
        <f t="shared" si="17"/>
        <v>P02A364 (238)</v>
      </c>
      <c r="BD253" s="119" t="str">
        <f t="shared" si="18"/>
        <v>V0127753804393 (238)</v>
      </c>
      <c r="BE253" s="119" t="str">
        <f t="shared" si="19"/>
        <v>AU0029-23-169 (238)</v>
      </c>
    </row>
    <row r="254" spans="44:57">
      <c r="AR254" s="112">
        <f t="shared" si="16"/>
        <v>239</v>
      </c>
      <c r="AS254" s="149"/>
      <c r="AT254" s="149"/>
      <c r="AU254" s="149"/>
      <c r="AV254" s="149"/>
      <c r="AW254" s="149"/>
      <c r="AX254" s="113" t="str">
        <f>'Data Sample'!G250</f>
        <v>P02A400</v>
      </c>
      <c r="AY254" s="113" t="str">
        <f>'Data Sample'!G1259</f>
        <v>V0399386769685</v>
      </c>
      <c r="AZ254" s="113" t="str">
        <f>'Data Sample'!G755</f>
        <v>AU0071-08-767</v>
      </c>
      <c r="BA254" s="118"/>
      <c r="BC254" s="119" t="str">
        <f t="shared" si="17"/>
        <v>P02A400 (239)</v>
      </c>
      <c r="BD254" s="119" t="str">
        <f t="shared" si="18"/>
        <v>V0399386769685 (239)</v>
      </c>
      <c r="BE254" s="119" t="str">
        <f t="shared" si="19"/>
        <v>AU0071-08-767 (239)</v>
      </c>
    </row>
    <row r="255" spans="44:57">
      <c r="AR255" s="112">
        <f t="shared" si="16"/>
        <v>240</v>
      </c>
      <c r="AS255" s="149"/>
      <c r="AT255" s="149"/>
      <c r="AU255" s="149"/>
      <c r="AV255" s="149"/>
      <c r="AW255" s="149"/>
      <c r="AX255" s="113" t="str">
        <f>'Data Sample'!G251</f>
        <v>P02A332</v>
      </c>
      <c r="AY255" s="113" t="str">
        <f>'Data Sample'!G1260</f>
        <v>V0305858770852</v>
      </c>
      <c r="AZ255" s="113" t="str">
        <f>'Data Sample'!G756</f>
        <v>AU0068-69-160</v>
      </c>
      <c r="BA255" s="118"/>
      <c r="BC255" s="119" t="str">
        <f t="shared" si="17"/>
        <v>P02A332 (240)</v>
      </c>
      <c r="BD255" s="119" t="str">
        <f t="shared" si="18"/>
        <v>V0305858770852 (240)</v>
      </c>
      <c r="BE255" s="119" t="str">
        <f t="shared" si="19"/>
        <v>AU0068-69-160 (240)</v>
      </c>
    </row>
    <row r="256" spans="44:57">
      <c r="AR256" s="112">
        <f t="shared" si="16"/>
        <v>241</v>
      </c>
      <c r="AS256" s="149"/>
      <c r="AT256" s="149"/>
      <c r="AU256" s="149"/>
      <c r="AV256" s="149"/>
      <c r="AW256" s="149"/>
      <c r="AX256" s="113" t="str">
        <f>'Data Sample'!G252</f>
        <v>P02A217</v>
      </c>
      <c r="AY256" s="113" t="str">
        <f>'Data Sample'!G1261</f>
        <v>V0887142011737</v>
      </c>
      <c r="AZ256" s="113" t="str">
        <f>'Data Sample'!G757</f>
        <v>AU0000-44-773</v>
      </c>
      <c r="BA256" s="118"/>
      <c r="BC256" s="119" t="str">
        <f t="shared" si="17"/>
        <v>P02A217 (241)</v>
      </c>
      <c r="BD256" s="119" t="str">
        <f t="shared" si="18"/>
        <v>V0887142011737 (241)</v>
      </c>
      <c r="BE256" s="119" t="str">
        <f t="shared" si="19"/>
        <v>AU0000-44-773 (241)</v>
      </c>
    </row>
    <row r="257" spans="44:57">
      <c r="AR257" s="112">
        <f t="shared" si="16"/>
        <v>242</v>
      </c>
      <c r="AS257" s="149"/>
      <c r="AT257" s="149"/>
      <c r="AU257" s="149"/>
      <c r="AV257" s="149"/>
      <c r="AW257" s="149"/>
      <c r="AX257" s="113" t="str">
        <f>'Data Sample'!G253</f>
        <v>P02A825</v>
      </c>
      <c r="AY257" s="113" t="str">
        <f>'Data Sample'!G1262</f>
        <v>V0832474791706</v>
      </c>
      <c r="AZ257" s="113" t="str">
        <f>'Data Sample'!G758</f>
        <v>AU0002-21-260</v>
      </c>
      <c r="BA257" s="118"/>
      <c r="BC257" s="119" t="str">
        <f t="shared" si="17"/>
        <v>P02A825 (242)</v>
      </c>
      <c r="BD257" s="119" t="str">
        <f t="shared" si="18"/>
        <v>V0832474791706 (242)</v>
      </c>
      <c r="BE257" s="119" t="str">
        <f t="shared" si="19"/>
        <v>AU0002-21-260 (242)</v>
      </c>
    </row>
    <row r="258" spans="44:57">
      <c r="AR258" s="112">
        <f t="shared" si="16"/>
        <v>243</v>
      </c>
      <c r="AS258" s="149"/>
      <c r="AT258" s="149"/>
      <c r="AU258" s="149"/>
      <c r="AV258" s="149"/>
      <c r="AW258" s="149"/>
      <c r="AX258" s="113" t="str">
        <f>'Data Sample'!G254</f>
        <v>P02A784</v>
      </c>
      <c r="AY258" s="113" t="str">
        <f>'Data Sample'!G1263</f>
        <v>V0889238951729</v>
      </c>
      <c r="AZ258" s="113" t="str">
        <f>'Data Sample'!G759</f>
        <v>AU0072-68-837</v>
      </c>
      <c r="BA258" s="118"/>
      <c r="BC258" s="119" t="str">
        <f t="shared" si="17"/>
        <v>P02A784 (243)</v>
      </c>
      <c r="BD258" s="119" t="str">
        <f t="shared" si="18"/>
        <v>V0889238951729 (243)</v>
      </c>
      <c r="BE258" s="119" t="str">
        <f t="shared" si="19"/>
        <v>AU0072-68-837 (243)</v>
      </c>
    </row>
    <row r="259" spans="44:57">
      <c r="AR259" s="112">
        <f t="shared" si="16"/>
        <v>244</v>
      </c>
      <c r="AS259" s="149"/>
      <c r="AT259" s="149"/>
      <c r="AU259" s="149"/>
      <c r="AV259" s="149"/>
      <c r="AW259" s="149"/>
      <c r="AX259" s="113" t="str">
        <f>'Data Sample'!G255</f>
        <v>P02A283</v>
      </c>
      <c r="AY259" s="113" t="str">
        <f>'Data Sample'!G1264</f>
        <v>V0030237455795</v>
      </c>
      <c r="AZ259" s="113" t="str">
        <f>'Data Sample'!G760</f>
        <v>AU0047-68-886</v>
      </c>
      <c r="BA259" s="118"/>
      <c r="BC259" s="119" t="str">
        <f t="shared" si="17"/>
        <v>P02A283 (244)</v>
      </c>
      <c r="BD259" s="119" t="str">
        <f t="shared" si="18"/>
        <v>V0030237455795 (244)</v>
      </c>
      <c r="BE259" s="119" t="str">
        <f t="shared" si="19"/>
        <v>AU0047-68-886 (244)</v>
      </c>
    </row>
    <row r="260" spans="44:57">
      <c r="AR260" s="112">
        <f t="shared" si="16"/>
        <v>245</v>
      </c>
      <c r="AS260" s="149"/>
      <c r="AT260" s="149"/>
      <c r="AU260" s="149"/>
      <c r="AV260" s="149"/>
      <c r="AW260" s="149"/>
      <c r="AX260" s="113" t="str">
        <f>'Data Sample'!G256</f>
        <v>P02A135</v>
      </c>
      <c r="AY260" s="113" t="str">
        <f>'Data Sample'!G1265</f>
        <v>V0893476237787</v>
      </c>
      <c r="AZ260" s="113" t="str">
        <f>'Data Sample'!G761</f>
        <v>AU0056-00-024</v>
      </c>
      <c r="BA260" s="118"/>
      <c r="BC260" s="119" t="str">
        <f t="shared" si="17"/>
        <v>P02A135 (245)</v>
      </c>
      <c r="BD260" s="119" t="str">
        <f t="shared" si="18"/>
        <v>V0893476237787 (245)</v>
      </c>
      <c r="BE260" s="119" t="str">
        <f t="shared" si="19"/>
        <v>AU0056-00-024 (245)</v>
      </c>
    </row>
    <row r="261" spans="44:57">
      <c r="AR261" s="112">
        <f t="shared" si="16"/>
        <v>246</v>
      </c>
      <c r="AS261" s="149"/>
      <c r="AT261" s="149"/>
      <c r="AU261" s="149"/>
      <c r="AV261" s="149"/>
      <c r="AW261" s="149"/>
      <c r="AX261" s="113" t="str">
        <f>'Data Sample'!G257</f>
        <v>P02A304</v>
      </c>
      <c r="AY261" s="113" t="str">
        <f>'Data Sample'!G1266</f>
        <v>V0048260430620</v>
      </c>
      <c r="AZ261" s="113" t="str">
        <f>'Data Sample'!G762</f>
        <v>AU0037-99-041</v>
      </c>
      <c r="BA261" s="118"/>
      <c r="BC261" s="119" t="str">
        <f t="shared" si="17"/>
        <v>P02A304 (246)</v>
      </c>
      <c r="BD261" s="119" t="str">
        <f t="shared" si="18"/>
        <v>V0048260430620 (246)</v>
      </c>
      <c r="BE261" s="119" t="str">
        <f t="shared" si="19"/>
        <v>AU0037-99-041 (246)</v>
      </c>
    </row>
    <row r="262" spans="44:57">
      <c r="AR262" s="112">
        <f t="shared" si="16"/>
        <v>247</v>
      </c>
      <c r="AS262" s="149"/>
      <c r="AT262" s="149"/>
      <c r="AU262" s="149"/>
      <c r="AV262" s="149"/>
      <c r="AW262" s="149"/>
      <c r="AX262" s="113" t="str">
        <f>'Data Sample'!G258</f>
        <v>P02A397</v>
      </c>
      <c r="AY262" s="113" t="str">
        <f>'Data Sample'!G1267</f>
        <v>V0419620560458</v>
      </c>
      <c r="AZ262" s="113" t="str">
        <f>'Data Sample'!G763</f>
        <v>AU0051-14-854</v>
      </c>
      <c r="BA262" s="118"/>
      <c r="BC262" s="119" t="str">
        <f t="shared" si="17"/>
        <v>P02A397 (247)</v>
      </c>
      <c r="BD262" s="119" t="str">
        <f t="shared" si="18"/>
        <v>V0419620560458 (247)</v>
      </c>
      <c r="BE262" s="119" t="str">
        <f t="shared" si="19"/>
        <v>AU0051-14-854 (247)</v>
      </c>
    </row>
    <row r="263" spans="44:57">
      <c r="AR263" s="112">
        <f t="shared" si="16"/>
        <v>248</v>
      </c>
      <c r="AS263" s="149"/>
      <c r="AT263" s="149"/>
      <c r="AU263" s="149"/>
      <c r="AV263" s="149"/>
      <c r="AW263" s="149"/>
      <c r="AX263" s="113" t="str">
        <f>'Data Sample'!G259</f>
        <v>P02A229</v>
      </c>
      <c r="AY263" s="113" t="str">
        <f>'Data Sample'!G1268</f>
        <v>V0054775992052</v>
      </c>
      <c r="AZ263" s="113" t="str">
        <f>'Data Sample'!G764</f>
        <v>AU0071-55-255</v>
      </c>
      <c r="BA263" s="118"/>
      <c r="BC263" s="119" t="str">
        <f t="shared" si="17"/>
        <v>P02A229 (248)</v>
      </c>
      <c r="BD263" s="119" t="str">
        <f t="shared" si="18"/>
        <v>V0054775992052 (248)</v>
      </c>
      <c r="BE263" s="119" t="str">
        <f t="shared" si="19"/>
        <v>AU0071-55-255 (248)</v>
      </c>
    </row>
    <row r="264" spans="44:57">
      <c r="AR264" s="112">
        <f t="shared" si="16"/>
        <v>249</v>
      </c>
      <c r="AS264" s="149"/>
      <c r="AT264" s="149"/>
      <c r="AU264" s="149"/>
      <c r="AV264" s="149"/>
      <c r="AW264" s="149"/>
      <c r="AX264" s="113" t="str">
        <f>'Data Sample'!G260</f>
        <v>P02A85</v>
      </c>
      <c r="AY264" s="113" t="str">
        <f>'Data Sample'!G1269</f>
        <v>V0148175319666</v>
      </c>
      <c r="AZ264" s="113" t="str">
        <f>'Data Sample'!G765</f>
        <v>AU0063-96-116</v>
      </c>
      <c r="BA264" s="118"/>
      <c r="BC264" s="119" t="str">
        <f t="shared" si="17"/>
        <v>P02A85 (249)</v>
      </c>
      <c r="BD264" s="119" t="str">
        <f t="shared" si="18"/>
        <v>V0148175319666 (249)</v>
      </c>
      <c r="BE264" s="119" t="str">
        <f t="shared" si="19"/>
        <v>AU0063-96-116 (249)</v>
      </c>
    </row>
    <row r="265" spans="44:57">
      <c r="AR265" s="112">
        <f t="shared" si="16"/>
        <v>250</v>
      </c>
      <c r="AS265" s="149"/>
      <c r="AT265" s="149"/>
      <c r="AU265" s="149"/>
      <c r="AV265" s="149"/>
      <c r="AW265" s="149"/>
      <c r="AX265" s="113" t="str">
        <f>'Data Sample'!G261</f>
        <v>P02A478</v>
      </c>
      <c r="AY265" s="113" t="str">
        <f>'Data Sample'!G1270</f>
        <v>V0028161588531</v>
      </c>
      <c r="AZ265" s="113" t="str">
        <f>'Data Sample'!G766</f>
        <v>AU0001-60-138</v>
      </c>
      <c r="BA265" s="118"/>
      <c r="BC265" s="119" t="str">
        <f t="shared" si="17"/>
        <v>P02A478 (250)</v>
      </c>
      <c r="BD265" s="119" t="str">
        <f t="shared" si="18"/>
        <v>V0028161588531 (250)</v>
      </c>
      <c r="BE265" s="119" t="str">
        <f t="shared" si="19"/>
        <v>AU0001-60-138 (250)</v>
      </c>
    </row>
    <row r="266" spans="44:57">
      <c r="AR266" s="112">
        <f t="shared" si="16"/>
        <v>251</v>
      </c>
      <c r="AS266" s="149"/>
      <c r="AT266" s="149"/>
      <c r="AU266" s="149"/>
      <c r="AV266" s="149"/>
      <c r="AW266" s="149"/>
      <c r="AX266" s="113" t="str">
        <f>'Data Sample'!G262</f>
        <v>P02A218</v>
      </c>
      <c r="AY266" s="113" t="str">
        <f>'Data Sample'!G1271</f>
        <v>V0089553292840</v>
      </c>
      <c r="AZ266" s="113" t="str">
        <f>'Data Sample'!G767</f>
        <v>AU0050-00-510</v>
      </c>
      <c r="BA266" s="118"/>
      <c r="BC266" s="119" t="str">
        <f t="shared" si="17"/>
        <v>P02A218 (251)</v>
      </c>
      <c r="BD266" s="119" t="str">
        <f t="shared" si="18"/>
        <v>V0089553292840 (251)</v>
      </c>
      <c r="BE266" s="119" t="str">
        <f t="shared" si="19"/>
        <v>AU0050-00-510 (251)</v>
      </c>
    </row>
    <row r="267" spans="44:57">
      <c r="AR267" s="112">
        <f t="shared" si="16"/>
        <v>252</v>
      </c>
      <c r="AS267" s="149"/>
      <c r="AT267" s="149"/>
      <c r="AU267" s="149"/>
      <c r="AV267" s="149"/>
      <c r="AW267" s="149"/>
      <c r="AX267" s="113" t="str">
        <f>'Data Sample'!G263</f>
        <v>P02A314</v>
      </c>
      <c r="AY267" s="113" t="str">
        <f>'Data Sample'!G1272</f>
        <v>V0620799035885</v>
      </c>
      <c r="AZ267" s="113" t="str">
        <f>'Data Sample'!G768</f>
        <v>AU0035-69-487</v>
      </c>
      <c r="BA267" s="118"/>
      <c r="BC267" s="119" t="str">
        <f t="shared" si="17"/>
        <v>P02A314 (252)</v>
      </c>
      <c r="BD267" s="119" t="str">
        <f t="shared" si="18"/>
        <v>V0620799035885 (252)</v>
      </c>
      <c r="BE267" s="119" t="str">
        <f t="shared" si="19"/>
        <v>AU0035-69-487 (252)</v>
      </c>
    </row>
    <row r="268" spans="44:57">
      <c r="AR268" s="112">
        <f t="shared" si="16"/>
        <v>253</v>
      </c>
      <c r="AS268" s="149"/>
      <c r="AT268" s="149"/>
      <c r="AU268" s="149"/>
      <c r="AV268" s="149"/>
      <c r="AW268" s="149"/>
      <c r="AX268" s="113" t="str">
        <f>'Data Sample'!G264</f>
        <v>P02A373</v>
      </c>
      <c r="AY268" s="113" t="str">
        <f>'Data Sample'!G1273</f>
        <v>V0191369878559</v>
      </c>
      <c r="AZ268" s="113" t="str">
        <f>'Data Sample'!G769</f>
        <v>AU0009-84-359</v>
      </c>
      <c r="BA268" s="118"/>
      <c r="BC268" s="119" t="str">
        <f t="shared" si="17"/>
        <v>P02A373 (253)</v>
      </c>
      <c r="BD268" s="119" t="str">
        <f t="shared" si="18"/>
        <v>V0191369878559 (253)</v>
      </c>
      <c r="BE268" s="119" t="str">
        <f t="shared" si="19"/>
        <v>AU0009-84-359 (253)</v>
      </c>
    </row>
    <row r="269" spans="44:57">
      <c r="AR269" s="112">
        <f t="shared" si="16"/>
        <v>254</v>
      </c>
      <c r="AS269" s="149"/>
      <c r="AT269" s="149"/>
      <c r="AU269" s="149"/>
      <c r="AV269" s="149"/>
      <c r="AW269" s="149"/>
      <c r="AX269" s="113" t="str">
        <f>'Data Sample'!G265</f>
        <v>P02A329</v>
      </c>
      <c r="AY269" s="113" t="str">
        <f>'Data Sample'!G1274</f>
        <v>V0794857145923</v>
      </c>
      <c r="AZ269" s="113" t="str">
        <f>'Data Sample'!G770</f>
        <v>AU0076-46-776</v>
      </c>
      <c r="BA269" s="118"/>
      <c r="BC269" s="119" t="str">
        <f t="shared" si="17"/>
        <v>P02A329 (254)</v>
      </c>
      <c r="BD269" s="119" t="str">
        <f t="shared" si="18"/>
        <v>V0794857145923 (254)</v>
      </c>
      <c r="BE269" s="119" t="str">
        <f t="shared" si="19"/>
        <v>AU0076-46-776 (254)</v>
      </c>
    </row>
    <row r="270" spans="44:57">
      <c r="AR270" s="112">
        <f t="shared" si="16"/>
        <v>255</v>
      </c>
      <c r="AS270" s="149"/>
      <c r="AT270" s="149"/>
      <c r="AU270" s="149"/>
      <c r="AV270" s="149"/>
      <c r="AW270" s="149"/>
      <c r="AX270" s="113" t="str">
        <f>'Data Sample'!G266</f>
        <v>P02A469</v>
      </c>
      <c r="AY270" s="113" t="str">
        <f>'Data Sample'!G1275</f>
        <v>V0955334638080</v>
      </c>
      <c r="AZ270" s="113" t="str">
        <f>'Data Sample'!G771</f>
        <v>AU0098-35-373</v>
      </c>
      <c r="BA270" s="118"/>
      <c r="BC270" s="119" t="str">
        <f t="shared" si="17"/>
        <v>P02A469 (255)</v>
      </c>
      <c r="BD270" s="119" t="str">
        <f t="shared" si="18"/>
        <v>V0955334638080 (255)</v>
      </c>
      <c r="BE270" s="119" t="str">
        <f t="shared" si="19"/>
        <v>AU0098-35-373 (255)</v>
      </c>
    </row>
    <row r="271" spans="44:57">
      <c r="AR271" s="112">
        <f t="shared" si="16"/>
        <v>256</v>
      </c>
      <c r="AS271" s="149"/>
      <c r="AT271" s="149"/>
      <c r="AU271" s="149"/>
      <c r="AV271" s="149"/>
      <c r="AW271" s="149"/>
      <c r="AX271" s="113" t="str">
        <f>'Data Sample'!G267</f>
        <v>P02A975</v>
      </c>
      <c r="AY271" s="113" t="str">
        <f>'Data Sample'!G1276</f>
        <v>V0796216898767</v>
      </c>
      <c r="AZ271" s="113" t="str">
        <f>'Data Sample'!G772</f>
        <v>AU0026-57-035</v>
      </c>
      <c r="BA271" s="118"/>
      <c r="BC271" s="119" t="str">
        <f t="shared" si="17"/>
        <v>P02A975 (256)</v>
      </c>
      <c r="BD271" s="119" t="str">
        <f t="shared" si="18"/>
        <v>V0796216898767 (256)</v>
      </c>
      <c r="BE271" s="119" t="str">
        <f t="shared" si="19"/>
        <v>AU0026-57-035 (256)</v>
      </c>
    </row>
    <row r="272" spans="44:57">
      <c r="AR272" s="112">
        <f t="shared" ref="AR272:AR335" si="20">1+AR271</f>
        <v>257</v>
      </c>
      <c r="AS272" s="149"/>
      <c r="AT272" s="149"/>
      <c r="AU272" s="149"/>
      <c r="AV272" s="149"/>
      <c r="AW272" s="149"/>
      <c r="AX272" s="113" t="str">
        <f>'Data Sample'!G268</f>
        <v>P02A486</v>
      </c>
      <c r="AY272" s="113" t="str">
        <f>'Data Sample'!G1277</f>
        <v>V0416078908669</v>
      </c>
      <c r="AZ272" s="113" t="str">
        <f>'Data Sample'!G773</f>
        <v>AU0045-14-004</v>
      </c>
      <c r="BA272" s="118"/>
      <c r="BC272" s="119" t="str">
        <f t="shared" ref="BC272:BC335" si="21">AX272 &amp; " ("&amp; $AR272 &amp; ")"</f>
        <v>P02A486 (257)</v>
      </c>
      <c r="BD272" s="119" t="str">
        <f t="shared" ref="BD272:BD335" si="22">AY272 &amp; " ("&amp; $AR272 &amp; ")"</f>
        <v>V0416078908669 (257)</v>
      </c>
      <c r="BE272" s="119" t="str">
        <f t="shared" ref="BE272:BE335" si="23">AZ272 &amp; " ("&amp; $AR272 &amp; ")"</f>
        <v>AU0045-14-004 (257)</v>
      </c>
    </row>
    <row r="273" spans="44:57">
      <c r="AR273" s="112">
        <f t="shared" si="20"/>
        <v>258</v>
      </c>
      <c r="AS273" s="149"/>
      <c r="AT273" s="149"/>
      <c r="AU273" s="149"/>
      <c r="AV273" s="149"/>
      <c r="AW273" s="149"/>
      <c r="AX273" s="113" t="str">
        <f>'Data Sample'!G269</f>
        <v>P02A177</v>
      </c>
      <c r="AY273" s="113" t="str">
        <f>'Data Sample'!G1278</f>
        <v>V0409834114131</v>
      </c>
      <c r="AZ273" s="113" t="str">
        <f>'Data Sample'!G774</f>
        <v>AU0055-81-348</v>
      </c>
      <c r="BA273" s="118"/>
      <c r="BC273" s="119" t="str">
        <f t="shared" si="21"/>
        <v>P02A177 (258)</v>
      </c>
      <c r="BD273" s="119" t="str">
        <f t="shared" si="22"/>
        <v>V0409834114131 (258)</v>
      </c>
      <c r="BE273" s="119" t="str">
        <f t="shared" si="23"/>
        <v>AU0055-81-348 (258)</v>
      </c>
    </row>
    <row r="274" spans="44:57">
      <c r="AR274" s="112">
        <f t="shared" si="20"/>
        <v>259</v>
      </c>
      <c r="AS274" s="149"/>
      <c r="AT274" s="149"/>
      <c r="AU274" s="149"/>
      <c r="AV274" s="149"/>
      <c r="AW274" s="149"/>
      <c r="AX274" s="113" t="str">
        <f>'Data Sample'!G270</f>
        <v>P02A137</v>
      </c>
      <c r="AY274" s="113" t="str">
        <f>'Data Sample'!G1279</f>
        <v>V0805892564409</v>
      </c>
      <c r="AZ274" s="113" t="str">
        <f>'Data Sample'!G775</f>
        <v>AU0067-71-323</v>
      </c>
      <c r="BA274" s="118"/>
      <c r="BC274" s="119" t="str">
        <f t="shared" si="21"/>
        <v>P02A137 (259)</v>
      </c>
      <c r="BD274" s="119" t="str">
        <f t="shared" si="22"/>
        <v>V0805892564409 (259)</v>
      </c>
      <c r="BE274" s="119" t="str">
        <f t="shared" si="23"/>
        <v>AU0067-71-323 (259)</v>
      </c>
    </row>
    <row r="275" spans="44:57">
      <c r="AR275" s="112">
        <f t="shared" si="20"/>
        <v>260</v>
      </c>
      <c r="AS275" s="149"/>
      <c r="AT275" s="149"/>
      <c r="AU275" s="149"/>
      <c r="AV275" s="149"/>
      <c r="AW275" s="149"/>
      <c r="AX275" s="113" t="str">
        <f>'Data Sample'!G271</f>
        <v>P02A271</v>
      </c>
      <c r="AY275" s="113" t="str">
        <f>'Data Sample'!G1280</f>
        <v>V0579242901191</v>
      </c>
      <c r="AZ275" s="113" t="str">
        <f>'Data Sample'!G776</f>
        <v>AU0003-86-734</v>
      </c>
      <c r="BA275" s="118"/>
      <c r="BC275" s="119" t="str">
        <f t="shared" si="21"/>
        <v>P02A271 (260)</v>
      </c>
      <c r="BD275" s="119" t="str">
        <f t="shared" si="22"/>
        <v>V0579242901191 (260)</v>
      </c>
      <c r="BE275" s="119" t="str">
        <f t="shared" si="23"/>
        <v>AU0003-86-734 (260)</v>
      </c>
    </row>
    <row r="276" spans="44:57">
      <c r="AR276" s="112">
        <f t="shared" si="20"/>
        <v>261</v>
      </c>
      <c r="AS276" s="149"/>
      <c r="AT276" s="149"/>
      <c r="AU276" s="149"/>
      <c r="AV276" s="149"/>
      <c r="AW276" s="149"/>
      <c r="AX276" s="113" t="str">
        <f>'Data Sample'!G272</f>
        <v>P02A253</v>
      </c>
      <c r="AY276" s="113" t="str">
        <f>'Data Sample'!G1281</f>
        <v>V0007122262289</v>
      </c>
      <c r="AZ276" s="113" t="str">
        <f>'Data Sample'!G777</f>
        <v>AU0081-05-101</v>
      </c>
      <c r="BA276" s="118"/>
      <c r="BC276" s="119" t="str">
        <f t="shared" si="21"/>
        <v>P02A253 (261)</v>
      </c>
      <c r="BD276" s="119" t="str">
        <f t="shared" si="22"/>
        <v>V0007122262289 (261)</v>
      </c>
      <c r="BE276" s="119" t="str">
        <f t="shared" si="23"/>
        <v>AU0081-05-101 (261)</v>
      </c>
    </row>
    <row r="277" spans="44:57">
      <c r="AR277" s="112">
        <f t="shared" si="20"/>
        <v>262</v>
      </c>
      <c r="AS277" s="149"/>
      <c r="AT277" s="149"/>
      <c r="AU277" s="149"/>
      <c r="AV277" s="149"/>
      <c r="AW277" s="149"/>
      <c r="AX277" s="113" t="str">
        <f>'Data Sample'!G273</f>
        <v>P02A995</v>
      </c>
      <c r="AY277" s="113" t="str">
        <f>'Data Sample'!G1282</f>
        <v>V0314351955944</v>
      </c>
      <c r="AZ277" s="113" t="str">
        <f>'Data Sample'!G778</f>
        <v>AU0023-88-276</v>
      </c>
      <c r="BA277" s="118"/>
      <c r="BC277" s="119" t="str">
        <f t="shared" si="21"/>
        <v>P02A995 (262)</v>
      </c>
      <c r="BD277" s="119" t="str">
        <f t="shared" si="22"/>
        <v>V0314351955944 (262)</v>
      </c>
      <c r="BE277" s="119" t="str">
        <f t="shared" si="23"/>
        <v>AU0023-88-276 (262)</v>
      </c>
    </row>
    <row r="278" spans="44:57">
      <c r="AR278" s="112">
        <f t="shared" si="20"/>
        <v>263</v>
      </c>
      <c r="AS278" s="149"/>
      <c r="AT278" s="149"/>
      <c r="AU278" s="149"/>
      <c r="AV278" s="149"/>
      <c r="AW278" s="149"/>
      <c r="AX278" s="113" t="str">
        <f>'Data Sample'!G274</f>
        <v>P02A977</v>
      </c>
      <c r="AY278" s="113" t="str">
        <f>'Data Sample'!G1283</f>
        <v>V0522361216759</v>
      </c>
      <c r="AZ278" s="113" t="str">
        <f>'Data Sample'!G779</f>
        <v>AU0031-53-283</v>
      </c>
      <c r="BA278" s="118"/>
      <c r="BC278" s="119" t="str">
        <f t="shared" si="21"/>
        <v>P02A977 (263)</v>
      </c>
      <c r="BD278" s="119" t="str">
        <f t="shared" si="22"/>
        <v>V0522361216759 (263)</v>
      </c>
      <c r="BE278" s="119" t="str">
        <f t="shared" si="23"/>
        <v>AU0031-53-283 (263)</v>
      </c>
    </row>
    <row r="279" spans="44:57">
      <c r="AR279" s="112">
        <f t="shared" si="20"/>
        <v>264</v>
      </c>
      <c r="AS279" s="149"/>
      <c r="AT279" s="149"/>
      <c r="AU279" s="149"/>
      <c r="AV279" s="149"/>
      <c r="AW279" s="149"/>
      <c r="AX279" s="113" t="str">
        <f>'Data Sample'!G275</f>
        <v>P02A586</v>
      </c>
      <c r="AY279" s="113" t="str">
        <f>'Data Sample'!G1284</f>
        <v>V0430246453085</v>
      </c>
      <c r="AZ279" s="113" t="str">
        <f>'Data Sample'!G780</f>
        <v>AU0076-38-760</v>
      </c>
      <c r="BA279" s="118"/>
      <c r="BC279" s="119" t="str">
        <f t="shared" si="21"/>
        <v>P02A586 (264)</v>
      </c>
      <c r="BD279" s="119" t="str">
        <f t="shared" si="22"/>
        <v>V0430246453085 (264)</v>
      </c>
      <c r="BE279" s="119" t="str">
        <f t="shared" si="23"/>
        <v>AU0076-38-760 (264)</v>
      </c>
    </row>
    <row r="280" spans="44:57">
      <c r="AR280" s="112">
        <f t="shared" si="20"/>
        <v>265</v>
      </c>
      <c r="AS280" s="149"/>
      <c r="AT280" s="149"/>
      <c r="AU280" s="149"/>
      <c r="AV280" s="149"/>
      <c r="AW280" s="149"/>
      <c r="AX280" s="113" t="str">
        <f>'Data Sample'!G276</f>
        <v>P02A874</v>
      </c>
      <c r="AY280" s="113" t="str">
        <f>'Data Sample'!G1285</f>
        <v>V0242205972819</v>
      </c>
      <c r="AZ280" s="113" t="str">
        <f>'Data Sample'!G781</f>
        <v>AU0021-81-285</v>
      </c>
      <c r="BA280" s="118"/>
      <c r="BC280" s="119" t="str">
        <f t="shared" si="21"/>
        <v>P02A874 (265)</v>
      </c>
      <c r="BD280" s="119" t="str">
        <f t="shared" si="22"/>
        <v>V0242205972819 (265)</v>
      </c>
      <c r="BE280" s="119" t="str">
        <f t="shared" si="23"/>
        <v>AU0021-81-285 (265)</v>
      </c>
    </row>
    <row r="281" spans="44:57">
      <c r="AR281" s="112">
        <f t="shared" si="20"/>
        <v>266</v>
      </c>
      <c r="AS281" s="149"/>
      <c r="AT281" s="149"/>
      <c r="AU281" s="149"/>
      <c r="AV281" s="149"/>
      <c r="AW281" s="149"/>
      <c r="AX281" s="113" t="str">
        <f>'Data Sample'!G277</f>
        <v>P02A277</v>
      </c>
      <c r="AY281" s="113" t="str">
        <f>'Data Sample'!G1286</f>
        <v>V0052951450403</v>
      </c>
      <c r="AZ281" s="113" t="str">
        <f>'Data Sample'!G782</f>
        <v>AU0099-10-614</v>
      </c>
      <c r="BA281" s="118"/>
      <c r="BC281" s="119" t="str">
        <f t="shared" si="21"/>
        <v>P02A277 (266)</v>
      </c>
      <c r="BD281" s="119" t="str">
        <f t="shared" si="22"/>
        <v>V0052951450403 (266)</v>
      </c>
      <c r="BE281" s="119" t="str">
        <f t="shared" si="23"/>
        <v>AU0099-10-614 (266)</v>
      </c>
    </row>
    <row r="282" spans="44:57">
      <c r="AR282" s="112">
        <f t="shared" si="20"/>
        <v>267</v>
      </c>
      <c r="AS282" s="149"/>
      <c r="AT282" s="149"/>
      <c r="AU282" s="149"/>
      <c r="AV282" s="149"/>
      <c r="AW282" s="149"/>
      <c r="AX282" s="113" t="str">
        <f>'Data Sample'!G278</f>
        <v>P02A150</v>
      </c>
      <c r="AY282" s="113" t="str">
        <f>'Data Sample'!G1287</f>
        <v>V0376695162716</v>
      </c>
      <c r="AZ282" s="113" t="str">
        <f>'Data Sample'!G783</f>
        <v>AU0003-51-146</v>
      </c>
      <c r="BA282" s="118"/>
      <c r="BC282" s="119" t="str">
        <f t="shared" si="21"/>
        <v>P02A150 (267)</v>
      </c>
      <c r="BD282" s="119" t="str">
        <f t="shared" si="22"/>
        <v>V0376695162716 (267)</v>
      </c>
      <c r="BE282" s="119" t="str">
        <f t="shared" si="23"/>
        <v>AU0003-51-146 (267)</v>
      </c>
    </row>
    <row r="283" spans="44:57">
      <c r="AR283" s="112">
        <f t="shared" si="20"/>
        <v>268</v>
      </c>
      <c r="AS283" s="149"/>
      <c r="AT283" s="149"/>
      <c r="AU283" s="149"/>
      <c r="AV283" s="149"/>
      <c r="AW283" s="149"/>
      <c r="AX283" s="113" t="str">
        <f>'Data Sample'!G279</f>
        <v>P02A112</v>
      </c>
      <c r="AY283" s="113" t="str">
        <f>'Data Sample'!G1288</f>
        <v>V0737497313859</v>
      </c>
      <c r="AZ283" s="113" t="str">
        <f>'Data Sample'!G784</f>
        <v>AU0096-34-761</v>
      </c>
      <c r="BA283" s="118"/>
      <c r="BC283" s="119" t="str">
        <f t="shared" si="21"/>
        <v>P02A112 (268)</v>
      </c>
      <c r="BD283" s="119" t="str">
        <f t="shared" si="22"/>
        <v>V0737497313859 (268)</v>
      </c>
      <c r="BE283" s="119" t="str">
        <f t="shared" si="23"/>
        <v>AU0096-34-761 (268)</v>
      </c>
    </row>
    <row r="284" spans="44:57">
      <c r="AR284" s="112">
        <f t="shared" si="20"/>
        <v>269</v>
      </c>
      <c r="AS284" s="149"/>
      <c r="AT284" s="149"/>
      <c r="AU284" s="149"/>
      <c r="AV284" s="149"/>
      <c r="AW284" s="149"/>
      <c r="AX284" s="113" t="str">
        <f>'Data Sample'!G280</f>
        <v>P02A704</v>
      </c>
      <c r="AY284" s="113" t="str">
        <f>'Data Sample'!G1289</f>
        <v>V0366959582003</v>
      </c>
      <c r="AZ284" s="113" t="str">
        <f>'Data Sample'!G785</f>
        <v>AU0009-84-643</v>
      </c>
      <c r="BA284" s="118"/>
      <c r="BC284" s="119" t="str">
        <f t="shared" si="21"/>
        <v>P02A704 (269)</v>
      </c>
      <c r="BD284" s="119" t="str">
        <f t="shared" si="22"/>
        <v>V0366959582003 (269)</v>
      </c>
      <c r="BE284" s="119" t="str">
        <f t="shared" si="23"/>
        <v>AU0009-84-643 (269)</v>
      </c>
    </row>
    <row r="285" spans="44:57">
      <c r="AR285" s="112">
        <f t="shared" si="20"/>
        <v>270</v>
      </c>
      <c r="AS285" s="149"/>
      <c r="AT285" s="149"/>
      <c r="AU285" s="149"/>
      <c r="AV285" s="149"/>
      <c r="AW285" s="149"/>
      <c r="AX285" s="113" t="str">
        <f>'Data Sample'!G281</f>
        <v>P02A181</v>
      </c>
      <c r="AY285" s="113" t="str">
        <f>'Data Sample'!G1290</f>
        <v>V0392014297398</v>
      </c>
      <c r="AZ285" s="113" t="str">
        <f>'Data Sample'!G786</f>
        <v>AU0063-68-216</v>
      </c>
      <c r="BA285" s="118"/>
      <c r="BC285" s="119" t="str">
        <f t="shared" si="21"/>
        <v>P02A181 (270)</v>
      </c>
      <c r="BD285" s="119" t="str">
        <f t="shared" si="22"/>
        <v>V0392014297398 (270)</v>
      </c>
      <c r="BE285" s="119" t="str">
        <f t="shared" si="23"/>
        <v>AU0063-68-216 (270)</v>
      </c>
    </row>
    <row r="286" spans="44:57">
      <c r="AR286" s="112">
        <f t="shared" si="20"/>
        <v>271</v>
      </c>
      <c r="AS286" s="149"/>
      <c r="AT286" s="149"/>
      <c r="AU286" s="149"/>
      <c r="AV286" s="149"/>
      <c r="AW286" s="149"/>
      <c r="AX286" s="113" t="str">
        <f>'Data Sample'!G282</f>
        <v>P02A664</v>
      </c>
      <c r="AY286" s="113" t="str">
        <f>'Data Sample'!G1291</f>
        <v>V0243839739405</v>
      </c>
      <c r="AZ286" s="113" t="str">
        <f>'Data Sample'!G787</f>
        <v>AU0002-96-901</v>
      </c>
      <c r="BA286" s="118"/>
      <c r="BC286" s="119" t="str">
        <f t="shared" si="21"/>
        <v>P02A664 (271)</v>
      </c>
      <c r="BD286" s="119" t="str">
        <f t="shared" si="22"/>
        <v>V0243839739405 (271)</v>
      </c>
      <c r="BE286" s="119" t="str">
        <f t="shared" si="23"/>
        <v>AU0002-96-901 (271)</v>
      </c>
    </row>
    <row r="287" spans="44:57">
      <c r="AR287" s="112">
        <f t="shared" si="20"/>
        <v>272</v>
      </c>
      <c r="AS287" s="149"/>
      <c r="AT287" s="149"/>
      <c r="AU287" s="149"/>
      <c r="AV287" s="149"/>
      <c r="AW287" s="149"/>
      <c r="AX287" s="113" t="str">
        <f>'Data Sample'!G283</f>
        <v>P02A563</v>
      </c>
      <c r="AY287" s="113" t="str">
        <f>'Data Sample'!G1292</f>
        <v>V0534991805369</v>
      </c>
      <c r="AZ287" s="113" t="str">
        <f>'Data Sample'!G788</f>
        <v>AU0078-95-640</v>
      </c>
      <c r="BA287" s="118"/>
      <c r="BC287" s="119" t="str">
        <f t="shared" si="21"/>
        <v>P02A563 (272)</v>
      </c>
      <c r="BD287" s="119" t="str">
        <f t="shared" si="22"/>
        <v>V0534991805369 (272)</v>
      </c>
      <c r="BE287" s="119" t="str">
        <f t="shared" si="23"/>
        <v>AU0078-95-640 (272)</v>
      </c>
    </row>
    <row r="288" spans="44:57">
      <c r="AR288" s="112">
        <f t="shared" si="20"/>
        <v>273</v>
      </c>
      <c r="AS288" s="149"/>
      <c r="AT288" s="149"/>
      <c r="AU288" s="149"/>
      <c r="AV288" s="149"/>
      <c r="AW288" s="149"/>
      <c r="AX288" s="113" t="str">
        <f>'Data Sample'!G284</f>
        <v>P02A260</v>
      </c>
      <c r="AY288" s="113" t="str">
        <f>'Data Sample'!G1293</f>
        <v>V0506465346399</v>
      </c>
      <c r="AZ288" s="113" t="str">
        <f>'Data Sample'!G789</f>
        <v>AU0017-53-166</v>
      </c>
      <c r="BA288" s="118"/>
      <c r="BC288" s="119" t="str">
        <f t="shared" si="21"/>
        <v>P02A260 (273)</v>
      </c>
      <c r="BD288" s="119" t="str">
        <f t="shared" si="22"/>
        <v>V0506465346399 (273)</v>
      </c>
      <c r="BE288" s="119" t="str">
        <f t="shared" si="23"/>
        <v>AU0017-53-166 (273)</v>
      </c>
    </row>
    <row r="289" spans="44:57">
      <c r="AR289" s="112">
        <f t="shared" si="20"/>
        <v>274</v>
      </c>
      <c r="AS289" s="149"/>
      <c r="AT289" s="149"/>
      <c r="AU289" s="149"/>
      <c r="AV289" s="149"/>
      <c r="AW289" s="149"/>
      <c r="AX289" s="113" t="str">
        <f>'Data Sample'!G285</f>
        <v>P02A530</v>
      </c>
      <c r="AY289" s="113" t="str">
        <f>'Data Sample'!G1294</f>
        <v>V0620588929863</v>
      </c>
      <c r="AZ289" s="113" t="str">
        <f>'Data Sample'!G790</f>
        <v>AU0088-40-268</v>
      </c>
      <c r="BA289" s="118"/>
      <c r="BC289" s="119" t="str">
        <f t="shared" si="21"/>
        <v>P02A530 (274)</v>
      </c>
      <c r="BD289" s="119" t="str">
        <f t="shared" si="22"/>
        <v>V0620588929863 (274)</v>
      </c>
      <c r="BE289" s="119" t="str">
        <f t="shared" si="23"/>
        <v>AU0088-40-268 (274)</v>
      </c>
    </row>
    <row r="290" spans="44:57">
      <c r="AR290" s="112">
        <f t="shared" si="20"/>
        <v>275</v>
      </c>
      <c r="AS290" s="149"/>
      <c r="AT290" s="149"/>
      <c r="AU290" s="149"/>
      <c r="AV290" s="149"/>
      <c r="AW290" s="149"/>
      <c r="AX290" s="113" t="str">
        <f>'Data Sample'!G286</f>
        <v>P02A88</v>
      </c>
      <c r="AY290" s="113" t="str">
        <f>'Data Sample'!G1295</f>
        <v>V0666488690887</v>
      </c>
      <c r="AZ290" s="113" t="str">
        <f>'Data Sample'!G791</f>
        <v>AU0088-89-684</v>
      </c>
      <c r="BA290" s="118"/>
      <c r="BC290" s="119" t="str">
        <f t="shared" si="21"/>
        <v>P02A88 (275)</v>
      </c>
      <c r="BD290" s="119" t="str">
        <f t="shared" si="22"/>
        <v>V0666488690887 (275)</v>
      </c>
      <c r="BE290" s="119" t="str">
        <f t="shared" si="23"/>
        <v>AU0088-89-684 (275)</v>
      </c>
    </row>
    <row r="291" spans="44:57">
      <c r="AR291" s="112">
        <f t="shared" si="20"/>
        <v>276</v>
      </c>
      <c r="AS291" s="149"/>
      <c r="AT291" s="149"/>
      <c r="AU291" s="149"/>
      <c r="AV291" s="149"/>
      <c r="AW291" s="149"/>
      <c r="AX291" s="113" t="str">
        <f>'Data Sample'!G287</f>
        <v>P02A21</v>
      </c>
      <c r="AY291" s="113" t="str">
        <f>'Data Sample'!G1296</f>
        <v>V0616970619191</v>
      </c>
      <c r="AZ291" s="113" t="str">
        <f>'Data Sample'!G792</f>
        <v>AU0049-52-506</v>
      </c>
      <c r="BA291" s="118"/>
      <c r="BC291" s="119" t="str">
        <f t="shared" si="21"/>
        <v>P02A21 (276)</v>
      </c>
      <c r="BD291" s="119" t="str">
        <f t="shared" si="22"/>
        <v>V0616970619191 (276)</v>
      </c>
      <c r="BE291" s="119" t="str">
        <f t="shared" si="23"/>
        <v>AU0049-52-506 (276)</v>
      </c>
    </row>
    <row r="292" spans="44:57">
      <c r="AR292" s="112">
        <f t="shared" si="20"/>
        <v>277</v>
      </c>
      <c r="AS292" s="149"/>
      <c r="AT292" s="149"/>
      <c r="AU292" s="149"/>
      <c r="AV292" s="149"/>
      <c r="AW292" s="149"/>
      <c r="AX292" s="113" t="str">
        <f>'Data Sample'!G288</f>
        <v>P02A148</v>
      </c>
      <c r="AY292" s="113" t="str">
        <f>'Data Sample'!G1297</f>
        <v>V0889872475783</v>
      </c>
      <c r="AZ292" s="113" t="str">
        <f>'Data Sample'!G793</f>
        <v>AU0028-28-015</v>
      </c>
      <c r="BA292" s="118"/>
      <c r="BC292" s="119" t="str">
        <f t="shared" si="21"/>
        <v>P02A148 (277)</v>
      </c>
      <c r="BD292" s="119" t="str">
        <f t="shared" si="22"/>
        <v>V0889872475783 (277)</v>
      </c>
      <c r="BE292" s="119" t="str">
        <f t="shared" si="23"/>
        <v>AU0028-28-015 (277)</v>
      </c>
    </row>
    <row r="293" spans="44:57">
      <c r="AR293" s="112">
        <f t="shared" si="20"/>
        <v>278</v>
      </c>
      <c r="AS293" s="149"/>
      <c r="AT293" s="149"/>
      <c r="AU293" s="149"/>
      <c r="AV293" s="149"/>
      <c r="AW293" s="149"/>
      <c r="AX293" s="113" t="str">
        <f>'Data Sample'!G289</f>
        <v>P02A881</v>
      </c>
      <c r="AY293" s="113" t="str">
        <f>'Data Sample'!G1298</f>
        <v>V0003363896287</v>
      </c>
      <c r="AZ293" s="113" t="str">
        <f>'Data Sample'!G794</f>
        <v>AU0028-92-110</v>
      </c>
      <c r="BA293" s="118"/>
      <c r="BC293" s="119" t="str">
        <f t="shared" si="21"/>
        <v>P02A881 (278)</v>
      </c>
      <c r="BD293" s="119" t="str">
        <f t="shared" si="22"/>
        <v>V0003363896287 (278)</v>
      </c>
      <c r="BE293" s="119" t="str">
        <f t="shared" si="23"/>
        <v>AU0028-92-110 (278)</v>
      </c>
    </row>
    <row r="294" spans="44:57">
      <c r="AR294" s="112">
        <f t="shared" si="20"/>
        <v>279</v>
      </c>
      <c r="AS294" s="149"/>
      <c r="AT294" s="149"/>
      <c r="AU294" s="149"/>
      <c r="AV294" s="149"/>
      <c r="AW294" s="149"/>
      <c r="AX294" s="113" t="str">
        <f>'Data Sample'!G290</f>
        <v>P02A196</v>
      </c>
      <c r="AY294" s="113" t="str">
        <f>'Data Sample'!G1299</f>
        <v>V0554539881571</v>
      </c>
      <c r="AZ294" s="113" t="str">
        <f>'Data Sample'!G795</f>
        <v>AU0022-19-545</v>
      </c>
      <c r="BA294" s="118"/>
      <c r="BC294" s="119" t="str">
        <f t="shared" si="21"/>
        <v>P02A196 (279)</v>
      </c>
      <c r="BD294" s="119" t="str">
        <f t="shared" si="22"/>
        <v>V0554539881571 (279)</v>
      </c>
      <c r="BE294" s="119" t="str">
        <f t="shared" si="23"/>
        <v>AU0022-19-545 (279)</v>
      </c>
    </row>
    <row r="295" spans="44:57">
      <c r="AR295" s="112">
        <f t="shared" si="20"/>
        <v>280</v>
      </c>
      <c r="AS295" s="149"/>
      <c r="AT295" s="149"/>
      <c r="AU295" s="149"/>
      <c r="AV295" s="149"/>
      <c r="AW295" s="149"/>
      <c r="AX295" s="113" t="str">
        <f>'Data Sample'!G291</f>
        <v>P02A831</v>
      </c>
      <c r="AY295" s="113" t="str">
        <f>'Data Sample'!G1300</f>
        <v>V0091204804613</v>
      </c>
      <c r="AZ295" s="113" t="str">
        <f>'Data Sample'!G796</f>
        <v>AU0047-10-857</v>
      </c>
      <c r="BA295" s="118"/>
      <c r="BC295" s="119" t="str">
        <f t="shared" si="21"/>
        <v>P02A831 (280)</v>
      </c>
      <c r="BD295" s="119" t="str">
        <f t="shared" si="22"/>
        <v>V0091204804613 (280)</v>
      </c>
      <c r="BE295" s="119" t="str">
        <f t="shared" si="23"/>
        <v>AU0047-10-857 (280)</v>
      </c>
    </row>
    <row r="296" spans="44:57">
      <c r="AR296" s="112">
        <f t="shared" si="20"/>
        <v>281</v>
      </c>
      <c r="AS296" s="149"/>
      <c r="AT296" s="149"/>
      <c r="AU296" s="149"/>
      <c r="AV296" s="149"/>
      <c r="AW296" s="149"/>
      <c r="AX296" s="113" t="str">
        <f>'Data Sample'!G292</f>
        <v>P02A120</v>
      </c>
      <c r="AY296" s="113" t="str">
        <f>'Data Sample'!G1301</f>
        <v>V0481135222313</v>
      </c>
      <c r="AZ296" s="113" t="str">
        <f>'Data Sample'!G797</f>
        <v>AU0098-96-344</v>
      </c>
      <c r="BA296" s="118"/>
      <c r="BC296" s="119" t="str">
        <f t="shared" si="21"/>
        <v>P02A120 (281)</v>
      </c>
      <c r="BD296" s="119" t="str">
        <f t="shared" si="22"/>
        <v>V0481135222313 (281)</v>
      </c>
      <c r="BE296" s="119" t="str">
        <f t="shared" si="23"/>
        <v>AU0098-96-344 (281)</v>
      </c>
    </row>
    <row r="297" spans="44:57">
      <c r="AR297" s="112">
        <f t="shared" si="20"/>
        <v>282</v>
      </c>
      <c r="AS297" s="149"/>
      <c r="AT297" s="149"/>
      <c r="AU297" s="149"/>
      <c r="AV297" s="149"/>
      <c r="AW297" s="149"/>
      <c r="AX297" s="113" t="str">
        <f>'Data Sample'!G293</f>
        <v>P02A324</v>
      </c>
      <c r="AY297" s="113" t="str">
        <f>'Data Sample'!G1302</f>
        <v>V0027839798620</v>
      </c>
      <c r="AZ297" s="113" t="str">
        <f>'Data Sample'!G798</f>
        <v>AU0009-75-524</v>
      </c>
      <c r="BA297" s="118"/>
      <c r="BC297" s="119" t="str">
        <f t="shared" si="21"/>
        <v>P02A324 (282)</v>
      </c>
      <c r="BD297" s="119" t="str">
        <f t="shared" si="22"/>
        <v>V0027839798620 (282)</v>
      </c>
      <c r="BE297" s="119" t="str">
        <f t="shared" si="23"/>
        <v>AU0009-75-524 (282)</v>
      </c>
    </row>
    <row r="298" spans="44:57">
      <c r="AR298" s="112">
        <f t="shared" si="20"/>
        <v>283</v>
      </c>
      <c r="AS298" s="149"/>
      <c r="AT298" s="149"/>
      <c r="AU298" s="149"/>
      <c r="AV298" s="149"/>
      <c r="AW298" s="149"/>
      <c r="AX298" s="113" t="str">
        <f>'Data Sample'!G294</f>
        <v>P02A873</v>
      </c>
      <c r="AY298" s="113" t="str">
        <f>'Data Sample'!G1303</f>
        <v>V0595406099787</v>
      </c>
      <c r="AZ298" s="113" t="str">
        <f>'Data Sample'!G799</f>
        <v>AU0089-53-484</v>
      </c>
      <c r="BA298" s="118"/>
      <c r="BC298" s="119" t="str">
        <f t="shared" si="21"/>
        <v>P02A873 (283)</v>
      </c>
      <c r="BD298" s="119" t="str">
        <f t="shared" si="22"/>
        <v>V0595406099787 (283)</v>
      </c>
      <c r="BE298" s="119" t="str">
        <f t="shared" si="23"/>
        <v>AU0089-53-484 (283)</v>
      </c>
    </row>
    <row r="299" spans="44:57">
      <c r="AR299" s="112">
        <f t="shared" si="20"/>
        <v>284</v>
      </c>
      <c r="AS299" s="149"/>
      <c r="AT299" s="149"/>
      <c r="AU299" s="149"/>
      <c r="AV299" s="149"/>
      <c r="AW299" s="149"/>
      <c r="AX299" s="113" t="str">
        <f>'Data Sample'!G295</f>
        <v>P02A407</v>
      </c>
      <c r="AY299" s="113" t="str">
        <f>'Data Sample'!G1304</f>
        <v>V0670854430940</v>
      </c>
      <c r="AZ299" s="113" t="str">
        <f>'Data Sample'!G800</f>
        <v>AU0000-64-031</v>
      </c>
      <c r="BA299" s="118"/>
      <c r="BC299" s="119" t="str">
        <f t="shared" si="21"/>
        <v>P02A407 (284)</v>
      </c>
      <c r="BD299" s="119" t="str">
        <f t="shared" si="22"/>
        <v>V0670854430940 (284)</v>
      </c>
      <c r="BE299" s="119" t="str">
        <f t="shared" si="23"/>
        <v>AU0000-64-031 (284)</v>
      </c>
    </row>
    <row r="300" spans="44:57">
      <c r="AR300" s="112">
        <f t="shared" si="20"/>
        <v>285</v>
      </c>
      <c r="AS300" s="149"/>
      <c r="AT300" s="149"/>
      <c r="AU300" s="149"/>
      <c r="AV300" s="149"/>
      <c r="AW300" s="149"/>
      <c r="AX300" s="113" t="str">
        <f>'Data Sample'!G296</f>
        <v>P02A662</v>
      </c>
      <c r="AY300" s="113" t="str">
        <f>'Data Sample'!G1305</f>
        <v>V0349525512415</v>
      </c>
      <c r="AZ300" s="113" t="str">
        <f>'Data Sample'!G801</f>
        <v>AU0082-03-995</v>
      </c>
      <c r="BA300" s="118"/>
      <c r="BC300" s="119" t="str">
        <f t="shared" si="21"/>
        <v>P02A662 (285)</v>
      </c>
      <c r="BD300" s="119" t="str">
        <f t="shared" si="22"/>
        <v>V0349525512415 (285)</v>
      </c>
      <c r="BE300" s="119" t="str">
        <f t="shared" si="23"/>
        <v>AU0082-03-995 (285)</v>
      </c>
    </row>
    <row r="301" spans="44:57">
      <c r="AR301" s="112">
        <f t="shared" si="20"/>
        <v>286</v>
      </c>
      <c r="AS301" s="149"/>
      <c r="AT301" s="149"/>
      <c r="AU301" s="149"/>
      <c r="AV301" s="149"/>
      <c r="AW301" s="149"/>
      <c r="AX301" s="113" t="str">
        <f>'Data Sample'!G297</f>
        <v>P02A488</v>
      </c>
      <c r="AY301" s="113" t="str">
        <f>'Data Sample'!G1306</f>
        <v>V0345212807687</v>
      </c>
      <c r="AZ301" s="113" t="str">
        <f>'Data Sample'!G802</f>
        <v>AU0096-40-514</v>
      </c>
      <c r="BA301" s="118"/>
      <c r="BC301" s="119" t="str">
        <f t="shared" si="21"/>
        <v>P02A488 (286)</v>
      </c>
      <c r="BD301" s="119" t="str">
        <f t="shared" si="22"/>
        <v>V0345212807687 (286)</v>
      </c>
      <c r="BE301" s="119" t="str">
        <f t="shared" si="23"/>
        <v>AU0096-40-514 (286)</v>
      </c>
    </row>
    <row r="302" spans="44:57">
      <c r="AR302" s="112">
        <f t="shared" si="20"/>
        <v>287</v>
      </c>
      <c r="AS302" s="149"/>
      <c r="AT302" s="149"/>
      <c r="AU302" s="149"/>
      <c r="AV302" s="149"/>
      <c r="AW302" s="149"/>
      <c r="AX302" s="113" t="str">
        <f>'Data Sample'!G298</f>
        <v>P02A850</v>
      </c>
      <c r="AY302" s="113" t="str">
        <f>'Data Sample'!G1307</f>
        <v>V0340764166692</v>
      </c>
      <c r="AZ302" s="113" t="str">
        <f>'Data Sample'!G803</f>
        <v>AU0040-14-335</v>
      </c>
      <c r="BA302" s="118"/>
      <c r="BC302" s="119" t="str">
        <f t="shared" si="21"/>
        <v>P02A850 (287)</v>
      </c>
      <c r="BD302" s="119" t="str">
        <f t="shared" si="22"/>
        <v>V0340764166692 (287)</v>
      </c>
      <c r="BE302" s="119" t="str">
        <f t="shared" si="23"/>
        <v>AU0040-14-335 (287)</v>
      </c>
    </row>
    <row r="303" spans="44:57">
      <c r="AR303" s="112">
        <f t="shared" si="20"/>
        <v>288</v>
      </c>
      <c r="AS303" s="149"/>
      <c r="AT303" s="149"/>
      <c r="AU303" s="149"/>
      <c r="AV303" s="149"/>
      <c r="AW303" s="149"/>
      <c r="AX303" s="113" t="str">
        <f>'Data Sample'!G299</f>
        <v>P02A82</v>
      </c>
      <c r="AY303" s="113" t="str">
        <f>'Data Sample'!G1308</f>
        <v>V0547314258132</v>
      </c>
      <c r="AZ303" s="113" t="str">
        <f>'Data Sample'!G804</f>
        <v>AU0022-10-250</v>
      </c>
      <c r="BA303" s="118"/>
      <c r="BC303" s="119" t="str">
        <f t="shared" si="21"/>
        <v>P02A82 (288)</v>
      </c>
      <c r="BD303" s="119" t="str">
        <f t="shared" si="22"/>
        <v>V0547314258132 (288)</v>
      </c>
      <c r="BE303" s="119" t="str">
        <f t="shared" si="23"/>
        <v>AU0022-10-250 (288)</v>
      </c>
    </row>
    <row r="304" spans="44:57">
      <c r="AR304" s="112">
        <f t="shared" si="20"/>
        <v>289</v>
      </c>
      <c r="AS304" s="149"/>
      <c r="AT304" s="149"/>
      <c r="AU304" s="149"/>
      <c r="AV304" s="149"/>
      <c r="AW304" s="149"/>
      <c r="AX304" s="113" t="str">
        <f>'Data Sample'!G300</f>
        <v>P02A45</v>
      </c>
      <c r="AY304" s="113" t="str">
        <f>'Data Sample'!G1309</f>
        <v>V0724434873044</v>
      </c>
      <c r="AZ304" s="113" t="str">
        <f>'Data Sample'!G805</f>
        <v>AU0084-99-752</v>
      </c>
      <c r="BA304" s="118"/>
      <c r="BC304" s="119" t="str">
        <f t="shared" si="21"/>
        <v>P02A45 (289)</v>
      </c>
      <c r="BD304" s="119" t="str">
        <f t="shared" si="22"/>
        <v>V0724434873044 (289)</v>
      </c>
      <c r="BE304" s="119" t="str">
        <f t="shared" si="23"/>
        <v>AU0084-99-752 (289)</v>
      </c>
    </row>
    <row r="305" spans="44:57">
      <c r="AR305" s="112">
        <f t="shared" si="20"/>
        <v>290</v>
      </c>
      <c r="AS305" s="149"/>
      <c r="AT305" s="149"/>
      <c r="AU305" s="149"/>
      <c r="AV305" s="149"/>
      <c r="AW305" s="149"/>
      <c r="AX305" s="113" t="str">
        <f>'Data Sample'!G301</f>
        <v>P02A50</v>
      </c>
      <c r="AY305" s="113" t="str">
        <f>'Data Sample'!G1310</f>
        <v>V0450020386400</v>
      </c>
      <c r="AZ305" s="113" t="str">
        <f>'Data Sample'!G806</f>
        <v>AU0097-80-111</v>
      </c>
      <c r="BA305" s="118"/>
      <c r="BC305" s="119" t="str">
        <f t="shared" si="21"/>
        <v>P02A50 (290)</v>
      </c>
      <c r="BD305" s="119" t="str">
        <f t="shared" si="22"/>
        <v>V0450020386400 (290)</v>
      </c>
      <c r="BE305" s="119" t="str">
        <f t="shared" si="23"/>
        <v>AU0097-80-111 (290)</v>
      </c>
    </row>
    <row r="306" spans="44:57">
      <c r="AR306" s="112">
        <f t="shared" si="20"/>
        <v>291</v>
      </c>
      <c r="AS306" s="149"/>
      <c r="AT306" s="149"/>
      <c r="AU306" s="149"/>
      <c r="AV306" s="149"/>
      <c r="AW306" s="149"/>
      <c r="AX306" s="113" t="str">
        <f>'Data Sample'!G302</f>
        <v>P02A567</v>
      </c>
      <c r="AY306" s="113" t="str">
        <f>'Data Sample'!G1311</f>
        <v>V0202447774581</v>
      </c>
      <c r="AZ306" s="113" t="str">
        <f>'Data Sample'!G807</f>
        <v>AU0098-30-066</v>
      </c>
      <c r="BA306" s="118"/>
      <c r="BC306" s="119" t="str">
        <f t="shared" si="21"/>
        <v>P02A567 (291)</v>
      </c>
      <c r="BD306" s="119" t="str">
        <f t="shared" si="22"/>
        <v>V0202447774581 (291)</v>
      </c>
      <c r="BE306" s="119" t="str">
        <f t="shared" si="23"/>
        <v>AU0098-30-066 (291)</v>
      </c>
    </row>
    <row r="307" spans="44:57">
      <c r="AR307" s="112">
        <f t="shared" si="20"/>
        <v>292</v>
      </c>
      <c r="AS307" s="149"/>
      <c r="AT307" s="149"/>
      <c r="AU307" s="149"/>
      <c r="AV307" s="149"/>
      <c r="AW307" s="149"/>
      <c r="AX307" s="113" t="str">
        <f>'Data Sample'!G303</f>
        <v>P02A199</v>
      </c>
      <c r="AY307" s="113" t="str">
        <f>'Data Sample'!G1312</f>
        <v>V0091848690271</v>
      </c>
      <c r="AZ307" s="113" t="str">
        <f>'Data Sample'!G808</f>
        <v>AU0002-62-093</v>
      </c>
      <c r="BA307" s="118"/>
      <c r="BC307" s="119" t="str">
        <f t="shared" si="21"/>
        <v>P02A199 (292)</v>
      </c>
      <c r="BD307" s="119" t="str">
        <f t="shared" si="22"/>
        <v>V0091848690271 (292)</v>
      </c>
      <c r="BE307" s="119" t="str">
        <f t="shared" si="23"/>
        <v>AU0002-62-093 (292)</v>
      </c>
    </row>
    <row r="308" spans="44:57">
      <c r="AR308" s="112">
        <f t="shared" si="20"/>
        <v>293</v>
      </c>
      <c r="AS308" s="149"/>
      <c r="AT308" s="149"/>
      <c r="AU308" s="149"/>
      <c r="AV308" s="149"/>
      <c r="AW308" s="149"/>
      <c r="AX308" s="113" t="str">
        <f>'Data Sample'!G304</f>
        <v>P02A460</v>
      </c>
      <c r="AY308" s="113" t="str">
        <f>'Data Sample'!G1313</f>
        <v>V0291352118077</v>
      </c>
      <c r="AZ308" s="113" t="str">
        <f>'Data Sample'!G809</f>
        <v>AU0056-92-749</v>
      </c>
      <c r="BA308" s="118"/>
      <c r="BC308" s="119" t="str">
        <f t="shared" si="21"/>
        <v>P02A460 (293)</v>
      </c>
      <c r="BD308" s="119" t="str">
        <f t="shared" si="22"/>
        <v>V0291352118077 (293)</v>
      </c>
      <c r="BE308" s="119" t="str">
        <f t="shared" si="23"/>
        <v>AU0056-92-749 (293)</v>
      </c>
    </row>
    <row r="309" spans="44:57">
      <c r="AR309" s="112">
        <f t="shared" si="20"/>
        <v>294</v>
      </c>
      <c r="AS309" s="149"/>
      <c r="AT309" s="149"/>
      <c r="AU309" s="149"/>
      <c r="AV309" s="149"/>
      <c r="AW309" s="149"/>
      <c r="AX309" s="113" t="str">
        <f>'Data Sample'!G305</f>
        <v>P02A14</v>
      </c>
      <c r="AY309" s="113" t="str">
        <f>'Data Sample'!G1314</f>
        <v>V0164117399838</v>
      </c>
      <c r="AZ309" s="113" t="str">
        <f>'Data Sample'!G810</f>
        <v>AU0032-65-911</v>
      </c>
      <c r="BA309" s="118"/>
      <c r="BC309" s="119" t="str">
        <f t="shared" si="21"/>
        <v>P02A14 (294)</v>
      </c>
      <c r="BD309" s="119" t="str">
        <f t="shared" si="22"/>
        <v>V0164117399838 (294)</v>
      </c>
      <c r="BE309" s="119" t="str">
        <f t="shared" si="23"/>
        <v>AU0032-65-911 (294)</v>
      </c>
    </row>
    <row r="310" spans="44:57">
      <c r="AR310" s="112">
        <f t="shared" si="20"/>
        <v>295</v>
      </c>
      <c r="AS310" s="149"/>
      <c r="AT310" s="149"/>
      <c r="AU310" s="149"/>
      <c r="AV310" s="149"/>
      <c r="AW310" s="149"/>
      <c r="AX310" s="113" t="str">
        <f>'Data Sample'!G306</f>
        <v>P02A959</v>
      </c>
      <c r="AY310" s="113" t="str">
        <f>'Data Sample'!G1315</f>
        <v>V0632411651961</v>
      </c>
      <c r="AZ310" s="113" t="str">
        <f>'Data Sample'!G811</f>
        <v>AU0006-44-792</v>
      </c>
      <c r="BA310" s="118"/>
      <c r="BC310" s="119" t="str">
        <f t="shared" si="21"/>
        <v>P02A959 (295)</v>
      </c>
      <c r="BD310" s="119" t="str">
        <f t="shared" si="22"/>
        <v>V0632411651961 (295)</v>
      </c>
      <c r="BE310" s="119" t="str">
        <f t="shared" si="23"/>
        <v>AU0006-44-792 (295)</v>
      </c>
    </row>
    <row r="311" spans="44:57">
      <c r="AR311" s="112">
        <f t="shared" si="20"/>
        <v>296</v>
      </c>
      <c r="AS311" s="149"/>
      <c r="AT311" s="149"/>
      <c r="AU311" s="149"/>
      <c r="AV311" s="149"/>
      <c r="AW311" s="149"/>
      <c r="AX311" s="113" t="str">
        <f>'Data Sample'!G307</f>
        <v>P02A201</v>
      </c>
      <c r="AY311" s="113" t="str">
        <f>'Data Sample'!G1316</f>
        <v>V0505517847330</v>
      </c>
      <c r="AZ311" s="113" t="str">
        <f>'Data Sample'!G812</f>
        <v>AU0020-09-736</v>
      </c>
      <c r="BA311" s="118"/>
      <c r="BC311" s="119" t="str">
        <f t="shared" si="21"/>
        <v>P02A201 (296)</v>
      </c>
      <c r="BD311" s="119" t="str">
        <f t="shared" si="22"/>
        <v>V0505517847330 (296)</v>
      </c>
      <c r="BE311" s="119" t="str">
        <f t="shared" si="23"/>
        <v>AU0020-09-736 (296)</v>
      </c>
    </row>
    <row r="312" spans="44:57">
      <c r="AR312" s="112">
        <f t="shared" si="20"/>
        <v>297</v>
      </c>
      <c r="AS312" s="149"/>
      <c r="AT312" s="149"/>
      <c r="AU312" s="149"/>
      <c r="AV312" s="149"/>
      <c r="AW312" s="149"/>
      <c r="AX312" s="113" t="str">
        <f>'Data Sample'!G308</f>
        <v>P02A37</v>
      </c>
      <c r="AY312" s="113" t="str">
        <f>'Data Sample'!G1317</f>
        <v>V0712312269021</v>
      </c>
      <c r="AZ312" s="113" t="str">
        <f>'Data Sample'!G813</f>
        <v>AU0088-10-865</v>
      </c>
      <c r="BA312" s="118"/>
      <c r="BC312" s="119" t="str">
        <f t="shared" si="21"/>
        <v>P02A37 (297)</v>
      </c>
      <c r="BD312" s="119" t="str">
        <f t="shared" si="22"/>
        <v>V0712312269021 (297)</v>
      </c>
      <c r="BE312" s="119" t="str">
        <f t="shared" si="23"/>
        <v>AU0088-10-865 (297)</v>
      </c>
    </row>
    <row r="313" spans="44:57">
      <c r="AR313" s="112">
        <f t="shared" si="20"/>
        <v>298</v>
      </c>
      <c r="AS313" s="149"/>
      <c r="AT313" s="149"/>
      <c r="AU313" s="149"/>
      <c r="AV313" s="149"/>
      <c r="AW313" s="149"/>
      <c r="AX313" s="113" t="str">
        <f>'Data Sample'!G309</f>
        <v>P02A234</v>
      </c>
      <c r="AY313" s="113" t="str">
        <f>'Data Sample'!G1318</f>
        <v>V0119849247434</v>
      </c>
      <c r="AZ313" s="113" t="str">
        <f>'Data Sample'!G814</f>
        <v>AU0048-58-719</v>
      </c>
      <c r="BA313" s="118"/>
      <c r="BC313" s="119" t="str">
        <f t="shared" si="21"/>
        <v>P02A234 (298)</v>
      </c>
      <c r="BD313" s="119" t="str">
        <f t="shared" si="22"/>
        <v>V0119849247434 (298)</v>
      </c>
      <c r="BE313" s="119" t="str">
        <f t="shared" si="23"/>
        <v>AU0048-58-719 (298)</v>
      </c>
    </row>
    <row r="314" spans="44:57">
      <c r="AR314" s="112">
        <f t="shared" si="20"/>
        <v>299</v>
      </c>
      <c r="AS314" s="149"/>
      <c r="AT314" s="149"/>
      <c r="AU314" s="149"/>
      <c r="AV314" s="149"/>
      <c r="AW314" s="149"/>
      <c r="AX314" s="113" t="str">
        <f>'Data Sample'!G310</f>
        <v>P02A495</v>
      </c>
      <c r="AY314" s="113" t="str">
        <f>'Data Sample'!G1319</f>
        <v>V0222052483828</v>
      </c>
      <c r="AZ314" s="113" t="str">
        <f>'Data Sample'!G815</f>
        <v>AU0013-21-308</v>
      </c>
      <c r="BA314" s="118"/>
      <c r="BC314" s="119" t="str">
        <f t="shared" si="21"/>
        <v>P02A495 (299)</v>
      </c>
      <c r="BD314" s="119" t="str">
        <f t="shared" si="22"/>
        <v>V0222052483828 (299)</v>
      </c>
      <c r="BE314" s="119" t="str">
        <f t="shared" si="23"/>
        <v>AU0013-21-308 (299)</v>
      </c>
    </row>
    <row r="315" spans="44:57">
      <c r="AR315" s="112">
        <f t="shared" si="20"/>
        <v>300</v>
      </c>
      <c r="AS315" s="149"/>
      <c r="AT315" s="149"/>
      <c r="AU315" s="149"/>
      <c r="AV315" s="149"/>
      <c r="AW315" s="149"/>
      <c r="AX315" s="113" t="str">
        <f>'Data Sample'!G311</f>
        <v>P02A83</v>
      </c>
      <c r="AY315" s="113" t="str">
        <f>'Data Sample'!G1320</f>
        <v>V0459052651100</v>
      </c>
      <c r="AZ315" s="113" t="str">
        <f>'Data Sample'!G816</f>
        <v>AU0033-92-107</v>
      </c>
      <c r="BA315" s="118"/>
      <c r="BC315" s="119" t="str">
        <f t="shared" si="21"/>
        <v>P02A83 (300)</v>
      </c>
      <c r="BD315" s="119" t="str">
        <f t="shared" si="22"/>
        <v>V0459052651100 (300)</v>
      </c>
      <c r="BE315" s="119" t="str">
        <f t="shared" si="23"/>
        <v>AU0033-92-107 (300)</v>
      </c>
    </row>
    <row r="316" spans="44:57">
      <c r="AR316" s="112">
        <f t="shared" si="20"/>
        <v>301</v>
      </c>
      <c r="AS316" s="149"/>
      <c r="AT316" s="149"/>
      <c r="AU316" s="149"/>
      <c r="AV316" s="149"/>
      <c r="AW316" s="149"/>
      <c r="AX316" s="113" t="str">
        <f>'Data Sample'!G312</f>
        <v>P02A911</v>
      </c>
      <c r="AY316" s="113" t="str">
        <f>'Data Sample'!G1321</f>
        <v>V0195704704669</v>
      </c>
      <c r="AZ316" s="113" t="str">
        <f>'Data Sample'!G817</f>
        <v>AU0033-04-973</v>
      </c>
      <c r="BA316" s="118"/>
      <c r="BC316" s="119" t="str">
        <f t="shared" si="21"/>
        <v>P02A911 (301)</v>
      </c>
      <c r="BD316" s="119" t="str">
        <f t="shared" si="22"/>
        <v>V0195704704669 (301)</v>
      </c>
      <c r="BE316" s="119" t="str">
        <f t="shared" si="23"/>
        <v>AU0033-04-973 (301)</v>
      </c>
    </row>
    <row r="317" spans="44:57">
      <c r="AR317" s="112">
        <f t="shared" si="20"/>
        <v>302</v>
      </c>
      <c r="AS317" s="149"/>
      <c r="AT317" s="149"/>
      <c r="AU317" s="149"/>
      <c r="AV317" s="149"/>
      <c r="AW317" s="149"/>
      <c r="AX317" s="113" t="str">
        <f>'Data Sample'!G313</f>
        <v>P02A182</v>
      </c>
      <c r="AY317" s="113" t="str">
        <f>'Data Sample'!G1322</f>
        <v>V0215441258436</v>
      </c>
      <c r="AZ317" s="113" t="str">
        <f>'Data Sample'!G818</f>
        <v>AU0085-37-034</v>
      </c>
      <c r="BA317" s="118"/>
      <c r="BC317" s="119" t="str">
        <f t="shared" si="21"/>
        <v>P02A182 (302)</v>
      </c>
      <c r="BD317" s="119" t="str">
        <f t="shared" si="22"/>
        <v>V0215441258436 (302)</v>
      </c>
      <c r="BE317" s="119" t="str">
        <f t="shared" si="23"/>
        <v>AU0085-37-034 (302)</v>
      </c>
    </row>
    <row r="318" spans="44:57">
      <c r="AR318" s="112">
        <f t="shared" si="20"/>
        <v>303</v>
      </c>
      <c r="AS318" s="149"/>
      <c r="AT318" s="149"/>
      <c r="AU318" s="149"/>
      <c r="AV318" s="149"/>
      <c r="AW318" s="149"/>
      <c r="AX318" s="113" t="str">
        <f>'Data Sample'!G314</f>
        <v>P02A360</v>
      </c>
      <c r="AY318" s="113" t="str">
        <f>'Data Sample'!G1323</f>
        <v>V0956612205324</v>
      </c>
      <c r="AZ318" s="113" t="str">
        <f>'Data Sample'!G819</f>
        <v>AU0057-65-557</v>
      </c>
      <c r="BA318" s="118"/>
      <c r="BC318" s="119" t="str">
        <f t="shared" si="21"/>
        <v>P02A360 (303)</v>
      </c>
      <c r="BD318" s="119" t="str">
        <f t="shared" si="22"/>
        <v>V0956612205324 (303)</v>
      </c>
      <c r="BE318" s="119" t="str">
        <f t="shared" si="23"/>
        <v>AU0057-65-557 (303)</v>
      </c>
    </row>
    <row r="319" spans="44:57">
      <c r="AR319" s="112">
        <f t="shared" si="20"/>
        <v>304</v>
      </c>
      <c r="AS319" s="149"/>
      <c r="AT319" s="149"/>
      <c r="AU319" s="149"/>
      <c r="AV319" s="149"/>
      <c r="AW319" s="149"/>
      <c r="AX319" s="113" t="str">
        <f>'Data Sample'!G315</f>
        <v>P02A499</v>
      </c>
      <c r="AY319" s="113" t="str">
        <f>'Data Sample'!G1324</f>
        <v>V0471323503288</v>
      </c>
      <c r="AZ319" s="113" t="str">
        <f>'Data Sample'!G820</f>
        <v>AU0001-87-313</v>
      </c>
      <c r="BA319" s="118"/>
      <c r="BC319" s="119" t="str">
        <f t="shared" si="21"/>
        <v>P02A499 (304)</v>
      </c>
      <c r="BD319" s="119" t="str">
        <f t="shared" si="22"/>
        <v>V0471323503288 (304)</v>
      </c>
      <c r="BE319" s="119" t="str">
        <f t="shared" si="23"/>
        <v>AU0001-87-313 (304)</v>
      </c>
    </row>
    <row r="320" spans="44:57">
      <c r="AR320" s="112">
        <f t="shared" si="20"/>
        <v>305</v>
      </c>
      <c r="AS320" s="149"/>
      <c r="AT320" s="149"/>
      <c r="AU320" s="149"/>
      <c r="AV320" s="149"/>
      <c r="AW320" s="149"/>
      <c r="AX320" s="113" t="str">
        <f>'Data Sample'!G316</f>
        <v>P02A518</v>
      </c>
      <c r="AY320" s="113" t="str">
        <f>'Data Sample'!G1325</f>
        <v>V0933592715238</v>
      </c>
      <c r="AZ320" s="113" t="str">
        <f>'Data Sample'!G821</f>
        <v>AU0092-46-688</v>
      </c>
      <c r="BA320" s="118"/>
      <c r="BC320" s="119" t="str">
        <f t="shared" si="21"/>
        <v>P02A518 (305)</v>
      </c>
      <c r="BD320" s="119" t="str">
        <f t="shared" si="22"/>
        <v>V0933592715238 (305)</v>
      </c>
      <c r="BE320" s="119" t="str">
        <f t="shared" si="23"/>
        <v>AU0092-46-688 (305)</v>
      </c>
    </row>
    <row r="321" spans="44:57">
      <c r="AR321" s="112">
        <f t="shared" si="20"/>
        <v>306</v>
      </c>
      <c r="AS321" s="149"/>
      <c r="AT321" s="149"/>
      <c r="AU321" s="149"/>
      <c r="AV321" s="149"/>
      <c r="AW321" s="149"/>
      <c r="AX321" s="113" t="str">
        <f>'Data Sample'!G317</f>
        <v>P02A533</v>
      </c>
      <c r="AY321" s="113" t="str">
        <f>'Data Sample'!G1326</f>
        <v>V0987466257326</v>
      </c>
      <c r="AZ321" s="113" t="str">
        <f>'Data Sample'!G822</f>
        <v>AU0043-59-289</v>
      </c>
      <c r="BA321" s="118"/>
      <c r="BC321" s="119" t="str">
        <f t="shared" si="21"/>
        <v>P02A533 (306)</v>
      </c>
      <c r="BD321" s="119" t="str">
        <f t="shared" si="22"/>
        <v>V0987466257326 (306)</v>
      </c>
      <c r="BE321" s="119" t="str">
        <f t="shared" si="23"/>
        <v>AU0043-59-289 (306)</v>
      </c>
    </row>
    <row r="322" spans="44:57">
      <c r="AR322" s="112">
        <f t="shared" si="20"/>
        <v>307</v>
      </c>
      <c r="AS322" s="149"/>
      <c r="AT322" s="149"/>
      <c r="AU322" s="149"/>
      <c r="AV322" s="149"/>
      <c r="AW322" s="149"/>
      <c r="AX322" s="113" t="str">
        <f>'Data Sample'!G318</f>
        <v>P02A521</v>
      </c>
      <c r="AY322" s="113" t="str">
        <f>'Data Sample'!G1327</f>
        <v>V0919856202154</v>
      </c>
      <c r="AZ322" s="113" t="str">
        <f>'Data Sample'!G823</f>
        <v>AU0093-10-045</v>
      </c>
      <c r="BA322" s="118"/>
      <c r="BC322" s="119" t="str">
        <f t="shared" si="21"/>
        <v>P02A521 (307)</v>
      </c>
      <c r="BD322" s="119" t="str">
        <f t="shared" si="22"/>
        <v>V0919856202154 (307)</v>
      </c>
      <c r="BE322" s="119" t="str">
        <f t="shared" si="23"/>
        <v>AU0093-10-045 (307)</v>
      </c>
    </row>
    <row r="323" spans="44:57">
      <c r="AR323" s="112">
        <f t="shared" si="20"/>
        <v>308</v>
      </c>
      <c r="AS323" s="149"/>
      <c r="AT323" s="149"/>
      <c r="AU323" s="149"/>
      <c r="AV323" s="149"/>
      <c r="AW323" s="149"/>
      <c r="AX323" s="113" t="str">
        <f>'Data Sample'!G319</f>
        <v>P02A907</v>
      </c>
      <c r="AY323" s="113" t="str">
        <f>'Data Sample'!G1328</f>
        <v>V0074884381410</v>
      </c>
      <c r="AZ323" s="113" t="str">
        <f>'Data Sample'!G824</f>
        <v>AU0032-28-544</v>
      </c>
      <c r="BA323" s="118"/>
      <c r="BC323" s="119" t="str">
        <f t="shared" si="21"/>
        <v>P02A907 (308)</v>
      </c>
      <c r="BD323" s="119" t="str">
        <f t="shared" si="22"/>
        <v>V0074884381410 (308)</v>
      </c>
      <c r="BE323" s="119" t="str">
        <f t="shared" si="23"/>
        <v>AU0032-28-544 (308)</v>
      </c>
    </row>
    <row r="324" spans="44:57">
      <c r="AR324" s="112">
        <f t="shared" si="20"/>
        <v>309</v>
      </c>
      <c r="AS324" s="149"/>
      <c r="AT324" s="149"/>
      <c r="AU324" s="149"/>
      <c r="AV324" s="149"/>
      <c r="AW324" s="149"/>
      <c r="AX324" s="113" t="str">
        <f>'Data Sample'!G320</f>
        <v>P02A715</v>
      </c>
      <c r="AY324" s="113" t="str">
        <f>'Data Sample'!G1329</f>
        <v>V0160377651777</v>
      </c>
      <c r="AZ324" s="113" t="str">
        <f>'Data Sample'!G825</f>
        <v>AU0027-89-219</v>
      </c>
      <c r="BA324" s="118"/>
      <c r="BC324" s="119" t="str">
        <f t="shared" si="21"/>
        <v>P02A715 (309)</v>
      </c>
      <c r="BD324" s="119" t="str">
        <f t="shared" si="22"/>
        <v>V0160377651777 (309)</v>
      </c>
      <c r="BE324" s="119" t="str">
        <f t="shared" si="23"/>
        <v>AU0027-89-219 (309)</v>
      </c>
    </row>
    <row r="325" spans="44:57">
      <c r="AR325" s="112">
        <f t="shared" si="20"/>
        <v>310</v>
      </c>
      <c r="AS325" s="149"/>
      <c r="AT325" s="149"/>
      <c r="AU325" s="149"/>
      <c r="AV325" s="149"/>
      <c r="AW325" s="149"/>
      <c r="AX325" s="113" t="str">
        <f>'Data Sample'!G321</f>
        <v>P02A449</v>
      </c>
      <c r="AY325" s="113" t="str">
        <f>'Data Sample'!G1330</f>
        <v>V0583362886164</v>
      </c>
      <c r="AZ325" s="113" t="str">
        <f>'Data Sample'!G826</f>
        <v>AU0066-72-982</v>
      </c>
      <c r="BA325" s="118"/>
      <c r="BC325" s="119" t="str">
        <f t="shared" si="21"/>
        <v>P02A449 (310)</v>
      </c>
      <c r="BD325" s="119" t="str">
        <f t="shared" si="22"/>
        <v>V0583362886164 (310)</v>
      </c>
      <c r="BE325" s="119" t="str">
        <f t="shared" si="23"/>
        <v>AU0066-72-982 (310)</v>
      </c>
    </row>
    <row r="326" spans="44:57">
      <c r="AR326" s="112">
        <f t="shared" si="20"/>
        <v>311</v>
      </c>
      <c r="AS326" s="149"/>
      <c r="AT326" s="149"/>
      <c r="AU326" s="149"/>
      <c r="AV326" s="149"/>
      <c r="AW326" s="149"/>
      <c r="AX326" s="113" t="str">
        <f>'Data Sample'!G322</f>
        <v>P02A442</v>
      </c>
      <c r="AY326" s="113" t="str">
        <f>'Data Sample'!G1331</f>
        <v>V0284279995873</v>
      </c>
      <c r="AZ326" s="113" t="str">
        <f>'Data Sample'!G827</f>
        <v>AU0070-93-855</v>
      </c>
      <c r="BA326" s="118"/>
      <c r="BC326" s="119" t="str">
        <f t="shared" si="21"/>
        <v>P02A442 (311)</v>
      </c>
      <c r="BD326" s="119" t="str">
        <f t="shared" si="22"/>
        <v>V0284279995873 (311)</v>
      </c>
      <c r="BE326" s="119" t="str">
        <f t="shared" si="23"/>
        <v>AU0070-93-855 (311)</v>
      </c>
    </row>
    <row r="327" spans="44:57">
      <c r="AR327" s="112">
        <f t="shared" si="20"/>
        <v>312</v>
      </c>
      <c r="AS327" s="149"/>
      <c r="AT327" s="149"/>
      <c r="AU327" s="149"/>
      <c r="AV327" s="149"/>
      <c r="AW327" s="149"/>
      <c r="AX327" s="113" t="str">
        <f>'Data Sample'!G323</f>
        <v>P02A891</v>
      </c>
      <c r="AY327" s="113" t="str">
        <f>'Data Sample'!G1332</f>
        <v>V0554898529464</v>
      </c>
      <c r="AZ327" s="113" t="str">
        <f>'Data Sample'!G828</f>
        <v>AU0050-93-818</v>
      </c>
      <c r="BA327" s="118"/>
      <c r="BC327" s="119" t="str">
        <f t="shared" si="21"/>
        <v>P02A891 (312)</v>
      </c>
      <c r="BD327" s="119" t="str">
        <f t="shared" si="22"/>
        <v>V0554898529464 (312)</v>
      </c>
      <c r="BE327" s="119" t="str">
        <f t="shared" si="23"/>
        <v>AU0050-93-818 (312)</v>
      </c>
    </row>
    <row r="328" spans="44:57">
      <c r="AR328" s="112">
        <f t="shared" si="20"/>
        <v>313</v>
      </c>
      <c r="AS328" s="149"/>
      <c r="AT328" s="149"/>
      <c r="AU328" s="149"/>
      <c r="AV328" s="149"/>
      <c r="AW328" s="149"/>
      <c r="AX328" s="113" t="str">
        <f>'Data Sample'!G324</f>
        <v>P02A778</v>
      </c>
      <c r="AY328" s="113" t="str">
        <f>'Data Sample'!G1333</f>
        <v>V0616120533432</v>
      </c>
      <c r="AZ328" s="113" t="str">
        <f>'Data Sample'!G829</f>
        <v>AU0002-71-263</v>
      </c>
      <c r="BA328" s="118"/>
      <c r="BC328" s="119" t="str">
        <f t="shared" si="21"/>
        <v>P02A778 (313)</v>
      </c>
      <c r="BD328" s="119" t="str">
        <f t="shared" si="22"/>
        <v>V0616120533432 (313)</v>
      </c>
      <c r="BE328" s="119" t="str">
        <f t="shared" si="23"/>
        <v>AU0002-71-263 (313)</v>
      </c>
    </row>
    <row r="329" spans="44:57">
      <c r="AR329" s="112">
        <f t="shared" si="20"/>
        <v>314</v>
      </c>
      <c r="AS329" s="149"/>
      <c r="AT329" s="149"/>
      <c r="AU329" s="149"/>
      <c r="AV329" s="149"/>
      <c r="AW329" s="149"/>
      <c r="AX329" s="113" t="str">
        <f>'Data Sample'!G325</f>
        <v>P02A516</v>
      </c>
      <c r="AY329" s="113" t="str">
        <f>'Data Sample'!G1334</f>
        <v>V0002469168427</v>
      </c>
      <c r="AZ329" s="113" t="str">
        <f>'Data Sample'!G830</f>
        <v>AU0024-56-285</v>
      </c>
      <c r="BA329" s="118"/>
      <c r="BC329" s="119" t="str">
        <f t="shared" si="21"/>
        <v>P02A516 (314)</v>
      </c>
      <c r="BD329" s="119" t="str">
        <f t="shared" si="22"/>
        <v>V0002469168427 (314)</v>
      </c>
      <c r="BE329" s="119" t="str">
        <f t="shared" si="23"/>
        <v>AU0024-56-285 (314)</v>
      </c>
    </row>
    <row r="330" spans="44:57">
      <c r="AR330" s="112">
        <f t="shared" si="20"/>
        <v>315</v>
      </c>
      <c r="AS330" s="149"/>
      <c r="AT330" s="149"/>
      <c r="AU330" s="149"/>
      <c r="AV330" s="149"/>
      <c r="AW330" s="149"/>
      <c r="AX330" s="113" t="str">
        <f>'Data Sample'!G326</f>
        <v>P02A127</v>
      </c>
      <c r="AY330" s="113" t="str">
        <f>'Data Sample'!G1335</f>
        <v>V0519431920034</v>
      </c>
      <c r="AZ330" s="113" t="str">
        <f>'Data Sample'!G831</f>
        <v>AU0002-87-715</v>
      </c>
      <c r="BA330" s="118"/>
      <c r="BC330" s="119" t="str">
        <f t="shared" si="21"/>
        <v>P02A127 (315)</v>
      </c>
      <c r="BD330" s="119" t="str">
        <f t="shared" si="22"/>
        <v>V0519431920034 (315)</v>
      </c>
      <c r="BE330" s="119" t="str">
        <f t="shared" si="23"/>
        <v>AU0002-87-715 (315)</v>
      </c>
    </row>
    <row r="331" spans="44:57">
      <c r="AR331" s="112">
        <f t="shared" si="20"/>
        <v>316</v>
      </c>
      <c r="AS331" s="149"/>
      <c r="AT331" s="149"/>
      <c r="AU331" s="149"/>
      <c r="AV331" s="149"/>
      <c r="AW331" s="149"/>
      <c r="AX331" s="113" t="str">
        <f>'Data Sample'!G327</f>
        <v>P02A934</v>
      </c>
      <c r="AY331" s="113" t="str">
        <f>'Data Sample'!G1336</f>
        <v>V0223980656840</v>
      </c>
      <c r="AZ331" s="113" t="str">
        <f>'Data Sample'!G832</f>
        <v>AU0051-42-658</v>
      </c>
      <c r="BA331" s="118"/>
      <c r="BC331" s="119" t="str">
        <f t="shared" si="21"/>
        <v>P02A934 (316)</v>
      </c>
      <c r="BD331" s="119" t="str">
        <f t="shared" si="22"/>
        <v>V0223980656840 (316)</v>
      </c>
      <c r="BE331" s="119" t="str">
        <f t="shared" si="23"/>
        <v>AU0051-42-658 (316)</v>
      </c>
    </row>
    <row r="332" spans="44:57">
      <c r="AR332" s="112">
        <f t="shared" si="20"/>
        <v>317</v>
      </c>
      <c r="AS332" s="149"/>
      <c r="AT332" s="149"/>
      <c r="AU332" s="149"/>
      <c r="AV332" s="149"/>
      <c r="AW332" s="149"/>
      <c r="AX332" s="113" t="str">
        <f>'Data Sample'!G328</f>
        <v>P02A828</v>
      </c>
      <c r="AY332" s="113" t="str">
        <f>'Data Sample'!G1337</f>
        <v>V0982563107543</v>
      </c>
      <c r="AZ332" s="113" t="str">
        <f>'Data Sample'!G833</f>
        <v>AU0007-85-158</v>
      </c>
      <c r="BA332" s="118"/>
      <c r="BC332" s="119" t="str">
        <f t="shared" si="21"/>
        <v>P02A828 (317)</v>
      </c>
      <c r="BD332" s="119" t="str">
        <f t="shared" si="22"/>
        <v>V0982563107543 (317)</v>
      </c>
      <c r="BE332" s="119" t="str">
        <f t="shared" si="23"/>
        <v>AU0007-85-158 (317)</v>
      </c>
    </row>
    <row r="333" spans="44:57">
      <c r="AR333" s="112">
        <f t="shared" si="20"/>
        <v>318</v>
      </c>
      <c r="AS333" s="149"/>
      <c r="AT333" s="149"/>
      <c r="AU333" s="149"/>
      <c r="AV333" s="149"/>
      <c r="AW333" s="149"/>
      <c r="AX333" s="113" t="str">
        <f>'Data Sample'!G329</f>
        <v>P02A211</v>
      </c>
      <c r="AY333" s="113" t="str">
        <f>'Data Sample'!G1338</f>
        <v>V0594415291979</v>
      </c>
      <c r="AZ333" s="113" t="str">
        <f>'Data Sample'!G834</f>
        <v>AU0033-28-823</v>
      </c>
      <c r="BA333" s="118"/>
      <c r="BC333" s="119" t="str">
        <f t="shared" si="21"/>
        <v>P02A211 (318)</v>
      </c>
      <c r="BD333" s="119" t="str">
        <f t="shared" si="22"/>
        <v>V0594415291979 (318)</v>
      </c>
      <c r="BE333" s="119" t="str">
        <f t="shared" si="23"/>
        <v>AU0033-28-823 (318)</v>
      </c>
    </row>
    <row r="334" spans="44:57">
      <c r="AR334" s="112">
        <f t="shared" si="20"/>
        <v>319</v>
      </c>
      <c r="AS334" s="149"/>
      <c r="AT334" s="149"/>
      <c r="AU334" s="149"/>
      <c r="AV334" s="149"/>
      <c r="AW334" s="149"/>
      <c r="AX334" s="113" t="str">
        <f>'Data Sample'!G330</f>
        <v>P02A667</v>
      </c>
      <c r="AY334" s="113" t="str">
        <f>'Data Sample'!G1339</f>
        <v>V0673692539095</v>
      </c>
      <c r="AZ334" s="113" t="str">
        <f>'Data Sample'!G835</f>
        <v>AU0093-99-914</v>
      </c>
      <c r="BA334" s="118"/>
      <c r="BC334" s="119" t="str">
        <f t="shared" si="21"/>
        <v>P02A667 (319)</v>
      </c>
      <c r="BD334" s="119" t="str">
        <f t="shared" si="22"/>
        <v>V0673692539095 (319)</v>
      </c>
      <c r="BE334" s="119" t="str">
        <f t="shared" si="23"/>
        <v>AU0093-99-914 (319)</v>
      </c>
    </row>
    <row r="335" spans="44:57">
      <c r="AR335" s="112">
        <f t="shared" si="20"/>
        <v>320</v>
      </c>
      <c r="AS335" s="149"/>
      <c r="AT335" s="149"/>
      <c r="AU335" s="149"/>
      <c r="AV335" s="149"/>
      <c r="AW335" s="149"/>
      <c r="AX335" s="113" t="str">
        <f>'Data Sample'!G331</f>
        <v>P02A845</v>
      </c>
      <c r="AY335" s="113" t="str">
        <f>'Data Sample'!G1340</f>
        <v>V0665294431633</v>
      </c>
      <c r="AZ335" s="113" t="str">
        <f>'Data Sample'!G836</f>
        <v>AU0046-03-246</v>
      </c>
      <c r="BA335" s="118"/>
      <c r="BC335" s="119" t="str">
        <f t="shared" si="21"/>
        <v>P02A845 (320)</v>
      </c>
      <c r="BD335" s="119" t="str">
        <f t="shared" si="22"/>
        <v>V0665294431633 (320)</v>
      </c>
      <c r="BE335" s="119" t="str">
        <f t="shared" si="23"/>
        <v>AU0046-03-246 (320)</v>
      </c>
    </row>
    <row r="336" spans="44:57">
      <c r="AR336" s="112">
        <f t="shared" ref="AR336:AR399" si="24">1+AR335</f>
        <v>321</v>
      </c>
      <c r="AS336" s="149"/>
      <c r="AT336" s="149"/>
      <c r="AU336" s="149"/>
      <c r="AV336" s="149"/>
      <c r="AW336" s="149"/>
      <c r="AX336" s="113" t="str">
        <f>'Data Sample'!G332</f>
        <v>P02A227</v>
      </c>
      <c r="AY336" s="113" t="str">
        <f>'Data Sample'!G1341</f>
        <v>V0732452234208</v>
      </c>
      <c r="AZ336" s="113" t="str">
        <f>'Data Sample'!G837</f>
        <v>AU0084-43-540</v>
      </c>
      <c r="BA336" s="118"/>
      <c r="BC336" s="119" t="str">
        <f t="shared" ref="BC336:BC399" si="25">AX336 &amp; " ("&amp; $AR336 &amp; ")"</f>
        <v>P02A227 (321)</v>
      </c>
      <c r="BD336" s="119" t="str">
        <f t="shared" ref="BD336:BD399" si="26">AY336 &amp; " ("&amp; $AR336 &amp; ")"</f>
        <v>V0732452234208 (321)</v>
      </c>
      <c r="BE336" s="119" t="str">
        <f t="shared" ref="BE336:BE399" si="27">AZ336 &amp; " ("&amp; $AR336 &amp; ")"</f>
        <v>AU0084-43-540 (321)</v>
      </c>
    </row>
    <row r="337" spans="44:57">
      <c r="AR337" s="112">
        <f t="shared" si="24"/>
        <v>322</v>
      </c>
      <c r="AS337" s="149"/>
      <c r="AT337" s="149"/>
      <c r="AU337" s="149"/>
      <c r="AV337" s="149"/>
      <c r="AW337" s="149"/>
      <c r="AX337" s="113" t="str">
        <f>'Data Sample'!G333</f>
        <v>P02A599</v>
      </c>
      <c r="AY337" s="113" t="str">
        <f>'Data Sample'!G1342</f>
        <v>V0253369757130</v>
      </c>
      <c r="AZ337" s="113" t="str">
        <f>'Data Sample'!G838</f>
        <v>AU0076-10-226</v>
      </c>
      <c r="BA337" s="118"/>
      <c r="BC337" s="119" t="str">
        <f t="shared" si="25"/>
        <v>P02A599 (322)</v>
      </c>
      <c r="BD337" s="119" t="str">
        <f t="shared" si="26"/>
        <v>V0253369757130 (322)</v>
      </c>
      <c r="BE337" s="119" t="str">
        <f t="shared" si="27"/>
        <v>AU0076-10-226 (322)</v>
      </c>
    </row>
    <row r="338" spans="44:57">
      <c r="AR338" s="112">
        <f t="shared" si="24"/>
        <v>323</v>
      </c>
      <c r="AS338" s="149"/>
      <c r="AT338" s="149"/>
      <c r="AU338" s="149"/>
      <c r="AV338" s="149"/>
      <c r="AW338" s="149"/>
      <c r="AX338" s="113" t="str">
        <f>'Data Sample'!G334</f>
        <v>P02A382</v>
      </c>
      <c r="AY338" s="113" t="str">
        <f>'Data Sample'!G1343</f>
        <v>V0542839834454</v>
      </c>
      <c r="AZ338" s="113" t="str">
        <f>'Data Sample'!G839</f>
        <v>AU0043-05-187</v>
      </c>
      <c r="BA338" s="118"/>
      <c r="BC338" s="119" t="str">
        <f t="shared" si="25"/>
        <v>P02A382 (323)</v>
      </c>
      <c r="BD338" s="119" t="str">
        <f t="shared" si="26"/>
        <v>V0542839834454 (323)</v>
      </c>
      <c r="BE338" s="119" t="str">
        <f t="shared" si="27"/>
        <v>AU0043-05-187 (323)</v>
      </c>
    </row>
    <row r="339" spans="44:57">
      <c r="AR339" s="112">
        <f t="shared" si="24"/>
        <v>324</v>
      </c>
      <c r="AS339" s="149"/>
      <c r="AT339" s="149"/>
      <c r="AU339" s="149"/>
      <c r="AV339" s="149"/>
      <c r="AW339" s="149"/>
      <c r="AX339" s="113" t="str">
        <f>'Data Sample'!G335</f>
        <v>P02A718</v>
      </c>
      <c r="AY339" s="113" t="str">
        <f>'Data Sample'!G1344</f>
        <v>V0532030351391</v>
      </c>
      <c r="AZ339" s="113" t="str">
        <f>'Data Sample'!G840</f>
        <v>AU0048-03-029</v>
      </c>
      <c r="BA339" s="118"/>
      <c r="BC339" s="119" t="str">
        <f t="shared" si="25"/>
        <v>P02A718 (324)</v>
      </c>
      <c r="BD339" s="119" t="str">
        <f t="shared" si="26"/>
        <v>V0532030351391 (324)</v>
      </c>
      <c r="BE339" s="119" t="str">
        <f t="shared" si="27"/>
        <v>AU0048-03-029 (324)</v>
      </c>
    </row>
    <row r="340" spans="44:57">
      <c r="AR340" s="112">
        <f t="shared" si="24"/>
        <v>325</v>
      </c>
      <c r="AS340" s="149"/>
      <c r="AT340" s="149"/>
      <c r="AU340" s="149"/>
      <c r="AV340" s="149"/>
      <c r="AW340" s="149"/>
      <c r="AX340" s="113" t="str">
        <f>'Data Sample'!G336</f>
        <v>P02A74</v>
      </c>
      <c r="AY340" s="113" t="str">
        <f>'Data Sample'!G1345</f>
        <v>V0334209296919</v>
      </c>
      <c r="AZ340" s="113" t="str">
        <f>'Data Sample'!G841</f>
        <v>AU0000-36-297</v>
      </c>
      <c r="BA340" s="118"/>
      <c r="BC340" s="119" t="str">
        <f t="shared" si="25"/>
        <v>P02A74 (325)</v>
      </c>
      <c r="BD340" s="119" t="str">
        <f t="shared" si="26"/>
        <v>V0334209296919 (325)</v>
      </c>
      <c r="BE340" s="119" t="str">
        <f t="shared" si="27"/>
        <v>AU0000-36-297 (325)</v>
      </c>
    </row>
    <row r="341" spans="44:57">
      <c r="AR341" s="112">
        <f t="shared" si="24"/>
        <v>326</v>
      </c>
      <c r="AS341" s="149"/>
      <c r="AT341" s="149"/>
      <c r="AU341" s="149"/>
      <c r="AV341" s="149"/>
      <c r="AW341" s="149"/>
      <c r="AX341" s="113" t="str">
        <f>'Data Sample'!G337</f>
        <v>P02A750</v>
      </c>
      <c r="AY341" s="113" t="str">
        <f>'Data Sample'!G1346</f>
        <v>V0470392132849</v>
      </c>
      <c r="AZ341" s="113" t="str">
        <f>'Data Sample'!G842</f>
        <v>AU0083-94-148</v>
      </c>
      <c r="BA341" s="118"/>
      <c r="BC341" s="119" t="str">
        <f t="shared" si="25"/>
        <v>P02A750 (326)</v>
      </c>
      <c r="BD341" s="119" t="str">
        <f t="shared" si="26"/>
        <v>V0470392132849 (326)</v>
      </c>
      <c r="BE341" s="119" t="str">
        <f t="shared" si="27"/>
        <v>AU0083-94-148 (326)</v>
      </c>
    </row>
    <row r="342" spans="44:57">
      <c r="AR342" s="112">
        <f t="shared" si="24"/>
        <v>327</v>
      </c>
      <c r="AS342" s="149"/>
      <c r="AT342" s="149"/>
      <c r="AU342" s="149"/>
      <c r="AV342" s="149"/>
      <c r="AW342" s="149"/>
      <c r="AX342" s="113" t="str">
        <f>'Data Sample'!G338</f>
        <v>P02A744</v>
      </c>
      <c r="AY342" s="113" t="str">
        <f>'Data Sample'!G1347</f>
        <v>V0311098116311</v>
      </c>
      <c r="AZ342" s="113" t="str">
        <f>'Data Sample'!G843</f>
        <v>AU0089-84-864</v>
      </c>
      <c r="BA342" s="118"/>
      <c r="BC342" s="119" t="str">
        <f t="shared" si="25"/>
        <v>P02A744 (327)</v>
      </c>
      <c r="BD342" s="119" t="str">
        <f t="shared" si="26"/>
        <v>V0311098116311 (327)</v>
      </c>
      <c r="BE342" s="119" t="str">
        <f t="shared" si="27"/>
        <v>AU0089-84-864 (327)</v>
      </c>
    </row>
    <row r="343" spans="44:57">
      <c r="AR343" s="112">
        <f t="shared" si="24"/>
        <v>328</v>
      </c>
      <c r="AS343" s="149"/>
      <c r="AT343" s="149"/>
      <c r="AU343" s="149"/>
      <c r="AV343" s="149"/>
      <c r="AW343" s="149"/>
      <c r="AX343" s="113" t="str">
        <f>'Data Sample'!G339</f>
        <v>P02A509</v>
      </c>
      <c r="AY343" s="113" t="str">
        <f>'Data Sample'!G1348</f>
        <v>V0822569518287</v>
      </c>
      <c r="AZ343" s="113" t="str">
        <f>'Data Sample'!G844</f>
        <v>AU0075-60-238</v>
      </c>
      <c r="BA343" s="118"/>
      <c r="BC343" s="119" t="str">
        <f t="shared" si="25"/>
        <v>P02A509 (328)</v>
      </c>
      <c r="BD343" s="119" t="str">
        <f t="shared" si="26"/>
        <v>V0822569518287 (328)</v>
      </c>
      <c r="BE343" s="119" t="str">
        <f t="shared" si="27"/>
        <v>AU0075-60-238 (328)</v>
      </c>
    </row>
    <row r="344" spans="44:57">
      <c r="AR344" s="112">
        <f t="shared" si="24"/>
        <v>329</v>
      </c>
      <c r="AS344" s="149"/>
      <c r="AT344" s="149"/>
      <c r="AU344" s="149"/>
      <c r="AV344" s="149"/>
      <c r="AW344" s="149"/>
      <c r="AX344" s="113" t="str">
        <f>'Data Sample'!G340</f>
        <v>P02A720</v>
      </c>
      <c r="AY344" s="113" t="str">
        <f>'Data Sample'!G1349</f>
        <v>V0637685609333</v>
      </c>
      <c r="AZ344" s="113" t="str">
        <f>'Data Sample'!G845</f>
        <v>AU0045-01-462</v>
      </c>
      <c r="BA344" s="118"/>
      <c r="BC344" s="119" t="str">
        <f t="shared" si="25"/>
        <v>P02A720 (329)</v>
      </c>
      <c r="BD344" s="119" t="str">
        <f t="shared" si="26"/>
        <v>V0637685609333 (329)</v>
      </c>
      <c r="BE344" s="119" t="str">
        <f t="shared" si="27"/>
        <v>AU0045-01-462 (329)</v>
      </c>
    </row>
    <row r="345" spans="44:57">
      <c r="AR345" s="112">
        <f t="shared" si="24"/>
        <v>330</v>
      </c>
      <c r="AS345" s="149"/>
      <c r="AT345" s="149"/>
      <c r="AU345" s="149"/>
      <c r="AV345" s="149"/>
      <c r="AW345" s="149"/>
      <c r="AX345" s="113" t="str">
        <f>'Data Sample'!G341</f>
        <v>P02A372</v>
      </c>
      <c r="AY345" s="113" t="str">
        <f>'Data Sample'!G1350</f>
        <v>V0933473280367</v>
      </c>
      <c r="AZ345" s="113" t="str">
        <f>'Data Sample'!G846</f>
        <v>AU0048-77-056</v>
      </c>
      <c r="BA345" s="118"/>
      <c r="BC345" s="119" t="str">
        <f t="shared" si="25"/>
        <v>P02A372 (330)</v>
      </c>
      <c r="BD345" s="119" t="str">
        <f t="shared" si="26"/>
        <v>V0933473280367 (330)</v>
      </c>
      <c r="BE345" s="119" t="str">
        <f t="shared" si="27"/>
        <v>AU0048-77-056 (330)</v>
      </c>
    </row>
    <row r="346" spans="44:57">
      <c r="AR346" s="112">
        <f t="shared" si="24"/>
        <v>331</v>
      </c>
      <c r="AS346" s="149"/>
      <c r="AT346" s="149"/>
      <c r="AU346" s="149"/>
      <c r="AV346" s="149"/>
      <c r="AW346" s="149"/>
      <c r="AX346" s="113" t="str">
        <f>'Data Sample'!G342</f>
        <v>P02A29</v>
      </c>
      <c r="AY346" s="113" t="str">
        <f>'Data Sample'!G1351</f>
        <v>V0339511465651</v>
      </c>
      <c r="AZ346" s="113" t="str">
        <f>'Data Sample'!G847</f>
        <v>AU0079-23-513</v>
      </c>
      <c r="BA346" s="118"/>
      <c r="BC346" s="119" t="str">
        <f t="shared" si="25"/>
        <v>P02A29 (331)</v>
      </c>
      <c r="BD346" s="119" t="str">
        <f t="shared" si="26"/>
        <v>V0339511465651 (331)</v>
      </c>
      <c r="BE346" s="119" t="str">
        <f t="shared" si="27"/>
        <v>AU0079-23-513 (331)</v>
      </c>
    </row>
    <row r="347" spans="44:57">
      <c r="AR347" s="112">
        <f t="shared" si="24"/>
        <v>332</v>
      </c>
      <c r="AS347" s="149"/>
      <c r="AT347" s="149"/>
      <c r="AU347" s="149"/>
      <c r="AV347" s="149"/>
      <c r="AW347" s="149"/>
      <c r="AX347" s="113" t="str">
        <f>'Data Sample'!G343</f>
        <v>P02A942</v>
      </c>
      <c r="AY347" s="113" t="str">
        <f>'Data Sample'!G1352</f>
        <v>V0031897254354</v>
      </c>
      <c r="AZ347" s="113" t="str">
        <f>'Data Sample'!G848</f>
        <v>AU0019-73-265</v>
      </c>
      <c r="BA347" s="118"/>
      <c r="BC347" s="119" t="str">
        <f t="shared" si="25"/>
        <v>P02A942 (332)</v>
      </c>
      <c r="BD347" s="119" t="str">
        <f t="shared" si="26"/>
        <v>V0031897254354 (332)</v>
      </c>
      <c r="BE347" s="119" t="str">
        <f t="shared" si="27"/>
        <v>AU0019-73-265 (332)</v>
      </c>
    </row>
    <row r="348" spans="44:57">
      <c r="AR348" s="112">
        <f t="shared" si="24"/>
        <v>333</v>
      </c>
      <c r="AS348" s="149"/>
      <c r="AT348" s="149"/>
      <c r="AU348" s="149"/>
      <c r="AV348" s="149"/>
      <c r="AW348" s="149"/>
      <c r="AX348" s="113" t="str">
        <f>'Data Sample'!G344</f>
        <v>P02A115</v>
      </c>
      <c r="AY348" s="113" t="str">
        <f>'Data Sample'!G1353</f>
        <v>V0435165096207</v>
      </c>
      <c r="AZ348" s="113" t="str">
        <f>'Data Sample'!G849</f>
        <v>AU0042-79-010</v>
      </c>
      <c r="BA348" s="118"/>
      <c r="BC348" s="119" t="str">
        <f t="shared" si="25"/>
        <v>P02A115 (333)</v>
      </c>
      <c r="BD348" s="119" t="str">
        <f t="shared" si="26"/>
        <v>V0435165096207 (333)</v>
      </c>
      <c r="BE348" s="119" t="str">
        <f t="shared" si="27"/>
        <v>AU0042-79-010 (333)</v>
      </c>
    </row>
    <row r="349" spans="44:57">
      <c r="AR349" s="112">
        <f t="shared" si="24"/>
        <v>334</v>
      </c>
      <c r="AS349" s="149"/>
      <c r="AT349" s="149"/>
      <c r="AU349" s="149"/>
      <c r="AV349" s="149"/>
      <c r="AW349" s="149"/>
      <c r="AX349" s="113" t="str">
        <f>'Data Sample'!G345</f>
        <v>P02A501</v>
      </c>
      <c r="AY349" s="113" t="str">
        <f>'Data Sample'!G1354</f>
        <v>V0463725657356</v>
      </c>
      <c r="AZ349" s="113" t="str">
        <f>'Data Sample'!G850</f>
        <v>AU0016-67-100</v>
      </c>
      <c r="BA349" s="118"/>
      <c r="BC349" s="119" t="str">
        <f t="shared" si="25"/>
        <v>P02A501 (334)</v>
      </c>
      <c r="BD349" s="119" t="str">
        <f t="shared" si="26"/>
        <v>V0463725657356 (334)</v>
      </c>
      <c r="BE349" s="119" t="str">
        <f t="shared" si="27"/>
        <v>AU0016-67-100 (334)</v>
      </c>
    </row>
    <row r="350" spans="44:57">
      <c r="AR350" s="112">
        <f t="shared" si="24"/>
        <v>335</v>
      </c>
      <c r="AS350" s="149"/>
      <c r="AT350" s="149"/>
      <c r="AU350" s="149"/>
      <c r="AV350" s="149"/>
      <c r="AW350" s="149"/>
      <c r="AX350" s="113" t="str">
        <f>'Data Sample'!G346</f>
        <v>P02A286</v>
      </c>
      <c r="AY350" s="113" t="str">
        <f>'Data Sample'!G1355</f>
        <v>V0608029273150</v>
      </c>
      <c r="AZ350" s="113" t="str">
        <f>'Data Sample'!G851</f>
        <v>AU0020-92-475</v>
      </c>
      <c r="BA350" s="118"/>
      <c r="BC350" s="119" t="str">
        <f t="shared" si="25"/>
        <v>P02A286 (335)</v>
      </c>
      <c r="BD350" s="119" t="str">
        <f t="shared" si="26"/>
        <v>V0608029273150 (335)</v>
      </c>
      <c r="BE350" s="119" t="str">
        <f t="shared" si="27"/>
        <v>AU0020-92-475 (335)</v>
      </c>
    </row>
    <row r="351" spans="44:57">
      <c r="AR351" s="112">
        <f t="shared" si="24"/>
        <v>336</v>
      </c>
      <c r="AS351" s="149"/>
      <c r="AT351" s="149"/>
      <c r="AU351" s="149"/>
      <c r="AV351" s="149"/>
      <c r="AW351" s="149"/>
      <c r="AX351" s="113" t="str">
        <f>'Data Sample'!G347</f>
        <v>P02A187</v>
      </c>
      <c r="AY351" s="113" t="str">
        <f>'Data Sample'!G1356</f>
        <v>V0976341000197</v>
      </c>
      <c r="AZ351" s="113" t="str">
        <f>'Data Sample'!G852</f>
        <v>AU0044-65-720</v>
      </c>
      <c r="BA351" s="118"/>
      <c r="BC351" s="119" t="str">
        <f t="shared" si="25"/>
        <v>P02A187 (336)</v>
      </c>
      <c r="BD351" s="119" t="str">
        <f t="shared" si="26"/>
        <v>V0976341000197 (336)</v>
      </c>
      <c r="BE351" s="119" t="str">
        <f t="shared" si="27"/>
        <v>AU0044-65-720 (336)</v>
      </c>
    </row>
    <row r="352" spans="44:57">
      <c r="AR352" s="112">
        <f t="shared" si="24"/>
        <v>337</v>
      </c>
      <c r="AS352" s="149"/>
      <c r="AT352" s="149"/>
      <c r="AU352" s="149"/>
      <c r="AV352" s="149"/>
      <c r="AW352" s="149"/>
      <c r="AX352" s="113" t="str">
        <f>'Data Sample'!G348</f>
        <v>P02A814</v>
      </c>
      <c r="AY352" s="113" t="str">
        <f>'Data Sample'!G1357</f>
        <v>V0625454411784</v>
      </c>
      <c r="AZ352" s="113" t="str">
        <f>'Data Sample'!G853</f>
        <v>AU0019-88-189</v>
      </c>
      <c r="BA352" s="118"/>
      <c r="BC352" s="119" t="str">
        <f t="shared" si="25"/>
        <v>P02A814 (337)</v>
      </c>
      <c r="BD352" s="119" t="str">
        <f t="shared" si="26"/>
        <v>V0625454411784 (337)</v>
      </c>
      <c r="BE352" s="119" t="str">
        <f t="shared" si="27"/>
        <v>AU0019-88-189 (337)</v>
      </c>
    </row>
    <row r="353" spans="44:57">
      <c r="AR353" s="112">
        <f t="shared" si="24"/>
        <v>338</v>
      </c>
      <c r="AS353" s="149"/>
      <c r="AT353" s="149"/>
      <c r="AU353" s="149"/>
      <c r="AV353" s="149"/>
      <c r="AW353" s="149"/>
      <c r="AX353" s="113" t="str">
        <f>'Data Sample'!G349</f>
        <v>P02A327</v>
      </c>
      <c r="AY353" s="113" t="str">
        <f>'Data Sample'!G1358</f>
        <v>V0010196495014</v>
      </c>
      <c r="AZ353" s="113" t="str">
        <f>'Data Sample'!G854</f>
        <v>AU0026-41-029</v>
      </c>
      <c r="BA353" s="118"/>
      <c r="BC353" s="119" t="str">
        <f t="shared" si="25"/>
        <v>P02A327 (338)</v>
      </c>
      <c r="BD353" s="119" t="str">
        <f t="shared" si="26"/>
        <v>V0010196495014 (338)</v>
      </c>
      <c r="BE353" s="119" t="str">
        <f t="shared" si="27"/>
        <v>AU0026-41-029 (338)</v>
      </c>
    </row>
    <row r="354" spans="44:57">
      <c r="AR354" s="112">
        <f t="shared" si="24"/>
        <v>339</v>
      </c>
      <c r="AS354" s="149"/>
      <c r="AT354" s="149"/>
      <c r="AU354" s="149"/>
      <c r="AV354" s="149"/>
      <c r="AW354" s="149"/>
      <c r="AX354" s="113" t="str">
        <f>'Data Sample'!G350</f>
        <v>P02A754</v>
      </c>
      <c r="AY354" s="113" t="str">
        <f>'Data Sample'!G1359</f>
        <v>V0210287526819</v>
      </c>
      <c r="AZ354" s="113" t="str">
        <f>'Data Sample'!G855</f>
        <v>AU0009-38-029</v>
      </c>
      <c r="BA354" s="118"/>
      <c r="BC354" s="119" t="str">
        <f t="shared" si="25"/>
        <v>P02A754 (339)</v>
      </c>
      <c r="BD354" s="119" t="str">
        <f t="shared" si="26"/>
        <v>V0210287526819 (339)</v>
      </c>
      <c r="BE354" s="119" t="str">
        <f t="shared" si="27"/>
        <v>AU0009-38-029 (339)</v>
      </c>
    </row>
    <row r="355" spans="44:57">
      <c r="AR355" s="112">
        <f t="shared" si="24"/>
        <v>340</v>
      </c>
      <c r="AS355" s="149"/>
      <c r="AT355" s="149"/>
      <c r="AU355" s="149"/>
      <c r="AV355" s="149"/>
      <c r="AW355" s="149"/>
      <c r="AX355" s="113" t="str">
        <f>'Data Sample'!G351</f>
        <v>P02A340</v>
      </c>
      <c r="AY355" s="113" t="str">
        <f>'Data Sample'!G1360</f>
        <v>V0336810781980</v>
      </c>
      <c r="AZ355" s="113" t="str">
        <f>'Data Sample'!G856</f>
        <v>AU0063-88-159</v>
      </c>
      <c r="BA355" s="118"/>
      <c r="BC355" s="119" t="str">
        <f t="shared" si="25"/>
        <v>P02A340 (340)</v>
      </c>
      <c r="BD355" s="119" t="str">
        <f t="shared" si="26"/>
        <v>V0336810781980 (340)</v>
      </c>
      <c r="BE355" s="119" t="str">
        <f t="shared" si="27"/>
        <v>AU0063-88-159 (340)</v>
      </c>
    </row>
    <row r="356" spans="44:57">
      <c r="AR356" s="112">
        <f t="shared" si="24"/>
        <v>341</v>
      </c>
      <c r="AS356" s="149"/>
      <c r="AT356" s="149"/>
      <c r="AU356" s="149"/>
      <c r="AV356" s="149"/>
      <c r="AW356" s="149"/>
      <c r="AX356" s="113" t="str">
        <f>'Data Sample'!G352</f>
        <v>P02A858</v>
      </c>
      <c r="AY356" s="113" t="str">
        <f>'Data Sample'!G1361</f>
        <v>V0310379130284</v>
      </c>
      <c r="AZ356" s="113" t="str">
        <f>'Data Sample'!G857</f>
        <v>AU0018-52-102</v>
      </c>
      <c r="BA356" s="118"/>
      <c r="BC356" s="119" t="str">
        <f t="shared" si="25"/>
        <v>P02A858 (341)</v>
      </c>
      <c r="BD356" s="119" t="str">
        <f t="shared" si="26"/>
        <v>V0310379130284 (341)</v>
      </c>
      <c r="BE356" s="119" t="str">
        <f t="shared" si="27"/>
        <v>AU0018-52-102 (341)</v>
      </c>
    </row>
    <row r="357" spans="44:57">
      <c r="AR357" s="112">
        <f t="shared" si="24"/>
        <v>342</v>
      </c>
      <c r="AS357" s="149"/>
      <c r="AT357" s="149"/>
      <c r="AU357" s="149"/>
      <c r="AV357" s="149"/>
      <c r="AW357" s="149"/>
      <c r="AX357" s="113" t="str">
        <f>'Data Sample'!G353</f>
        <v>P02A291</v>
      </c>
      <c r="AY357" s="113" t="str">
        <f>'Data Sample'!G1362</f>
        <v>V0771953824811</v>
      </c>
      <c r="AZ357" s="113" t="str">
        <f>'Data Sample'!G858</f>
        <v>AU0049-91-286</v>
      </c>
      <c r="BA357" s="118"/>
      <c r="BC357" s="119" t="str">
        <f t="shared" si="25"/>
        <v>P02A291 (342)</v>
      </c>
      <c r="BD357" s="119" t="str">
        <f t="shared" si="26"/>
        <v>V0771953824811 (342)</v>
      </c>
      <c r="BE357" s="119" t="str">
        <f t="shared" si="27"/>
        <v>AU0049-91-286 (342)</v>
      </c>
    </row>
    <row r="358" spans="44:57">
      <c r="AR358" s="112">
        <f t="shared" si="24"/>
        <v>343</v>
      </c>
      <c r="AS358" s="149"/>
      <c r="AT358" s="149"/>
      <c r="AU358" s="149"/>
      <c r="AV358" s="149"/>
      <c r="AW358" s="149"/>
      <c r="AX358" s="113" t="str">
        <f>'Data Sample'!G354</f>
        <v>P02A876</v>
      </c>
      <c r="AY358" s="113" t="str">
        <f>'Data Sample'!G1363</f>
        <v>V0462953168309</v>
      </c>
      <c r="AZ358" s="113" t="str">
        <f>'Data Sample'!G859</f>
        <v>AU0062-68-670</v>
      </c>
      <c r="BA358" s="118"/>
      <c r="BC358" s="119" t="str">
        <f t="shared" si="25"/>
        <v>P02A876 (343)</v>
      </c>
      <c r="BD358" s="119" t="str">
        <f t="shared" si="26"/>
        <v>V0462953168309 (343)</v>
      </c>
      <c r="BE358" s="119" t="str">
        <f t="shared" si="27"/>
        <v>AU0062-68-670 (343)</v>
      </c>
    </row>
    <row r="359" spans="44:57">
      <c r="AR359" s="112">
        <f t="shared" si="24"/>
        <v>344</v>
      </c>
      <c r="AS359" s="149"/>
      <c r="AT359" s="149"/>
      <c r="AU359" s="149"/>
      <c r="AV359" s="149"/>
      <c r="AW359" s="149"/>
      <c r="AX359" s="113" t="str">
        <f>'Data Sample'!G355</f>
        <v>P02A963</v>
      </c>
      <c r="AY359" s="113" t="str">
        <f>'Data Sample'!G1364</f>
        <v>V0522894089758</v>
      </c>
      <c r="AZ359" s="113" t="str">
        <f>'Data Sample'!G860</f>
        <v>AU0009-09-642</v>
      </c>
      <c r="BA359" s="118"/>
      <c r="BC359" s="119" t="str">
        <f t="shared" si="25"/>
        <v>P02A963 (344)</v>
      </c>
      <c r="BD359" s="119" t="str">
        <f t="shared" si="26"/>
        <v>V0522894089758 (344)</v>
      </c>
      <c r="BE359" s="119" t="str">
        <f t="shared" si="27"/>
        <v>AU0009-09-642 (344)</v>
      </c>
    </row>
    <row r="360" spans="44:57">
      <c r="AR360" s="112">
        <f t="shared" si="24"/>
        <v>345</v>
      </c>
      <c r="AS360" s="149"/>
      <c r="AT360" s="149"/>
      <c r="AU360" s="149"/>
      <c r="AV360" s="149"/>
      <c r="AW360" s="149"/>
      <c r="AX360" s="113" t="str">
        <f>'Data Sample'!G356</f>
        <v>P02A225</v>
      </c>
      <c r="AY360" s="113" t="str">
        <f>'Data Sample'!G1365</f>
        <v>V0352064384761</v>
      </c>
      <c r="AZ360" s="113" t="str">
        <f>'Data Sample'!G861</f>
        <v>AU0098-67-301</v>
      </c>
      <c r="BA360" s="118"/>
      <c r="BC360" s="119" t="str">
        <f t="shared" si="25"/>
        <v>P02A225 (345)</v>
      </c>
      <c r="BD360" s="119" t="str">
        <f t="shared" si="26"/>
        <v>V0352064384761 (345)</v>
      </c>
      <c r="BE360" s="119" t="str">
        <f t="shared" si="27"/>
        <v>AU0098-67-301 (345)</v>
      </c>
    </row>
    <row r="361" spans="44:57">
      <c r="AR361" s="112">
        <f t="shared" si="24"/>
        <v>346</v>
      </c>
      <c r="AS361" s="149"/>
      <c r="AT361" s="149"/>
      <c r="AU361" s="149"/>
      <c r="AV361" s="149"/>
      <c r="AW361" s="149"/>
      <c r="AX361" s="113" t="str">
        <f>'Data Sample'!G357</f>
        <v>P02A36</v>
      </c>
      <c r="AY361" s="113" t="str">
        <f>'Data Sample'!G1366</f>
        <v>V0754654238525</v>
      </c>
      <c r="AZ361" s="113" t="str">
        <f>'Data Sample'!G862</f>
        <v>AU0010-13-295</v>
      </c>
      <c r="BA361" s="118"/>
      <c r="BC361" s="119" t="str">
        <f t="shared" si="25"/>
        <v>P02A36 (346)</v>
      </c>
      <c r="BD361" s="119" t="str">
        <f t="shared" si="26"/>
        <v>V0754654238525 (346)</v>
      </c>
      <c r="BE361" s="119" t="str">
        <f t="shared" si="27"/>
        <v>AU0010-13-295 (346)</v>
      </c>
    </row>
    <row r="362" spans="44:57">
      <c r="AR362" s="112">
        <f t="shared" si="24"/>
        <v>347</v>
      </c>
      <c r="AS362" s="149"/>
      <c r="AT362" s="149"/>
      <c r="AU362" s="149"/>
      <c r="AV362" s="149"/>
      <c r="AW362" s="149"/>
      <c r="AX362" s="113" t="str">
        <f>'Data Sample'!G358</f>
        <v>P02A917</v>
      </c>
      <c r="AY362" s="113" t="str">
        <f>'Data Sample'!G1367</f>
        <v>V0909190811024</v>
      </c>
      <c r="AZ362" s="113" t="str">
        <f>'Data Sample'!G863</f>
        <v>AU0072-03-388</v>
      </c>
      <c r="BA362" s="118"/>
      <c r="BC362" s="119" t="str">
        <f t="shared" si="25"/>
        <v>P02A917 (347)</v>
      </c>
      <c r="BD362" s="119" t="str">
        <f t="shared" si="26"/>
        <v>V0909190811024 (347)</v>
      </c>
      <c r="BE362" s="119" t="str">
        <f t="shared" si="27"/>
        <v>AU0072-03-388 (347)</v>
      </c>
    </row>
    <row r="363" spans="44:57">
      <c r="AR363" s="112">
        <f t="shared" si="24"/>
        <v>348</v>
      </c>
      <c r="AS363" s="149"/>
      <c r="AT363" s="149"/>
      <c r="AU363" s="149"/>
      <c r="AV363" s="149"/>
      <c r="AW363" s="149"/>
      <c r="AX363" s="113" t="str">
        <f>'Data Sample'!G359</f>
        <v>P02A452</v>
      </c>
      <c r="AY363" s="113" t="str">
        <f>'Data Sample'!G1368</f>
        <v>V0567992098711</v>
      </c>
      <c r="AZ363" s="113" t="str">
        <f>'Data Sample'!G864</f>
        <v>AU0099-52-849</v>
      </c>
      <c r="BA363" s="118"/>
      <c r="BC363" s="119" t="str">
        <f t="shared" si="25"/>
        <v>P02A452 (348)</v>
      </c>
      <c r="BD363" s="119" t="str">
        <f t="shared" si="26"/>
        <v>V0567992098711 (348)</v>
      </c>
      <c r="BE363" s="119" t="str">
        <f t="shared" si="27"/>
        <v>AU0099-52-849 (348)</v>
      </c>
    </row>
    <row r="364" spans="44:57">
      <c r="AR364" s="112">
        <f t="shared" si="24"/>
        <v>349</v>
      </c>
      <c r="AS364" s="149"/>
      <c r="AT364" s="149"/>
      <c r="AU364" s="149"/>
      <c r="AV364" s="149"/>
      <c r="AW364" s="149"/>
      <c r="AX364" s="113" t="str">
        <f>'Data Sample'!G360</f>
        <v>P02A550</v>
      </c>
      <c r="AY364" s="113" t="str">
        <f>'Data Sample'!G1369</f>
        <v>V0576829984697</v>
      </c>
      <c r="AZ364" s="113" t="str">
        <f>'Data Sample'!G865</f>
        <v>AU0021-22-565</v>
      </c>
      <c r="BA364" s="118"/>
      <c r="BC364" s="119" t="str">
        <f t="shared" si="25"/>
        <v>P02A550 (349)</v>
      </c>
      <c r="BD364" s="119" t="str">
        <f t="shared" si="26"/>
        <v>V0576829984697 (349)</v>
      </c>
      <c r="BE364" s="119" t="str">
        <f t="shared" si="27"/>
        <v>AU0021-22-565 (349)</v>
      </c>
    </row>
    <row r="365" spans="44:57">
      <c r="AR365" s="112">
        <f t="shared" si="24"/>
        <v>350</v>
      </c>
      <c r="AS365" s="149"/>
      <c r="AT365" s="149"/>
      <c r="AU365" s="149"/>
      <c r="AV365" s="149"/>
      <c r="AW365" s="149"/>
      <c r="AX365" s="113" t="str">
        <f>'Data Sample'!G361</f>
        <v>P02A22</v>
      </c>
      <c r="AY365" s="113" t="str">
        <f>'Data Sample'!G1370</f>
        <v>V0815155360197</v>
      </c>
      <c r="AZ365" s="113" t="str">
        <f>'Data Sample'!G866</f>
        <v>AU0080-65-348</v>
      </c>
      <c r="BA365" s="118"/>
      <c r="BC365" s="119" t="str">
        <f t="shared" si="25"/>
        <v>P02A22 (350)</v>
      </c>
      <c r="BD365" s="119" t="str">
        <f t="shared" si="26"/>
        <v>V0815155360197 (350)</v>
      </c>
      <c r="BE365" s="119" t="str">
        <f t="shared" si="27"/>
        <v>AU0080-65-348 (350)</v>
      </c>
    </row>
    <row r="366" spans="44:57">
      <c r="AR366" s="112">
        <f t="shared" si="24"/>
        <v>351</v>
      </c>
      <c r="AS366" s="149"/>
      <c r="AT366" s="149"/>
      <c r="AU366" s="149"/>
      <c r="AV366" s="149"/>
      <c r="AW366" s="149"/>
      <c r="AX366" s="113" t="str">
        <f>'Data Sample'!G362</f>
        <v>P02A482</v>
      </c>
      <c r="AY366" s="113" t="str">
        <f>'Data Sample'!G1371</f>
        <v>V0141059455412</v>
      </c>
      <c r="AZ366" s="113" t="str">
        <f>'Data Sample'!G867</f>
        <v>AU0011-62-913</v>
      </c>
      <c r="BA366" s="118"/>
      <c r="BC366" s="119" t="str">
        <f t="shared" si="25"/>
        <v>P02A482 (351)</v>
      </c>
      <c r="BD366" s="119" t="str">
        <f t="shared" si="26"/>
        <v>V0141059455412 (351)</v>
      </c>
      <c r="BE366" s="119" t="str">
        <f t="shared" si="27"/>
        <v>AU0011-62-913 (351)</v>
      </c>
    </row>
    <row r="367" spans="44:57">
      <c r="AR367" s="112">
        <f t="shared" si="24"/>
        <v>352</v>
      </c>
      <c r="AS367" s="149"/>
      <c r="AT367" s="149"/>
      <c r="AU367" s="149"/>
      <c r="AV367" s="149"/>
      <c r="AW367" s="149"/>
      <c r="AX367" s="113" t="str">
        <f>'Data Sample'!G363</f>
        <v>P02A226</v>
      </c>
      <c r="AY367" s="113" t="str">
        <f>'Data Sample'!G1372</f>
        <v>V0396953163550</v>
      </c>
      <c r="AZ367" s="113" t="str">
        <f>'Data Sample'!G868</f>
        <v>AU0004-60-816</v>
      </c>
      <c r="BA367" s="118"/>
      <c r="BC367" s="119" t="str">
        <f t="shared" si="25"/>
        <v>P02A226 (352)</v>
      </c>
      <c r="BD367" s="119" t="str">
        <f t="shared" si="26"/>
        <v>V0396953163550 (352)</v>
      </c>
      <c r="BE367" s="119" t="str">
        <f t="shared" si="27"/>
        <v>AU0004-60-816 (352)</v>
      </c>
    </row>
    <row r="368" spans="44:57">
      <c r="AR368" s="112">
        <f t="shared" si="24"/>
        <v>353</v>
      </c>
      <c r="AS368" s="149"/>
      <c r="AT368" s="149"/>
      <c r="AU368" s="149"/>
      <c r="AV368" s="149"/>
      <c r="AW368" s="149"/>
      <c r="AX368" s="113" t="str">
        <f>'Data Sample'!G364</f>
        <v>P02A301</v>
      </c>
      <c r="AY368" s="113" t="str">
        <f>'Data Sample'!G1373</f>
        <v>V0004328533944</v>
      </c>
      <c r="AZ368" s="113" t="str">
        <f>'Data Sample'!G869</f>
        <v>AU0070-37-055</v>
      </c>
      <c r="BA368" s="118"/>
      <c r="BC368" s="119" t="str">
        <f t="shared" si="25"/>
        <v>P02A301 (353)</v>
      </c>
      <c r="BD368" s="119" t="str">
        <f t="shared" si="26"/>
        <v>V0004328533944 (353)</v>
      </c>
      <c r="BE368" s="119" t="str">
        <f t="shared" si="27"/>
        <v>AU0070-37-055 (353)</v>
      </c>
    </row>
    <row r="369" spans="44:57">
      <c r="AR369" s="112">
        <f t="shared" si="24"/>
        <v>354</v>
      </c>
      <c r="AS369" s="149"/>
      <c r="AT369" s="149"/>
      <c r="AU369" s="149"/>
      <c r="AV369" s="149"/>
      <c r="AW369" s="149"/>
      <c r="AX369" s="113" t="str">
        <f>'Data Sample'!G365</f>
        <v>P02A780</v>
      </c>
      <c r="AY369" s="113" t="str">
        <f>'Data Sample'!G1374</f>
        <v>V0117847587431</v>
      </c>
      <c r="AZ369" s="113" t="str">
        <f>'Data Sample'!G870</f>
        <v>AU0080-97-629</v>
      </c>
      <c r="BA369" s="118"/>
      <c r="BC369" s="119" t="str">
        <f t="shared" si="25"/>
        <v>P02A780 (354)</v>
      </c>
      <c r="BD369" s="119" t="str">
        <f t="shared" si="26"/>
        <v>V0117847587431 (354)</v>
      </c>
      <c r="BE369" s="119" t="str">
        <f t="shared" si="27"/>
        <v>AU0080-97-629 (354)</v>
      </c>
    </row>
    <row r="370" spans="44:57">
      <c r="AR370" s="112">
        <f t="shared" si="24"/>
        <v>355</v>
      </c>
      <c r="AS370" s="149"/>
      <c r="AT370" s="149"/>
      <c r="AU370" s="149"/>
      <c r="AV370" s="149"/>
      <c r="AW370" s="149"/>
      <c r="AX370" s="113" t="str">
        <f>'Data Sample'!G366</f>
        <v>P02A723</v>
      </c>
      <c r="AY370" s="113" t="str">
        <f>'Data Sample'!G1375</f>
        <v>V0337568741830</v>
      </c>
      <c r="AZ370" s="113" t="str">
        <f>'Data Sample'!G871</f>
        <v>AU0078-59-990</v>
      </c>
      <c r="BA370" s="118"/>
      <c r="BC370" s="119" t="str">
        <f t="shared" si="25"/>
        <v>P02A723 (355)</v>
      </c>
      <c r="BD370" s="119" t="str">
        <f t="shared" si="26"/>
        <v>V0337568741830 (355)</v>
      </c>
      <c r="BE370" s="119" t="str">
        <f t="shared" si="27"/>
        <v>AU0078-59-990 (355)</v>
      </c>
    </row>
    <row r="371" spans="44:57">
      <c r="AR371" s="112">
        <f t="shared" si="24"/>
        <v>356</v>
      </c>
      <c r="AS371" s="149"/>
      <c r="AT371" s="149"/>
      <c r="AU371" s="149"/>
      <c r="AV371" s="149"/>
      <c r="AW371" s="149"/>
      <c r="AX371" s="113" t="str">
        <f>'Data Sample'!G367</f>
        <v>P02A415</v>
      </c>
      <c r="AY371" s="113" t="str">
        <f>'Data Sample'!G1376</f>
        <v>V0204359280006</v>
      </c>
      <c r="AZ371" s="113" t="str">
        <f>'Data Sample'!G872</f>
        <v>AU0090-44-885</v>
      </c>
      <c r="BA371" s="118"/>
      <c r="BC371" s="119" t="str">
        <f t="shared" si="25"/>
        <v>P02A415 (356)</v>
      </c>
      <c r="BD371" s="119" t="str">
        <f t="shared" si="26"/>
        <v>V0204359280006 (356)</v>
      </c>
      <c r="BE371" s="119" t="str">
        <f t="shared" si="27"/>
        <v>AU0090-44-885 (356)</v>
      </c>
    </row>
    <row r="372" spans="44:57">
      <c r="AR372" s="112">
        <f t="shared" si="24"/>
        <v>357</v>
      </c>
      <c r="AS372" s="149"/>
      <c r="AT372" s="149"/>
      <c r="AU372" s="149"/>
      <c r="AV372" s="149"/>
      <c r="AW372" s="149"/>
      <c r="AX372" s="113" t="str">
        <f>'Data Sample'!G368</f>
        <v>P02A266</v>
      </c>
      <c r="AY372" s="113" t="str">
        <f>'Data Sample'!G1377</f>
        <v>V0923705257947</v>
      </c>
      <c r="AZ372" s="113" t="str">
        <f>'Data Sample'!G873</f>
        <v>AU0043-34-747</v>
      </c>
      <c r="BA372" s="118"/>
      <c r="BC372" s="119" t="str">
        <f t="shared" si="25"/>
        <v>P02A266 (357)</v>
      </c>
      <c r="BD372" s="119" t="str">
        <f t="shared" si="26"/>
        <v>V0923705257947 (357)</v>
      </c>
      <c r="BE372" s="119" t="str">
        <f t="shared" si="27"/>
        <v>AU0043-34-747 (357)</v>
      </c>
    </row>
    <row r="373" spans="44:57">
      <c r="AR373" s="112">
        <f t="shared" si="24"/>
        <v>358</v>
      </c>
      <c r="AS373" s="149"/>
      <c r="AT373" s="149"/>
      <c r="AU373" s="149"/>
      <c r="AV373" s="149"/>
      <c r="AW373" s="149"/>
      <c r="AX373" s="113" t="str">
        <f>'Data Sample'!G369</f>
        <v>P02A369</v>
      </c>
      <c r="AY373" s="113" t="str">
        <f>'Data Sample'!G1378</f>
        <v>V0735938804666</v>
      </c>
      <c r="AZ373" s="113" t="str">
        <f>'Data Sample'!G874</f>
        <v>AU0064-92-438</v>
      </c>
      <c r="BA373" s="118"/>
      <c r="BC373" s="119" t="str">
        <f t="shared" si="25"/>
        <v>P02A369 (358)</v>
      </c>
      <c r="BD373" s="119" t="str">
        <f t="shared" si="26"/>
        <v>V0735938804666 (358)</v>
      </c>
      <c r="BE373" s="119" t="str">
        <f t="shared" si="27"/>
        <v>AU0064-92-438 (358)</v>
      </c>
    </row>
    <row r="374" spans="44:57">
      <c r="AR374" s="112">
        <f t="shared" si="24"/>
        <v>359</v>
      </c>
      <c r="AS374" s="149"/>
      <c r="AT374" s="149"/>
      <c r="AU374" s="149"/>
      <c r="AV374" s="149"/>
      <c r="AW374" s="149"/>
      <c r="AX374" s="113" t="str">
        <f>'Data Sample'!G370</f>
        <v>P02A208</v>
      </c>
      <c r="AY374" s="113" t="str">
        <f>'Data Sample'!G1379</f>
        <v>V0714704131930</v>
      </c>
      <c r="AZ374" s="113" t="str">
        <f>'Data Sample'!G875</f>
        <v>AU0044-51-132</v>
      </c>
      <c r="BA374" s="118"/>
      <c r="BC374" s="119" t="str">
        <f t="shared" si="25"/>
        <v>P02A208 (359)</v>
      </c>
      <c r="BD374" s="119" t="str">
        <f t="shared" si="26"/>
        <v>V0714704131930 (359)</v>
      </c>
      <c r="BE374" s="119" t="str">
        <f t="shared" si="27"/>
        <v>AU0044-51-132 (359)</v>
      </c>
    </row>
    <row r="375" spans="44:57">
      <c r="AR375" s="112">
        <f t="shared" si="24"/>
        <v>360</v>
      </c>
      <c r="AS375" s="149"/>
      <c r="AT375" s="149"/>
      <c r="AU375" s="149"/>
      <c r="AV375" s="149"/>
      <c r="AW375" s="149"/>
      <c r="AX375" s="113" t="str">
        <f>'Data Sample'!G371</f>
        <v>P02A569</v>
      </c>
      <c r="AY375" s="113" t="str">
        <f>'Data Sample'!G1380</f>
        <v>V0601856626384</v>
      </c>
      <c r="AZ375" s="113" t="str">
        <f>'Data Sample'!G876</f>
        <v>AU0062-58-599</v>
      </c>
      <c r="BA375" s="118"/>
      <c r="BC375" s="119" t="str">
        <f t="shared" si="25"/>
        <v>P02A569 (360)</v>
      </c>
      <c r="BD375" s="119" t="str">
        <f t="shared" si="26"/>
        <v>V0601856626384 (360)</v>
      </c>
      <c r="BE375" s="119" t="str">
        <f t="shared" si="27"/>
        <v>AU0062-58-599 (360)</v>
      </c>
    </row>
    <row r="376" spans="44:57">
      <c r="AR376" s="112">
        <f t="shared" si="24"/>
        <v>361</v>
      </c>
      <c r="AS376" s="149"/>
      <c r="AT376" s="149"/>
      <c r="AU376" s="149"/>
      <c r="AV376" s="149"/>
      <c r="AW376" s="149"/>
      <c r="AX376" s="113" t="str">
        <f>'Data Sample'!G372</f>
        <v>P02A886</v>
      </c>
      <c r="AY376" s="113" t="str">
        <f>'Data Sample'!G1381</f>
        <v>V0761444069437</v>
      </c>
      <c r="AZ376" s="113" t="str">
        <f>'Data Sample'!G877</f>
        <v>AU0073-64-069</v>
      </c>
      <c r="BA376" s="118"/>
      <c r="BC376" s="119" t="str">
        <f t="shared" si="25"/>
        <v>P02A886 (361)</v>
      </c>
      <c r="BD376" s="119" t="str">
        <f t="shared" si="26"/>
        <v>V0761444069437 (361)</v>
      </c>
      <c r="BE376" s="119" t="str">
        <f t="shared" si="27"/>
        <v>AU0073-64-069 (361)</v>
      </c>
    </row>
    <row r="377" spans="44:57">
      <c r="AR377" s="112">
        <f t="shared" si="24"/>
        <v>362</v>
      </c>
      <c r="AS377" s="149"/>
      <c r="AT377" s="149"/>
      <c r="AU377" s="149"/>
      <c r="AV377" s="149"/>
      <c r="AW377" s="149"/>
      <c r="AX377" s="113" t="str">
        <f>'Data Sample'!G373</f>
        <v>P02A624</v>
      </c>
      <c r="AY377" s="113" t="str">
        <f>'Data Sample'!G1382</f>
        <v>V0359987731390</v>
      </c>
      <c r="AZ377" s="113" t="str">
        <f>'Data Sample'!G878</f>
        <v>AU0022-83-576</v>
      </c>
      <c r="BA377" s="118"/>
      <c r="BC377" s="119" t="str">
        <f t="shared" si="25"/>
        <v>P02A624 (362)</v>
      </c>
      <c r="BD377" s="119" t="str">
        <f t="shared" si="26"/>
        <v>V0359987731390 (362)</v>
      </c>
      <c r="BE377" s="119" t="str">
        <f t="shared" si="27"/>
        <v>AU0022-83-576 (362)</v>
      </c>
    </row>
    <row r="378" spans="44:57">
      <c r="AR378" s="112">
        <f t="shared" si="24"/>
        <v>363</v>
      </c>
      <c r="AS378" s="149"/>
      <c r="AT378" s="149"/>
      <c r="AU378" s="149"/>
      <c r="AV378" s="149"/>
      <c r="AW378" s="149"/>
      <c r="AX378" s="113" t="str">
        <f>'Data Sample'!G374</f>
        <v>P02A153</v>
      </c>
      <c r="AY378" s="113" t="str">
        <f>'Data Sample'!G1383</f>
        <v>V0932185055669</v>
      </c>
      <c r="AZ378" s="113" t="str">
        <f>'Data Sample'!G879</f>
        <v>AU0080-11-287</v>
      </c>
      <c r="BA378" s="118"/>
      <c r="BC378" s="119" t="str">
        <f t="shared" si="25"/>
        <v>P02A153 (363)</v>
      </c>
      <c r="BD378" s="119" t="str">
        <f t="shared" si="26"/>
        <v>V0932185055669 (363)</v>
      </c>
      <c r="BE378" s="119" t="str">
        <f t="shared" si="27"/>
        <v>AU0080-11-287 (363)</v>
      </c>
    </row>
    <row r="379" spans="44:57">
      <c r="AR379" s="112">
        <f t="shared" si="24"/>
        <v>364</v>
      </c>
      <c r="AS379" s="149"/>
      <c r="AT379" s="149"/>
      <c r="AU379" s="149"/>
      <c r="AV379" s="149"/>
      <c r="AW379" s="149"/>
      <c r="AX379" s="113" t="str">
        <f>'Data Sample'!G375</f>
        <v>P02A968</v>
      </c>
      <c r="AY379" s="113" t="str">
        <f>'Data Sample'!G1384</f>
        <v>V0285607748406</v>
      </c>
      <c r="AZ379" s="113" t="str">
        <f>'Data Sample'!G880</f>
        <v>AU0058-67-743</v>
      </c>
      <c r="BA379" s="118"/>
      <c r="BC379" s="119" t="str">
        <f t="shared" si="25"/>
        <v>P02A968 (364)</v>
      </c>
      <c r="BD379" s="119" t="str">
        <f t="shared" si="26"/>
        <v>V0285607748406 (364)</v>
      </c>
      <c r="BE379" s="119" t="str">
        <f t="shared" si="27"/>
        <v>AU0058-67-743 (364)</v>
      </c>
    </row>
    <row r="380" spans="44:57">
      <c r="AR380" s="112">
        <f t="shared" si="24"/>
        <v>365</v>
      </c>
      <c r="AS380" s="149"/>
      <c r="AT380" s="149"/>
      <c r="AU380" s="149"/>
      <c r="AV380" s="149"/>
      <c r="AW380" s="149"/>
      <c r="AX380" s="113" t="str">
        <f>'Data Sample'!G376</f>
        <v>P02A682</v>
      </c>
      <c r="AY380" s="113" t="str">
        <f>'Data Sample'!G1385</f>
        <v>V0520668580630</v>
      </c>
      <c r="AZ380" s="113" t="str">
        <f>'Data Sample'!G881</f>
        <v>AU0077-67-360</v>
      </c>
      <c r="BA380" s="118"/>
      <c r="BC380" s="119" t="str">
        <f t="shared" si="25"/>
        <v>P02A682 (365)</v>
      </c>
      <c r="BD380" s="119" t="str">
        <f t="shared" si="26"/>
        <v>V0520668580630 (365)</v>
      </c>
      <c r="BE380" s="119" t="str">
        <f t="shared" si="27"/>
        <v>AU0077-67-360 (365)</v>
      </c>
    </row>
    <row r="381" spans="44:57">
      <c r="AR381" s="112">
        <f t="shared" si="24"/>
        <v>366</v>
      </c>
      <c r="AS381" s="149"/>
      <c r="AT381" s="149"/>
      <c r="AU381" s="149"/>
      <c r="AV381" s="149"/>
      <c r="AW381" s="149"/>
      <c r="AX381" s="113" t="str">
        <f>'Data Sample'!G377</f>
        <v>P02A403</v>
      </c>
      <c r="AY381" s="113" t="str">
        <f>'Data Sample'!G1386</f>
        <v>V0250007152807</v>
      </c>
      <c r="AZ381" s="113" t="str">
        <f>'Data Sample'!G882</f>
        <v>AU0062-78-335</v>
      </c>
      <c r="BA381" s="118"/>
      <c r="BC381" s="119" t="str">
        <f t="shared" si="25"/>
        <v>P02A403 (366)</v>
      </c>
      <c r="BD381" s="119" t="str">
        <f t="shared" si="26"/>
        <v>V0250007152807 (366)</v>
      </c>
      <c r="BE381" s="119" t="str">
        <f t="shared" si="27"/>
        <v>AU0062-78-335 (366)</v>
      </c>
    </row>
    <row r="382" spans="44:57">
      <c r="AR382" s="112">
        <f t="shared" si="24"/>
        <v>367</v>
      </c>
      <c r="AS382" s="149"/>
      <c r="AT382" s="149"/>
      <c r="AU382" s="149"/>
      <c r="AV382" s="149"/>
      <c r="AW382" s="149"/>
      <c r="AX382" s="113" t="str">
        <f>'Data Sample'!G378</f>
        <v>P02A905</v>
      </c>
      <c r="AY382" s="113" t="str">
        <f>'Data Sample'!G1387</f>
        <v>V0854047192292</v>
      </c>
      <c r="AZ382" s="113" t="str">
        <f>'Data Sample'!G883</f>
        <v>AU0097-48-556</v>
      </c>
      <c r="BA382" s="118"/>
      <c r="BC382" s="119" t="str">
        <f t="shared" si="25"/>
        <v>P02A905 (367)</v>
      </c>
      <c r="BD382" s="119" t="str">
        <f t="shared" si="26"/>
        <v>V0854047192292 (367)</v>
      </c>
      <c r="BE382" s="119" t="str">
        <f t="shared" si="27"/>
        <v>AU0097-48-556 (367)</v>
      </c>
    </row>
    <row r="383" spans="44:57">
      <c r="AR383" s="112">
        <f t="shared" si="24"/>
        <v>368</v>
      </c>
      <c r="AS383" s="149"/>
      <c r="AT383" s="149"/>
      <c r="AU383" s="149"/>
      <c r="AV383" s="149"/>
      <c r="AW383" s="149"/>
      <c r="AX383" s="113" t="str">
        <f>'Data Sample'!G379</f>
        <v>P02A525</v>
      </c>
      <c r="AY383" s="113" t="str">
        <f>'Data Sample'!G1388</f>
        <v>V0839405948186</v>
      </c>
      <c r="AZ383" s="113" t="str">
        <f>'Data Sample'!G884</f>
        <v>AU0046-67-044</v>
      </c>
      <c r="BA383" s="118"/>
      <c r="BC383" s="119" t="str">
        <f t="shared" si="25"/>
        <v>P02A525 (368)</v>
      </c>
      <c r="BD383" s="119" t="str">
        <f t="shared" si="26"/>
        <v>V0839405948186 (368)</v>
      </c>
      <c r="BE383" s="119" t="str">
        <f t="shared" si="27"/>
        <v>AU0046-67-044 (368)</v>
      </c>
    </row>
    <row r="384" spans="44:57">
      <c r="AR384" s="112">
        <f t="shared" si="24"/>
        <v>369</v>
      </c>
      <c r="AS384" s="149"/>
      <c r="AT384" s="149"/>
      <c r="AU384" s="149"/>
      <c r="AV384" s="149"/>
      <c r="AW384" s="149"/>
      <c r="AX384" s="113" t="str">
        <f>'Data Sample'!G380</f>
        <v>P02A396</v>
      </c>
      <c r="AY384" s="113" t="str">
        <f>'Data Sample'!G1389</f>
        <v>V0966597855330</v>
      </c>
      <c r="AZ384" s="113" t="str">
        <f>'Data Sample'!G885</f>
        <v>AU0038-95-505</v>
      </c>
      <c r="BA384" s="118"/>
      <c r="BC384" s="119" t="str">
        <f t="shared" si="25"/>
        <v>P02A396 (369)</v>
      </c>
      <c r="BD384" s="119" t="str">
        <f t="shared" si="26"/>
        <v>V0966597855330 (369)</v>
      </c>
      <c r="BE384" s="119" t="str">
        <f t="shared" si="27"/>
        <v>AU0038-95-505 (369)</v>
      </c>
    </row>
    <row r="385" spans="44:57">
      <c r="AR385" s="112">
        <f t="shared" si="24"/>
        <v>370</v>
      </c>
      <c r="AS385" s="149"/>
      <c r="AT385" s="149"/>
      <c r="AU385" s="149"/>
      <c r="AV385" s="149"/>
      <c r="AW385" s="149"/>
      <c r="AX385" s="113" t="str">
        <f>'Data Sample'!G381</f>
        <v>P02A292</v>
      </c>
      <c r="AY385" s="113" t="str">
        <f>'Data Sample'!G1390</f>
        <v>V0155620660210</v>
      </c>
      <c r="AZ385" s="113" t="str">
        <f>'Data Sample'!G886</f>
        <v>AU0011-18-182</v>
      </c>
      <c r="BA385" s="118"/>
      <c r="BC385" s="119" t="str">
        <f t="shared" si="25"/>
        <v>P02A292 (370)</v>
      </c>
      <c r="BD385" s="119" t="str">
        <f t="shared" si="26"/>
        <v>V0155620660210 (370)</v>
      </c>
      <c r="BE385" s="119" t="str">
        <f t="shared" si="27"/>
        <v>AU0011-18-182 (370)</v>
      </c>
    </row>
    <row r="386" spans="44:57">
      <c r="AR386" s="112">
        <f t="shared" si="24"/>
        <v>371</v>
      </c>
      <c r="AS386" s="149"/>
      <c r="AT386" s="149"/>
      <c r="AU386" s="149"/>
      <c r="AV386" s="149"/>
      <c r="AW386" s="149"/>
      <c r="AX386" s="113" t="str">
        <f>'Data Sample'!G382</f>
        <v>P02A500</v>
      </c>
      <c r="AY386" s="113" t="str">
        <f>'Data Sample'!G1391</f>
        <v>V0708564526104</v>
      </c>
      <c r="AZ386" s="113" t="str">
        <f>'Data Sample'!G887</f>
        <v>AU0054-95-940</v>
      </c>
      <c r="BA386" s="118"/>
      <c r="BC386" s="119" t="str">
        <f t="shared" si="25"/>
        <v>P02A500 (371)</v>
      </c>
      <c r="BD386" s="119" t="str">
        <f t="shared" si="26"/>
        <v>V0708564526104 (371)</v>
      </c>
      <c r="BE386" s="119" t="str">
        <f t="shared" si="27"/>
        <v>AU0054-95-940 (371)</v>
      </c>
    </row>
    <row r="387" spans="44:57">
      <c r="AR387" s="112">
        <f t="shared" si="24"/>
        <v>372</v>
      </c>
      <c r="AS387" s="149"/>
      <c r="AT387" s="149"/>
      <c r="AU387" s="149"/>
      <c r="AV387" s="149"/>
      <c r="AW387" s="149"/>
      <c r="AX387" s="113" t="str">
        <f>'Data Sample'!G383</f>
        <v>P02A589</v>
      </c>
      <c r="AY387" s="113" t="str">
        <f>'Data Sample'!G1392</f>
        <v>V0656527674162</v>
      </c>
      <c r="AZ387" s="113" t="str">
        <f>'Data Sample'!G888</f>
        <v>AU0056-23-618</v>
      </c>
      <c r="BA387" s="118"/>
      <c r="BC387" s="119" t="str">
        <f t="shared" si="25"/>
        <v>P02A589 (372)</v>
      </c>
      <c r="BD387" s="119" t="str">
        <f t="shared" si="26"/>
        <v>V0656527674162 (372)</v>
      </c>
      <c r="BE387" s="119" t="str">
        <f t="shared" si="27"/>
        <v>AU0056-23-618 (372)</v>
      </c>
    </row>
    <row r="388" spans="44:57">
      <c r="AR388" s="112">
        <f t="shared" si="24"/>
        <v>373</v>
      </c>
      <c r="AS388" s="149"/>
      <c r="AT388" s="149"/>
      <c r="AU388" s="149"/>
      <c r="AV388" s="149"/>
      <c r="AW388" s="149"/>
      <c r="AX388" s="113" t="str">
        <f>'Data Sample'!G384</f>
        <v>P02A665</v>
      </c>
      <c r="AY388" s="113" t="str">
        <f>'Data Sample'!G1393</f>
        <v>V0446408073920</v>
      </c>
      <c r="AZ388" s="113" t="str">
        <f>'Data Sample'!G889</f>
        <v>AU0020-38-271</v>
      </c>
      <c r="BA388" s="118"/>
      <c r="BC388" s="119" t="str">
        <f t="shared" si="25"/>
        <v>P02A665 (373)</v>
      </c>
      <c r="BD388" s="119" t="str">
        <f t="shared" si="26"/>
        <v>V0446408073920 (373)</v>
      </c>
      <c r="BE388" s="119" t="str">
        <f t="shared" si="27"/>
        <v>AU0020-38-271 (373)</v>
      </c>
    </row>
    <row r="389" spans="44:57">
      <c r="AR389" s="112">
        <f t="shared" si="24"/>
        <v>374</v>
      </c>
      <c r="AS389" s="149"/>
      <c r="AT389" s="149"/>
      <c r="AU389" s="149"/>
      <c r="AV389" s="149"/>
      <c r="AW389" s="149"/>
      <c r="AX389" s="113" t="str">
        <f>'Data Sample'!G385</f>
        <v>P02A546</v>
      </c>
      <c r="AY389" s="113" t="str">
        <f>'Data Sample'!G1394</f>
        <v>V0107428496991</v>
      </c>
      <c r="AZ389" s="113" t="str">
        <f>'Data Sample'!G890</f>
        <v>AU0036-78-290</v>
      </c>
      <c r="BA389" s="118"/>
      <c r="BC389" s="119" t="str">
        <f t="shared" si="25"/>
        <v>P02A546 (374)</v>
      </c>
      <c r="BD389" s="119" t="str">
        <f t="shared" si="26"/>
        <v>V0107428496991 (374)</v>
      </c>
      <c r="BE389" s="119" t="str">
        <f t="shared" si="27"/>
        <v>AU0036-78-290 (374)</v>
      </c>
    </row>
    <row r="390" spans="44:57">
      <c r="AR390" s="112">
        <f t="shared" si="24"/>
        <v>375</v>
      </c>
      <c r="AS390" s="149"/>
      <c r="AT390" s="149"/>
      <c r="AU390" s="149"/>
      <c r="AV390" s="149"/>
      <c r="AW390" s="149"/>
      <c r="AX390" s="113" t="str">
        <f>'Data Sample'!G386</f>
        <v>P02A836</v>
      </c>
      <c r="AY390" s="113" t="str">
        <f>'Data Sample'!G1395</f>
        <v>V0142867669082</v>
      </c>
      <c r="AZ390" s="113" t="str">
        <f>'Data Sample'!G891</f>
        <v>AU0077-27-163</v>
      </c>
      <c r="BA390" s="118"/>
      <c r="BC390" s="119" t="str">
        <f t="shared" si="25"/>
        <v>P02A836 (375)</v>
      </c>
      <c r="BD390" s="119" t="str">
        <f t="shared" si="26"/>
        <v>V0142867669082 (375)</v>
      </c>
      <c r="BE390" s="119" t="str">
        <f t="shared" si="27"/>
        <v>AU0077-27-163 (375)</v>
      </c>
    </row>
    <row r="391" spans="44:57">
      <c r="AR391" s="112">
        <f t="shared" si="24"/>
        <v>376</v>
      </c>
      <c r="AS391" s="149"/>
      <c r="AT391" s="149"/>
      <c r="AU391" s="149"/>
      <c r="AV391" s="149"/>
      <c r="AW391" s="149"/>
      <c r="AX391" s="113" t="str">
        <f>'Data Sample'!G387</f>
        <v>P02A198</v>
      </c>
      <c r="AY391" s="113" t="str">
        <f>'Data Sample'!G1396</f>
        <v>V0757542392614</v>
      </c>
      <c r="AZ391" s="113" t="str">
        <f>'Data Sample'!G892</f>
        <v>AU0000-65-573</v>
      </c>
      <c r="BA391" s="118"/>
      <c r="BC391" s="119" t="str">
        <f t="shared" si="25"/>
        <v>P02A198 (376)</v>
      </c>
      <c r="BD391" s="119" t="str">
        <f t="shared" si="26"/>
        <v>V0757542392614 (376)</v>
      </c>
      <c r="BE391" s="119" t="str">
        <f t="shared" si="27"/>
        <v>AU0000-65-573 (376)</v>
      </c>
    </row>
    <row r="392" spans="44:57">
      <c r="AR392" s="112">
        <f t="shared" si="24"/>
        <v>377</v>
      </c>
      <c r="AS392" s="149"/>
      <c r="AT392" s="149"/>
      <c r="AU392" s="149"/>
      <c r="AV392" s="149"/>
      <c r="AW392" s="149"/>
      <c r="AX392" s="113" t="str">
        <f>'Data Sample'!G388</f>
        <v>P02A837</v>
      </c>
      <c r="AY392" s="113" t="str">
        <f>'Data Sample'!G1397</f>
        <v>V0875350117507</v>
      </c>
      <c r="AZ392" s="113" t="str">
        <f>'Data Sample'!G893</f>
        <v>AU0029-81-576</v>
      </c>
      <c r="BA392" s="118"/>
      <c r="BC392" s="119" t="str">
        <f t="shared" si="25"/>
        <v>P02A837 (377)</v>
      </c>
      <c r="BD392" s="119" t="str">
        <f t="shared" si="26"/>
        <v>V0875350117507 (377)</v>
      </c>
      <c r="BE392" s="119" t="str">
        <f t="shared" si="27"/>
        <v>AU0029-81-576 (377)</v>
      </c>
    </row>
    <row r="393" spans="44:57">
      <c r="AR393" s="112">
        <f t="shared" si="24"/>
        <v>378</v>
      </c>
      <c r="AS393" s="149"/>
      <c r="AT393" s="149"/>
      <c r="AU393" s="149"/>
      <c r="AV393" s="149"/>
      <c r="AW393" s="149"/>
      <c r="AX393" s="113" t="str">
        <f>'Data Sample'!G389</f>
        <v>P02A640</v>
      </c>
      <c r="AY393" s="113" t="str">
        <f>'Data Sample'!G1398</f>
        <v>V0890047495211</v>
      </c>
      <c r="AZ393" s="113" t="str">
        <f>'Data Sample'!G894</f>
        <v>AU0011-09-729</v>
      </c>
      <c r="BA393" s="118"/>
      <c r="BC393" s="119" t="str">
        <f t="shared" si="25"/>
        <v>P02A640 (378)</v>
      </c>
      <c r="BD393" s="119" t="str">
        <f t="shared" si="26"/>
        <v>V0890047495211 (378)</v>
      </c>
      <c r="BE393" s="119" t="str">
        <f t="shared" si="27"/>
        <v>AU0011-09-729 (378)</v>
      </c>
    </row>
    <row r="394" spans="44:57">
      <c r="AR394" s="112">
        <f t="shared" si="24"/>
        <v>379</v>
      </c>
      <c r="AS394" s="149"/>
      <c r="AT394" s="149"/>
      <c r="AU394" s="149"/>
      <c r="AV394" s="149"/>
      <c r="AW394" s="149"/>
      <c r="AX394" s="113" t="str">
        <f>'Data Sample'!G390</f>
        <v>P02A12</v>
      </c>
      <c r="AY394" s="113" t="str">
        <f>'Data Sample'!G1399</f>
        <v>V0326575107026</v>
      </c>
      <c r="AZ394" s="113" t="str">
        <f>'Data Sample'!G895</f>
        <v>AU0057-55-167</v>
      </c>
      <c r="BA394" s="118"/>
      <c r="BC394" s="119" t="str">
        <f t="shared" si="25"/>
        <v>P02A12 (379)</v>
      </c>
      <c r="BD394" s="119" t="str">
        <f t="shared" si="26"/>
        <v>V0326575107026 (379)</v>
      </c>
      <c r="BE394" s="119" t="str">
        <f t="shared" si="27"/>
        <v>AU0057-55-167 (379)</v>
      </c>
    </row>
    <row r="395" spans="44:57">
      <c r="AR395" s="112">
        <f t="shared" si="24"/>
        <v>380</v>
      </c>
      <c r="AS395" s="149"/>
      <c r="AT395" s="149"/>
      <c r="AU395" s="149"/>
      <c r="AV395" s="149"/>
      <c r="AW395" s="149"/>
      <c r="AX395" s="113" t="str">
        <f>'Data Sample'!G391</f>
        <v>P02A871</v>
      </c>
      <c r="AY395" s="113" t="str">
        <f>'Data Sample'!G1400</f>
        <v>V0425043994701</v>
      </c>
      <c r="AZ395" s="113" t="str">
        <f>'Data Sample'!G896</f>
        <v>AU0082-73-614</v>
      </c>
      <c r="BA395" s="118"/>
      <c r="BC395" s="119" t="str">
        <f t="shared" si="25"/>
        <v>P02A871 (380)</v>
      </c>
      <c r="BD395" s="119" t="str">
        <f t="shared" si="26"/>
        <v>V0425043994701 (380)</v>
      </c>
      <c r="BE395" s="119" t="str">
        <f t="shared" si="27"/>
        <v>AU0082-73-614 (380)</v>
      </c>
    </row>
    <row r="396" spans="44:57">
      <c r="AR396" s="112">
        <f t="shared" si="24"/>
        <v>381</v>
      </c>
      <c r="AS396" s="149"/>
      <c r="AT396" s="149"/>
      <c r="AU396" s="149"/>
      <c r="AV396" s="149"/>
      <c r="AW396" s="149"/>
      <c r="AX396" s="113" t="str">
        <f>'Data Sample'!G392</f>
        <v>P02A768</v>
      </c>
      <c r="AY396" s="113" t="str">
        <f>'Data Sample'!G1401</f>
        <v>V0537319042202</v>
      </c>
      <c r="AZ396" s="113" t="str">
        <f>'Data Sample'!G897</f>
        <v>AU0009-43-437</v>
      </c>
      <c r="BA396" s="118"/>
      <c r="BC396" s="119" t="str">
        <f t="shared" si="25"/>
        <v>P02A768 (381)</v>
      </c>
      <c r="BD396" s="119" t="str">
        <f t="shared" si="26"/>
        <v>V0537319042202 (381)</v>
      </c>
      <c r="BE396" s="119" t="str">
        <f t="shared" si="27"/>
        <v>AU0009-43-437 (381)</v>
      </c>
    </row>
    <row r="397" spans="44:57">
      <c r="AR397" s="112">
        <f t="shared" si="24"/>
        <v>382</v>
      </c>
      <c r="AS397" s="149"/>
      <c r="AT397" s="149"/>
      <c r="AU397" s="149"/>
      <c r="AV397" s="149"/>
      <c r="AW397" s="149"/>
      <c r="AX397" s="113" t="str">
        <f>'Data Sample'!G393</f>
        <v>P02A681</v>
      </c>
      <c r="AY397" s="113" t="str">
        <f>'Data Sample'!G1402</f>
        <v>V0882020679824</v>
      </c>
      <c r="AZ397" s="113" t="str">
        <f>'Data Sample'!G898</f>
        <v>AU0062-45-707</v>
      </c>
      <c r="BA397" s="118"/>
      <c r="BC397" s="119" t="str">
        <f t="shared" si="25"/>
        <v>P02A681 (382)</v>
      </c>
      <c r="BD397" s="119" t="str">
        <f t="shared" si="26"/>
        <v>V0882020679824 (382)</v>
      </c>
      <c r="BE397" s="119" t="str">
        <f t="shared" si="27"/>
        <v>AU0062-45-707 (382)</v>
      </c>
    </row>
    <row r="398" spans="44:57">
      <c r="AR398" s="112">
        <f t="shared" si="24"/>
        <v>383</v>
      </c>
      <c r="AS398" s="149"/>
      <c r="AT398" s="149"/>
      <c r="AU398" s="149"/>
      <c r="AV398" s="149"/>
      <c r="AW398" s="149"/>
      <c r="AX398" s="113" t="str">
        <f>'Data Sample'!G394</f>
        <v>P02A807</v>
      </c>
      <c r="AY398" s="113" t="str">
        <f>'Data Sample'!G1403</f>
        <v>V0338917755422</v>
      </c>
      <c r="AZ398" s="113" t="str">
        <f>'Data Sample'!G899</f>
        <v>AU0056-19-990</v>
      </c>
      <c r="BA398" s="118"/>
      <c r="BC398" s="119" t="str">
        <f t="shared" si="25"/>
        <v>P02A807 (383)</v>
      </c>
      <c r="BD398" s="119" t="str">
        <f t="shared" si="26"/>
        <v>V0338917755422 (383)</v>
      </c>
      <c r="BE398" s="119" t="str">
        <f t="shared" si="27"/>
        <v>AU0056-19-990 (383)</v>
      </c>
    </row>
    <row r="399" spans="44:57">
      <c r="AR399" s="112">
        <f t="shared" si="24"/>
        <v>384</v>
      </c>
      <c r="AS399" s="149"/>
      <c r="AT399" s="149"/>
      <c r="AU399" s="149"/>
      <c r="AV399" s="149"/>
      <c r="AW399" s="149"/>
      <c r="AX399" s="113" t="str">
        <f>'Data Sample'!G395</f>
        <v>P02A669</v>
      </c>
      <c r="AY399" s="113" t="str">
        <f>'Data Sample'!G1404</f>
        <v>V0539883684423</v>
      </c>
      <c r="AZ399" s="113" t="str">
        <f>'Data Sample'!G900</f>
        <v>AU0072-78-587</v>
      </c>
      <c r="BA399" s="118"/>
      <c r="BC399" s="119" t="str">
        <f t="shared" si="25"/>
        <v>P02A669 (384)</v>
      </c>
      <c r="BD399" s="119" t="str">
        <f t="shared" si="26"/>
        <v>V0539883684423 (384)</v>
      </c>
      <c r="BE399" s="119" t="str">
        <f t="shared" si="27"/>
        <v>AU0072-78-587 (384)</v>
      </c>
    </row>
    <row r="400" spans="44:57">
      <c r="AR400" s="112">
        <f t="shared" ref="AR400:AR463" si="28">1+AR399</f>
        <v>385</v>
      </c>
      <c r="AS400" s="149"/>
      <c r="AT400" s="149"/>
      <c r="AU400" s="149"/>
      <c r="AV400" s="149"/>
      <c r="AW400" s="149"/>
      <c r="AX400" s="113" t="str">
        <f>'Data Sample'!G396</f>
        <v>P02A540</v>
      </c>
      <c r="AY400" s="113" t="str">
        <f>'Data Sample'!G1405</f>
        <v>V0653312010762</v>
      </c>
      <c r="AZ400" s="113" t="str">
        <f>'Data Sample'!G901</f>
        <v>AU0096-80-584</v>
      </c>
      <c r="BA400" s="118"/>
      <c r="BC400" s="119" t="str">
        <f t="shared" ref="BC400:BC463" si="29">AX400 &amp; " ("&amp; $AR400 &amp; ")"</f>
        <v>P02A540 (385)</v>
      </c>
      <c r="BD400" s="119" t="str">
        <f t="shared" ref="BD400:BD463" si="30">AY400 &amp; " ("&amp; $AR400 &amp; ")"</f>
        <v>V0653312010762 (385)</v>
      </c>
      <c r="BE400" s="119" t="str">
        <f t="shared" ref="BE400:BE463" si="31">AZ400 &amp; " ("&amp; $AR400 &amp; ")"</f>
        <v>AU0096-80-584 (385)</v>
      </c>
    </row>
    <row r="401" spans="44:57">
      <c r="AR401" s="112">
        <f t="shared" si="28"/>
        <v>386</v>
      </c>
      <c r="AS401" s="149"/>
      <c r="AT401" s="149"/>
      <c r="AU401" s="149"/>
      <c r="AV401" s="149"/>
      <c r="AW401" s="149"/>
      <c r="AX401" s="113" t="str">
        <f>'Data Sample'!G397</f>
        <v>P02A795</v>
      </c>
      <c r="AY401" s="113" t="str">
        <f>'Data Sample'!G1406</f>
        <v>V0974461716161</v>
      </c>
      <c r="AZ401" s="113" t="str">
        <f>'Data Sample'!G902</f>
        <v>AU0025-92-128</v>
      </c>
      <c r="BA401" s="118"/>
      <c r="BC401" s="119" t="str">
        <f t="shared" si="29"/>
        <v>P02A795 (386)</v>
      </c>
      <c r="BD401" s="119" t="str">
        <f t="shared" si="30"/>
        <v>V0974461716161 (386)</v>
      </c>
      <c r="BE401" s="119" t="str">
        <f t="shared" si="31"/>
        <v>AU0025-92-128 (386)</v>
      </c>
    </row>
    <row r="402" spans="44:57">
      <c r="AR402" s="112">
        <f t="shared" si="28"/>
        <v>387</v>
      </c>
      <c r="AS402" s="149"/>
      <c r="AT402" s="149"/>
      <c r="AU402" s="149"/>
      <c r="AV402" s="149"/>
      <c r="AW402" s="149"/>
      <c r="AX402" s="113" t="str">
        <f>'Data Sample'!G398</f>
        <v>P02A163</v>
      </c>
      <c r="AY402" s="113" t="str">
        <f>'Data Sample'!G1407</f>
        <v>V0106774411677</v>
      </c>
      <c r="AZ402" s="113" t="str">
        <f>'Data Sample'!G903</f>
        <v>AU0041-76-475</v>
      </c>
      <c r="BA402" s="118"/>
      <c r="BC402" s="119" t="str">
        <f t="shared" si="29"/>
        <v>P02A163 (387)</v>
      </c>
      <c r="BD402" s="119" t="str">
        <f t="shared" si="30"/>
        <v>V0106774411677 (387)</v>
      </c>
      <c r="BE402" s="119" t="str">
        <f t="shared" si="31"/>
        <v>AU0041-76-475 (387)</v>
      </c>
    </row>
    <row r="403" spans="44:57">
      <c r="AR403" s="112">
        <f t="shared" si="28"/>
        <v>388</v>
      </c>
      <c r="AS403" s="149"/>
      <c r="AT403" s="149"/>
      <c r="AU403" s="149"/>
      <c r="AV403" s="149"/>
      <c r="AW403" s="149"/>
      <c r="AX403" s="113" t="str">
        <f>'Data Sample'!G399</f>
        <v>P02A144</v>
      </c>
      <c r="AY403" s="113" t="str">
        <f>'Data Sample'!G1408</f>
        <v>V0918498894091</v>
      </c>
      <c r="AZ403" s="113" t="str">
        <f>'Data Sample'!G904</f>
        <v>AU0039-88-313</v>
      </c>
      <c r="BA403" s="118"/>
      <c r="BC403" s="119" t="str">
        <f t="shared" si="29"/>
        <v>P02A144 (388)</v>
      </c>
      <c r="BD403" s="119" t="str">
        <f t="shared" si="30"/>
        <v>V0918498894091 (388)</v>
      </c>
      <c r="BE403" s="119" t="str">
        <f t="shared" si="31"/>
        <v>AU0039-88-313 (388)</v>
      </c>
    </row>
    <row r="404" spans="44:57">
      <c r="AR404" s="112">
        <f t="shared" si="28"/>
        <v>389</v>
      </c>
      <c r="AS404" s="149"/>
      <c r="AT404" s="149"/>
      <c r="AU404" s="149"/>
      <c r="AV404" s="149"/>
      <c r="AW404" s="149"/>
      <c r="AX404" s="113" t="str">
        <f>'Data Sample'!G400</f>
        <v>P02A272</v>
      </c>
      <c r="AY404" s="113" t="str">
        <f>'Data Sample'!G1409</f>
        <v>V0584593397742</v>
      </c>
      <c r="AZ404" s="113" t="str">
        <f>'Data Sample'!G905</f>
        <v>AU0096-52-641</v>
      </c>
      <c r="BA404" s="118"/>
      <c r="BC404" s="119" t="str">
        <f t="shared" si="29"/>
        <v>P02A272 (389)</v>
      </c>
      <c r="BD404" s="119" t="str">
        <f t="shared" si="30"/>
        <v>V0584593397742 (389)</v>
      </c>
      <c r="BE404" s="119" t="str">
        <f t="shared" si="31"/>
        <v>AU0096-52-641 (389)</v>
      </c>
    </row>
    <row r="405" spans="44:57">
      <c r="AR405" s="112">
        <f t="shared" si="28"/>
        <v>390</v>
      </c>
      <c r="AS405" s="149"/>
      <c r="AT405" s="149"/>
      <c r="AU405" s="149"/>
      <c r="AV405" s="149"/>
      <c r="AW405" s="149"/>
      <c r="AX405" s="113" t="str">
        <f>'Data Sample'!G401</f>
        <v>P02A305</v>
      </c>
      <c r="AY405" s="113" t="str">
        <f>'Data Sample'!G1410</f>
        <v>V0132028462612</v>
      </c>
      <c r="AZ405" s="113" t="str">
        <f>'Data Sample'!G906</f>
        <v>AU0065-05-064</v>
      </c>
      <c r="BA405" s="118"/>
      <c r="BC405" s="119" t="str">
        <f t="shared" si="29"/>
        <v>P02A305 (390)</v>
      </c>
      <c r="BD405" s="119" t="str">
        <f t="shared" si="30"/>
        <v>V0132028462612 (390)</v>
      </c>
      <c r="BE405" s="119" t="str">
        <f t="shared" si="31"/>
        <v>AU0065-05-064 (390)</v>
      </c>
    </row>
    <row r="406" spans="44:57">
      <c r="AR406" s="112">
        <f t="shared" si="28"/>
        <v>391</v>
      </c>
      <c r="AS406" s="149"/>
      <c r="AT406" s="149"/>
      <c r="AU406" s="149"/>
      <c r="AV406" s="149"/>
      <c r="AW406" s="149"/>
      <c r="AX406" s="113" t="str">
        <f>'Data Sample'!G402</f>
        <v>P02A613</v>
      </c>
      <c r="AY406" s="113" t="str">
        <f>'Data Sample'!G1411</f>
        <v>V0713899228434</v>
      </c>
      <c r="AZ406" s="113" t="str">
        <f>'Data Sample'!G907</f>
        <v>AU0025-09-716</v>
      </c>
      <c r="BA406" s="118"/>
      <c r="BC406" s="119" t="str">
        <f t="shared" si="29"/>
        <v>P02A613 (391)</v>
      </c>
      <c r="BD406" s="119" t="str">
        <f t="shared" si="30"/>
        <v>V0713899228434 (391)</v>
      </c>
      <c r="BE406" s="119" t="str">
        <f t="shared" si="31"/>
        <v>AU0025-09-716 (391)</v>
      </c>
    </row>
    <row r="407" spans="44:57">
      <c r="AR407" s="112">
        <f t="shared" si="28"/>
        <v>392</v>
      </c>
      <c r="AS407" s="149"/>
      <c r="AT407" s="149"/>
      <c r="AU407" s="149"/>
      <c r="AV407" s="149"/>
      <c r="AW407" s="149"/>
      <c r="AX407" s="113" t="str">
        <f>'Data Sample'!G403</f>
        <v>P02A804</v>
      </c>
      <c r="AY407" s="113" t="str">
        <f>'Data Sample'!G1412</f>
        <v>V0429477987296</v>
      </c>
      <c r="AZ407" s="113" t="str">
        <f>'Data Sample'!G908</f>
        <v>AU0086-72-976</v>
      </c>
      <c r="BA407" s="118"/>
      <c r="BC407" s="119" t="str">
        <f t="shared" si="29"/>
        <v>P02A804 (392)</v>
      </c>
      <c r="BD407" s="119" t="str">
        <f t="shared" si="30"/>
        <v>V0429477987296 (392)</v>
      </c>
      <c r="BE407" s="119" t="str">
        <f t="shared" si="31"/>
        <v>AU0086-72-976 (392)</v>
      </c>
    </row>
    <row r="408" spans="44:57">
      <c r="AR408" s="112">
        <f t="shared" si="28"/>
        <v>393</v>
      </c>
      <c r="AS408" s="149"/>
      <c r="AT408" s="149"/>
      <c r="AU408" s="149"/>
      <c r="AV408" s="149"/>
      <c r="AW408" s="149"/>
      <c r="AX408" s="113" t="str">
        <f>'Data Sample'!G404</f>
        <v>P02A966</v>
      </c>
      <c r="AY408" s="113" t="str">
        <f>'Data Sample'!G1413</f>
        <v>V0474394793313</v>
      </c>
      <c r="AZ408" s="113" t="str">
        <f>'Data Sample'!G909</f>
        <v>AU0042-74-474</v>
      </c>
      <c r="BA408" s="118"/>
      <c r="BC408" s="119" t="str">
        <f t="shared" si="29"/>
        <v>P02A966 (393)</v>
      </c>
      <c r="BD408" s="119" t="str">
        <f t="shared" si="30"/>
        <v>V0474394793313 (393)</v>
      </c>
      <c r="BE408" s="119" t="str">
        <f t="shared" si="31"/>
        <v>AU0042-74-474 (393)</v>
      </c>
    </row>
    <row r="409" spans="44:57">
      <c r="AR409" s="112">
        <f t="shared" si="28"/>
        <v>394</v>
      </c>
      <c r="AS409" s="149"/>
      <c r="AT409" s="149"/>
      <c r="AU409" s="149"/>
      <c r="AV409" s="149"/>
      <c r="AW409" s="149"/>
      <c r="AX409" s="113" t="str">
        <f>'Data Sample'!G405</f>
        <v>P02A446</v>
      </c>
      <c r="AY409" s="113" t="str">
        <f>'Data Sample'!G1414</f>
        <v>V0995847719264</v>
      </c>
      <c r="AZ409" s="113" t="str">
        <f>'Data Sample'!G910</f>
        <v>AU0037-24-169</v>
      </c>
      <c r="BA409" s="118"/>
      <c r="BC409" s="119" t="str">
        <f t="shared" si="29"/>
        <v>P02A446 (394)</v>
      </c>
      <c r="BD409" s="119" t="str">
        <f t="shared" si="30"/>
        <v>V0995847719264 (394)</v>
      </c>
      <c r="BE409" s="119" t="str">
        <f t="shared" si="31"/>
        <v>AU0037-24-169 (394)</v>
      </c>
    </row>
    <row r="410" spans="44:57">
      <c r="AR410" s="112">
        <f t="shared" si="28"/>
        <v>395</v>
      </c>
      <c r="AS410" s="149"/>
      <c r="AT410" s="149"/>
      <c r="AU410" s="149"/>
      <c r="AV410" s="149"/>
      <c r="AW410" s="149"/>
      <c r="AX410" s="113" t="str">
        <f>'Data Sample'!G406</f>
        <v>P02A677</v>
      </c>
      <c r="AY410" s="113" t="str">
        <f>'Data Sample'!G1415</f>
        <v>V0125319283226</v>
      </c>
      <c r="AZ410" s="113" t="str">
        <f>'Data Sample'!G911</f>
        <v>AU0000-70-107</v>
      </c>
      <c r="BA410" s="118"/>
      <c r="BC410" s="119" t="str">
        <f t="shared" si="29"/>
        <v>P02A677 (395)</v>
      </c>
      <c r="BD410" s="119" t="str">
        <f t="shared" si="30"/>
        <v>V0125319283226 (395)</v>
      </c>
      <c r="BE410" s="119" t="str">
        <f t="shared" si="31"/>
        <v>AU0000-70-107 (395)</v>
      </c>
    </row>
    <row r="411" spans="44:57">
      <c r="AR411" s="112">
        <f t="shared" si="28"/>
        <v>396</v>
      </c>
      <c r="AS411" s="149"/>
      <c r="AT411" s="149"/>
      <c r="AU411" s="149"/>
      <c r="AV411" s="149"/>
      <c r="AW411" s="149"/>
      <c r="AX411" s="113" t="str">
        <f>'Data Sample'!G407</f>
        <v>P02A838</v>
      </c>
      <c r="AY411" s="113" t="str">
        <f>'Data Sample'!G1416</f>
        <v>V0572123078969</v>
      </c>
      <c r="AZ411" s="113" t="str">
        <f>'Data Sample'!G912</f>
        <v>AU0032-64-424</v>
      </c>
      <c r="BA411" s="118"/>
      <c r="BC411" s="119" t="str">
        <f t="shared" si="29"/>
        <v>P02A838 (396)</v>
      </c>
      <c r="BD411" s="119" t="str">
        <f t="shared" si="30"/>
        <v>V0572123078969 (396)</v>
      </c>
      <c r="BE411" s="119" t="str">
        <f t="shared" si="31"/>
        <v>AU0032-64-424 (396)</v>
      </c>
    </row>
    <row r="412" spans="44:57">
      <c r="AR412" s="112">
        <f t="shared" si="28"/>
        <v>397</v>
      </c>
      <c r="AS412" s="149"/>
      <c r="AT412" s="149"/>
      <c r="AU412" s="149"/>
      <c r="AV412" s="149"/>
      <c r="AW412" s="149"/>
      <c r="AX412" s="113" t="str">
        <f>'Data Sample'!G408</f>
        <v>P02A453</v>
      </c>
      <c r="AY412" s="113" t="str">
        <f>'Data Sample'!G1417</f>
        <v>V0261308260494</v>
      </c>
      <c r="AZ412" s="113" t="str">
        <f>'Data Sample'!G913</f>
        <v>AU0092-28-204</v>
      </c>
      <c r="BA412" s="118"/>
      <c r="BC412" s="119" t="str">
        <f t="shared" si="29"/>
        <v>P02A453 (397)</v>
      </c>
      <c r="BD412" s="119" t="str">
        <f t="shared" si="30"/>
        <v>V0261308260494 (397)</v>
      </c>
      <c r="BE412" s="119" t="str">
        <f t="shared" si="31"/>
        <v>AU0092-28-204 (397)</v>
      </c>
    </row>
    <row r="413" spans="44:57">
      <c r="AR413" s="112">
        <f t="shared" si="28"/>
        <v>398</v>
      </c>
      <c r="AS413" s="149"/>
      <c r="AT413" s="149"/>
      <c r="AU413" s="149"/>
      <c r="AV413" s="149"/>
      <c r="AW413" s="149"/>
      <c r="AX413" s="113" t="str">
        <f>'Data Sample'!G409</f>
        <v>P02A623</v>
      </c>
      <c r="AY413" s="113" t="str">
        <f>'Data Sample'!G1418</f>
        <v>V0676548238919</v>
      </c>
      <c r="AZ413" s="113" t="str">
        <f>'Data Sample'!G914</f>
        <v>AU0097-94-609</v>
      </c>
      <c r="BA413" s="118"/>
      <c r="BC413" s="119" t="str">
        <f t="shared" si="29"/>
        <v>P02A623 (398)</v>
      </c>
      <c r="BD413" s="119" t="str">
        <f t="shared" si="30"/>
        <v>V0676548238919 (398)</v>
      </c>
      <c r="BE413" s="119" t="str">
        <f t="shared" si="31"/>
        <v>AU0097-94-609 (398)</v>
      </c>
    </row>
    <row r="414" spans="44:57">
      <c r="AR414" s="112">
        <f t="shared" si="28"/>
        <v>399</v>
      </c>
      <c r="AS414" s="149"/>
      <c r="AT414" s="149"/>
      <c r="AU414" s="149"/>
      <c r="AV414" s="149"/>
      <c r="AW414" s="149"/>
      <c r="AX414" s="113" t="str">
        <f>'Data Sample'!G410</f>
        <v>P02A972</v>
      </c>
      <c r="AY414" s="113" t="str">
        <f>'Data Sample'!G1419</f>
        <v>V0735294885209</v>
      </c>
      <c r="AZ414" s="113" t="str">
        <f>'Data Sample'!G915</f>
        <v>AU0075-52-344</v>
      </c>
      <c r="BA414" s="118"/>
      <c r="BC414" s="119" t="str">
        <f t="shared" si="29"/>
        <v>P02A972 (399)</v>
      </c>
      <c r="BD414" s="119" t="str">
        <f t="shared" si="30"/>
        <v>V0735294885209 (399)</v>
      </c>
      <c r="BE414" s="119" t="str">
        <f t="shared" si="31"/>
        <v>AU0075-52-344 (399)</v>
      </c>
    </row>
    <row r="415" spans="44:57">
      <c r="AR415" s="112">
        <f t="shared" si="28"/>
        <v>400</v>
      </c>
      <c r="AS415" s="149"/>
      <c r="AT415" s="149"/>
      <c r="AU415" s="149"/>
      <c r="AV415" s="149"/>
      <c r="AW415" s="149"/>
      <c r="AX415" s="113" t="str">
        <f>'Data Sample'!G411</f>
        <v>P12B4553</v>
      </c>
      <c r="AY415" s="113" t="str">
        <f>'Data Sample'!G1420</f>
        <v>V0619247347105</v>
      </c>
      <c r="AZ415" s="113" t="str">
        <f>'Data Sample'!G916</f>
        <v>AU0042-85-336</v>
      </c>
      <c r="BA415" s="118"/>
      <c r="BC415" s="119" t="str">
        <f t="shared" si="29"/>
        <v>P12B4553 (400)</v>
      </c>
      <c r="BD415" s="119" t="str">
        <f t="shared" si="30"/>
        <v>V0619247347105 (400)</v>
      </c>
      <c r="BE415" s="119" t="str">
        <f t="shared" si="31"/>
        <v>AU0042-85-336 (400)</v>
      </c>
    </row>
    <row r="416" spans="44:57">
      <c r="AR416" s="112">
        <f t="shared" si="28"/>
        <v>401</v>
      </c>
      <c r="AS416" s="149"/>
      <c r="AT416" s="149"/>
      <c r="AU416" s="149"/>
      <c r="AV416" s="149"/>
      <c r="AW416" s="149"/>
      <c r="AX416" s="113" t="str">
        <f>'Data Sample'!G412</f>
        <v>P12B6320</v>
      </c>
      <c r="AY416" s="113" t="str">
        <f>'Data Sample'!G1421</f>
        <v>V0179663435851</v>
      </c>
      <c r="AZ416" s="113" t="str">
        <f>'Data Sample'!G917</f>
        <v>AU0078-59-389</v>
      </c>
      <c r="BA416" s="118"/>
      <c r="BC416" s="119" t="str">
        <f t="shared" si="29"/>
        <v>P12B6320 (401)</v>
      </c>
      <c r="BD416" s="119" t="str">
        <f t="shared" si="30"/>
        <v>V0179663435851 (401)</v>
      </c>
      <c r="BE416" s="119" t="str">
        <f t="shared" si="31"/>
        <v>AU0078-59-389 (401)</v>
      </c>
    </row>
    <row r="417" spans="44:57">
      <c r="AR417" s="112">
        <f t="shared" si="28"/>
        <v>402</v>
      </c>
      <c r="AS417" s="149"/>
      <c r="AT417" s="149"/>
      <c r="AU417" s="149"/>
      <c r="AV417" s="149"/>
      <c r="AW417" s="149"/>
      <c r="AX417" s="113" t="str">
        <f>'Data Sample'!G413</f>
        <v>P12B9492</v>
      </c>
      <c r="AY417" s="113" t="str">
        <f>'Data Sample'!G1422</f>
        <v>V0119803659182</v>
      </c>
      <c r="AZ417" s="113" t="str">
        <f>'Data Sample'!G918</f>
        <v>AU0071-34-837</v>
      </c>
      <c r="BA417" s="118"/>
      <c r="BC417" s="119" t="str">
        <f t="shared" si="29"/>
        <v>P12B9492 (402)</v>
      </c>
      <c r="BD417" s="119" t="str">
        <f t="shared" si="30"/>
        <v>V0119803659182 (402)</v>
      </c>
      <c r="BE417" s="119" t="str">
        <f t="shared" si="31"/>
        <v>AU0071-34-837 (402)</v>
      </c>
    </row>
    <row r="418" spans="44:57">
      <c r="AR418" s="112">
        <f t="shared" si="28"/>
        <v>403</v>
      </c>
      <c r="AS418" s="149"/>
      <c r="AT418" s="149"/>
      <c r="AU418" s="149"/>
      <c r="AV418" s="149"/>
      <c r="AW418" s="149"/>
      <c r="AX418" s="113" t="str">
        <f>'Data Sample'!G414</f>
        <v>P12B1186</v>
      </c>
      <c r="AY418" s="113" t="str">
        <f>'Data Sample'!G1423</f>
        <v>V0672953378160</v>
      </c>
      <c r="AZ418" s="113" t="str">
        <f>'Data Sample'!G919</f>
        <v>AU0048-41-406</v>
      </c>
      <c r="BA418" s="118"/>
      <c r="BC418" s="119" t="str">
        <f t="shared" si="29"/>
        <v>P12B1186 (403)</v>
      </c>
      <c r="BD418" s="119" t="str">
        <f t="shared" si="30"/>
        <v>V0672953378160 (403)</v>
      </c>
      <c r="BE418" s="119" t="str">
        <f t="shared" si="31"/>
        <v>AU0048-41-406 (403)</v>
      </c>
    </row>
    <row r="419" spans="44:57">
      <c r="AR419" s="112">
        <f t="shared" si="28"/>
        <v>404</v>
      </c>
      <c r="AS419" s="149"/>
      <c r="AT419" s="149"/>
      <c r="AU419" s="149"/>
      <c r="AV419" s="149"/>
      <c r="AW419" s="149"/>
      <c r="AX419" s="113" t="str">
        <f>'Data Sample'!G415</f>
        <v>P12B5396</v>
      </c>
      <c r="AY419" s="113" t="str">
        <f>'Data Sample'!G1424</f>
        <v>V0519463131857</v>
      </c>
      <c r="AZ419" s="113" t="str">
        <f>'Data Sample'!G920</f>
        <v>AU0075-35-303</v>
      </c>
      <c r="BA419" s="118"/>
      <c r="BC419" s="119" t="str">
        <f t="shared" si="29"/>
        <v>P12B5396 (404)</v>
      </c>
      <c r="BD419" s="119" t="str">
        <f t="shared" si="30"/>
        <v>V0519463131857 (404)</v>
      </c>
      <c r="BE419" s="119" t="str">
        <f t="shared" si="31"/>
        <v>AU0075-35-303 (404)</v>
      </c>
    </row>
    <row r="420" spans="44:57">
      <c r="AR420" s="112">
        <f t="shared" si="28"/>
        <v>405</v>
      </c>
      <c r="AS420" s="149"/>
      <c r="AT420" s="149"/>
      <c r="AU420" s="149"/>
      <c r="AV420" s="149"/>
      <c r="AW420" s="149"/>
      <c r="AX420" s="113" t="str">
        <f>'Data Sample'!G416</f>
        <v>P12B8636</v>
      </c>
      <c r="AY420" s="113" t="str">
        <f>'Data Sample'!G1425</f>
        <v>V0598182678358</v>
      </c>
      <c r="AZ420" s="113" t="str">
        <f>'Data Sample'!G921</f>
        <v>AU0039-13-641</v>
      </c>
      <c r="BA420" s="118"/>
      <c r="BC420" s="119" t="str">
        <f t="shared" si="29"/>
        <v>P12B8636 (405)</v>
      </c>
      <c r="BD420" s="119" t="str">
        <f t="shared" si="30"/>
        <v>V0598182678358 (405)</v>
      </c>
      <c r="BE420" s="119" t="str">
        <f t="shared" si="31"/>
        <v>AU0039-13-641 (405)</v>
      </c>
    </row>
    <row r="421" spans="44:57">
      <c r="AR421" s="112">
        <f t="shared" si="28"/>
        <v>406</v>
      </c>
      <c r="AS421" s="149"/>
      <c r="AT421" s="149"/>
      <c r="AU421" s="149"/>
      <c r="AV421" s="149"/>
      <c r="AW421" s="149"/>
      <c r="AX421" s="113" t="str">
        <f>'Data Sample'!G417</f>
        <v>P12B6174</v>
      </c>
      <c r="AY421" s="113" t="str">
        <f>'Data Sample'!G1426</f>
        <v>V0991810111686</v>
      </c>
      <c r="AZ421" s="113" t="str">
        <f>'Data Sample'!G922</f>
        <v>AU0070-12-656</v>
      </c>
      <c r="BA421" s="118"/>
      <c r="BC421" s="119" t="str">
        <f t="shared" si="29"/>
        <v>P12B6174 (406)</v>
      </c>
      <c r="BD421" s="119" t="str">
        <f t="shared" si="30"/>
        <v>V0991810111686 (406)</v>
      </c>
      <c r="BE421" s="119" t="str">
        <f t="shared" si="31"/>
        <v>AU0070-12-656 (406)</v>
      </c>
    </row>
    <row r="422" spans="44:57">
      <c r="AR422" s="112">
        <f t="shared" si="28"/>
        <v>407</v>
      </c>
      <c r="AS422" s="149"/>
      <c r="AT422" s="149"/>
      <c r="AU422" s="149"/>
      <c r="AV422" s="149"/>
      <c r="AW422" s="149"/>
      <c r="AX422" s="113" t="str">
        <f>'Data Sample'!G418</f>
        <v>P12B5896</v>
      </c>
      <c r="AY422" s="113" t="str">
        <f>'Data Sample'!G1427</f>
        <v>V0652982110600</v>
      </c>
      <c r="AZ422" s="113" t="str">
        <f>'Data Sample'!G923</f>
        <v>AU0088-45-675</v>
      </c>
      <c r="BA422" s="118"/>
      <c r="BC422" s="119" t="str">
        <f t="shared" si="29"/>
        <v>P12B5896 (407)</v>
      </c>
      <c r="BD422" s="119" t="str">
        <f t="shared" si="30"/>
        <v>V0652982110600 (407)</v>
      </c>
      <c r="BE422" s="119" t="str">
        <f t="shared" si="31"/>
        <v>AU0088-45-675 (407)</v>
      </c>
    </row>
    <row r="423" spans="44:57">
      <c r="AR423" s="112">
        <f t="shared" si="28"/>
        <v>408</v>
      </c>
      <c r="AS423" s="149"/>
      <c r="AT423" s="149"/>
      <c r="AU423" s="149"/>
      <c r="AV423" s="149"/>
      <c r="AW423" s="149"/>
      <c r="AX423" s="113" t="str">
        <f>'Data Sample'!G419</f>
        <v>P12B7235</v>
      </c>
      <c r="AY423" s="113" t="str">
        <f>'Data Sample'!G1428</f>
        <v>V0116047202938</v>
      </c>
      <c r="AZ423" s="113" t="str">
        <f>'Data Sample'!G924</f>
        <v>AU0036-36-895</v>
      </c>
      <c r="BA423" s="118"/>
      <c r="BC423" s="119" t="str">
        <f t="shared" si="29"/>
        <v>P12B7235 (408)</v>
      </c>
      <c r="BD423" s="119" t="str">
        <f t="shared" si="30"/>
        <v>V0116047202938 (408)</v>
      </c>
      <c r="BE423" s="119" t="str">
        <f t="shared" si="31"/>
        <v>AU0036-36-895 (408)</v>
      </c>
    </row>
    <row r="424" spans="44:57">
      <c r="AR424" s="112">
        <f t="shared" si="28"/>
        <v>409</v>
      </c>
      <c r="AS424" s="149"/>
      <c r="AT424" s="149"/>
      <c r="AU424" s="149"/>
      <c r="AV424" s="149"/>
      <c r="AW424" s="149"/>
      <c r="AX424" s="113" t="str">
        <f>'Data Sample'!G420</f>
        <v>P12B1663</v>
      </c>
      <c r="AY424" s="113" t="str">
        <f>'Data Sample'!G1429</f>
        <v>V0713701268331</v>
      </c>
      <c r="AZ424" s="113" t="str">
        <f>'Data Sample'!G925</f>
        <v>AU0040-61-066</v>
      </c>
      <c r="BA424" s="118"/>
      <c r="BC424" s="119" t="str">
        <f t="shared" si="29"/>
        <v>P12B1663 (409)</v>
      </c>
      <c r="BD424" s="119" t="str">
        <f t="shared" si="30"/>
        <v>V0713701268331 (409)</v>
      </c>
      <c r="BE424" s="119" t="str">
        <f t="shared" si="31"/>
        <v>AU0040-61-066 (409)</v>
      </c>
    </row>
    <row r="425" spans="44:57">
      <c r="AR425" s="112">
        <f t="shared" si="28"/>
        <v>410</v>
      </c>
      <c r="AS425" s="149"/>
      <c r="AT425" s="149"/>
      <c r="AU425" s="149"/>
      <c r="AV425" s="149"/>
      <c r="AW425" s="149"/>
      <c r="AX425" s="113" t="str">
        <f>'Data Sample'!G421</f>
        <v>P12B8115</v>
      </c>
      <c r="AY425" s="113" t="str">
        <f>'Data Sample'!G1430</f>
        <v>V0265710948181</v>
      </c>
      <c r="AZ425" s="113" t="str">
        <f>'Data Sample'!G926</f>
        <v>AU0054-40-949</v>
      </c>
      <c r="BA425" s="118"/>
      <c r="BC425" s="119" t="str">
        <f t="shared" si="29"/>
        <v>P12B8115 (410)</v>
      </c>
      <c r="BD425" s="119" t="str">
        <f t="shared" si="30"/>
        <v>V0265710948181 (410)</v>
      </c>
      <c r="BE425" s="119" t="str">
        <f t="shared" si="31"/>
        <v>AU0054-40-949 (410)</v>
      </c>
    </row>
    <row r="426" spans="44:57">
      <c r="AR426" s="112">
        <f t="shared" si="28"/>
        <v>411</v>
      </c>
      <c r="AS426" s="149"/>
      <c r="AT426" s="149"/>
      <c r="AU426" s="149"/>
      <c r="AV426" s="149"/>
      <c r="AW426" s="149"/>
      <c r="AX426" s="113" t="str">
        <f>'Data Sample'!G422</f>
        <v>P12B8052</v>
      </c>
      <c r="AY426" s="113" t="str">
        <f>'Data Sample'!G1431</f>
        <v>V0094882865121</v>
      </c>
      <c r="AZ426" s="113" t="str">
        <f>'Data Sample'!G927</f>
        <v>AU0064-55-122</v>
      </c>
      <c r="BA426" s="118"/>
      <c r="BC426" s="119" t="str">
        <f t="shared" si="29"/>
        <v>P12B8052 (411)</v>
      </c>
      <c r="BD426" s="119" t="str">
        <f t="shared" si="30"/>
        <v>V0094882865121 (411)</v>
      </c>
      <c r="BE426" s="119" t="str">
        <f t="shared" si="31"/>
        <v>AU0064-55-122 (411)</v>
      </c>
    </row>
    <row r="427" spans="44:57">
      <c r="AR427" s="112">
        <f t="shared" si="28"/>
        <v>412</v>
      </c>
      <c r="AS427" s="149"/>
      <c r="AT427" s="149"/>
      <c r="AU427" s="149"/>
      <c r="AV427" s="149"/>
      <c r="AW427" s="149"/>
      <c r="AX427" s="113" t="str">
        <f>'Data Sample'!G423</f>
        <v>P12B2950</v>
      </c>
      <c r="AY427" s="113" t="str">
        <f>'Data Sample'!G1432</f>
        <v>V0089744617066</v>
      </c>
      <c r="AZ427" s="113" t="str">
        <f>'Data Sample'!G928</f>
        <v>AU0068-89-458</v>
      </c>
      <c r="BA427" s="118"/>
      <c r="BC427" s="119" t="str">
        <f t="shared" si="29"/>
        <v>P12B2950 (412)</v>
      </c>
      <c r="BD427" s="119" t="str">
        <f t="shared" si="30"/>
        <v>V0089744617066 (412)</v>
      </c>
      <c r="BE427" s="119" t="str">
        <f t="shared" si="31"/>
        <v>AU0068-89-458 (412)</v>
      </c>
    </row>
    <row r="428" spans="44:57">
      <c r="AR428" s="112">
        <f t="shared" si="28"/>
        <v>413</v>
      </c>
      <c r="AS428" s="149"/>
      <c r="AT428" s="149"/>
      <c r="AU428" s="149"/>
      <c r="AV428" s="149"/>
      <c r="AW428" s="149"/>
      <c r="AX428" s="113" t="str">
        <f>'Data Sample'!G424</f>
        <v>P12B3760</v>
      </c>
      <c r="AY428" s="113" t="str">
        <f>'Data Sample'!G1433</f>
        <v>V0000182664964</v>
      </c>
      <c r="AZ428" s="113" t="str">
        <f>'Data Sample'!G929</f>
        <v>AU0016-09-780</v>
      </c>
      <c r="BA428" s="118"/>
      <c r="BC428" s="119" t="str">
        <f t="shared" si="29"/>
        <v>P12B3760 (413)</v>
      </c>
      <c r="BD428" s="119" t="str">
        <f t="shared" si="30"/>
        <v>V0000182664964 (413)</v>
      </c>
      <c r="BE428" s="119" t="str">
        <f t="shared" si="31"/>
        <v>AU0016-09-780 (413)</v>
      </c>
    </row>
    <row r="429" spans="44:57">
      <c r="AR429" s="112">
        <f t="shared" si="28"/>
        <v>414</v>
      </c>
      <c r="AS429" s="149"/>
      <c r="AT429" s="149"/>
      <c r="AU429" s="149"/>
      <c r="AV429" s="149"/>
      <c r="AW429" s="149"/>
      <c r="AX429" s="113" t="str">
        <f>'Data Sample'!G425</f>
        <v>P12B8337</v>
      </c>
      <c r="AY429" s="113" t="str">
        <f>'Data Sample'!G1434</f>
        <v>V0922785158585</v>
      </c>
      <c r="AZ429" s="113" t="str">
        <f>'Data Sample'!G930</f>
        <v>AU0027-41-558</v>
      </c>
      <c r="BA429" s="118"/>
      <c r="BC429" s="119" t="str">
        <f t="shared" si="29"/>
        <v>P12B8337 (414)</v>
      </c>
      <c r="BD429" s="119" t="str">
        <f t="shared" si="30"/>
        <v>V0922785158585 (414)</v>
      </c>
      <c r="BE429" s="119" t="str">
        <f t="shared" si="31"/>
        <v>AU0027-41-558 (414)</v>
      </c>
    </row>
    <row r="430" spans="44:57">
      <c r="AR430" s="112">
        <f t="shared" si="28"/>
        <v>415</v>
      </c>
      <c r="AS430" s="149"/>
      <c r="AT430" s="149"/>
      <c r="AU430" s="149"/>
      <c r="AV430" s="149"/>
      <c r="AW430" s="149"/>
      <c r="AX430" s="113" t="str">
        <f>'Data Sample'!G426</f>
        <v>P12B7826</v>
      </c>
      <c r="AY430" s="113" t="str">
        <f>'Data Sample'!G1435</f>
        <v>V0063290870082</v>
      </c>
      <c r="AZ430" s="113" t="str">
        <f>'Data Sample'!G931</f>
        <v>AU0077-25-797</v>
      </c>
      <c r="BA430" s="118"/>
      <c r="BC430" s="119" t="str">
        <f t="shared" si="29"/>
        <v>P12B7826 (415)</v>
      </c>
      <c r="BD430" s="119" t="str">
        <f t="shared" si="30"/>
        <v>V0063290870082 (415)</v>
      </c>
      <c r="BE430" s="119" t="str">
        <f t="shared" si="31"/>
        <v>AU0077-25-797 (415)</v>
      </c>
    </row>
    <row r="431" spans="44:57">
      <c r="AR431" s="112">
        <f t="shared" si="28"/>
        <v>416</v>
      </c>
      <c r="AS431" s="149"/>
      <c r="AT431" s="149"/>
      <c r="AU431" s="149"/>
      <c r="AV431" s="149"/>
      <c r="AW431" s="149"/>
      <c r="AX431" s="113" t="str">
        <f>'Data Sample'!G427</f>
        <v>P12B9123</v>
      </c>
      <c r="AY431" s="113" t="str">
        <f>'Data Sample'!G1436</f>
        <v>V0997523071787</v>
      </c>
      <c r="AZ431" s="113" t="str">
        <f>'Data Sample'!G932</f>
        <v>AU0055-92-645</v>
      </c>
      <c r="BA431" s="118"/>
      <c r="BC431" s="119" t="str">
        <f t="shared" si="29"/>
        <v>P12B9123 (416)</v>
      </c>
      <c r="BD431" s="119" t="str">
        <f t="shared" si="30"/>
        <v>V0997523071787 (416)</v>
      </c>
      <c r="BE431" s="119" t="str">
        <f t="shared" si="31"/>
        <v>AU0055-92-645 (416)</v>
      </c>
    </row>
    <row r="432" spans="44:57">
      <c r="AR432" s="112">
        <f t="shared" si="28"/>
        <v>417</v>
      </c>
      <c r="AS432" s="149"/>
      <c r="AT432" s="149"/>
      <c r="AU432" s="149"/>
      <c r="AV432" s="149"/>
      <c r="AW432" s="149"/>
      <c r="AX432" s="113" t="str">
        <f>'Data Sample'!G428</f>
        <v>P12B7607</v>
      </c>
      <c r="AY432" s="113" t="str">
        <f>'Data Sample'!G1437</f>
        <v>V0669282481906</v>
      </c>
      <c r="AZ432" s="113" t="str">
        <f>'Data Sample'!G933</f>
        <v>AU0038-35-611</v>
      </c>
      <c r="BA432" s="118"/>
      <c r="BC432" s="119" t="str">
        <f t="shared" si="29"/>
        <v>P12B7607 (417)</v>
      </c>
      <c r="BD432" s="119" t="str">
        <f t="shared" si="30"/>
        <v>V0669282481906 (417)</v>
      </c>
      <c r="BE432" s="119" t="str">
        <f t="shared" si="31"/>
        <v>AU0038-35-611 (417)</v>
      </c>
    </row>
    <row r="433" spans="44:57">
      <c r="AR433" s="112">
        <f t="shared" si="28"/>
        <v>418</v>
      </c>
      <c r="AS433" s="149"/>
      <c r="AT433" s="149"/>
      <c r="AU433" s="149"/>
      <c r="AV433" s="149"/>
      <c r="AW433" s="149"/>
      <c r="AX433" s="113" t="str">
        <f>'Data Sample'!G429</f>
        <v>P12B5445</v>
      </c>
      <c r="AY433" s="113" t="str">
        <f>'Data Sample'!G1438</f>
        <v>V0036904583938</v>
      </c>
      <c r="AZ433" s="113" t="str">
        <f>'Data Sample'!G934</f>
        <v>AU0070-75-018</v>
      </c>
      <c r="BA433" s="118"/>
      <c r="BC433" s="119" t="str">
        <f t="shared" si="29"/>
        <v>P12B5445 (418)</v>
      </c>
      <c r="BD433" s="119" t="str">
        <f t="shared" si="30"/>
        <v>V0036904583938 (418)</v>
      </c>
      <c r="BE433" s="119" t="str">
        <f t="shared" si="31"/>
        <v>AU0070-75-018 (418)</v>
      </c>
    </row>
    <row r="434" spans="44:57">
      <c r="AR434" s="112">
        <f t="shared" si="28"/>
        <v>419</v>
      </c>
      <c r="AS434" s="149"/>
      <c r="AT434" s="149"/>
      <c r="AU434" s="149"/>
      <c r="AV434" s="149"/>
      <c r="AW434" s="149"/>
      <c r="AX434" s="113" t="str">
        <f>'Data Sample'!G430</f>
        <v>P12B3917</v>
      </c>
      <c r="AY434" s="113" t="str">
        <f>'Data Sample'!G1439</f>
        <v>V0484728440486</v>
      </c>
      <c r="AZ434" s="113" t="str">
        <f>'Data Sample'!G935</f>
        <v>AU0059-31-700</v>
      </c>
      <c r="BA434" s="118"/>
      <c r="BC434" s="119" t="str">
        <f t="shared" si="29"/>
        <v>P12B3917 (419)</v>
      </c>
      <c r="BD434" s="119" t="str">
        <f t="shared" si="30"/>
        <v>V0484728440486 (419)</v>
      </c>
      <c r="BE434" s="119" t="str">
        <f t="shared" si="31"/>
        <v>AU0059-31-700 (419)</v>
      </c>
    </row>
    <row r="435" spans="44:57">
      <c r="AR435" s="112">
        <f t="shared" si="28"/>
        <v>420</v>
      </c>
      <c r="AS435" s="149"/>
      <c r="AT435" s="149"/>
      <c r="AU435" s="149"/>
      <c r="AV435" s="149"/>
      <c r="AW435" s="149"/>
      <c r="AX435" s="113" t="str">
        <f>'Data Sample'!G431</f>
        <v>P12B8324</v>
      </c>
      <c r="AY435" s="113" t="str">
        <f>'Data Sample'!G1440</f>
        <v>V0381496407417</v>
      </c>
      <c r="AZ435" s="113" t="str">
        <f>'Data Sample'!G936</f>
        <v>AU0005-17-736</v>
      </c>
      <c r="BA435" s="118"/>
      <c r="BC435" s="119" t="str">
        <f t="shared" si="29"/>
        <v>P12B8324 (420)</v>
      </c>
      <c r="BD435" s="119" t="str">
        <f t="shared" si="30"/>
        <v>V0381496407417 (420)</v>
      </c>
      <c r="BE435" s="119" t="str">
        <f t="shared" si="31"/>
        <v>AU0005-17-736 (420)</v>
      </c>
    </row>
    <row r="436" spans="44:57">
      <c r="AR436" s="112">
        <f t="shared" si="28"/>
        <v>421</v>
      </c>
      <c r="AS436" s="149"/>
      <c r="AT436" s="149"/>
      <c r="AU436" s="149"/>
      <c r="AV436" s="149"/>
      <c r="AW436" s="149"/>
      <c r="AX436" s="113" t="str">
        <f>'Data Sample'!G432</f>
        <v>P12B1959</v>
      </c>
      <c r="AY436" s="113" t="str">
        <f>'Data Sample'!G1441</f>
        <v>V0851165250628</v>
      </c>
      <c r="AZ436" s="113" t="str">
        <f>'Data Sample'!G937</f>
        <v>AU0069-25-599</v>
      </c>
      <c r="BA436" s="118"/>
      <c r="BC436" s="119" t="str">
        <f t="shared" si="29"/>
        <v>P12B1959 (421)</v>
      </c>
      <c r="BD436" s="119" t="str">
        <f t="shared" si="30"/>
        <v>V0851165250628 (421)</v>
      </c>
      <c r="BE436" s="119" t="str">
        <f t="shared" si="31"/>
        <v>AU0069-25-599 (421)</v>
      </c>
    </row>
    <row r="437" spans="44:57">
      <c r="AR437" s="112">
        <f t="shared" si="28"/>
        <v>422</v>
      </c>
      <c r="AS437" s="149"/>
      <c r="AT437" s="149"/>
      <c r="AU437" s="149"/>
      <c r="AV437" s="149"/>
      <c r="AW437" s="149"/>
      <c r="AX437" s="113" t="str">
        <f>'Data Sample'!G433</f>
        <v>P12B5562</v>
      </c>
      <c r="AY437" s="113" t="str">
        <f>'Data Sample'!G1442</f>
        <v>V0982450133665</v>
      </c>
      <c r="AZ437" s="113" t="str">
        <f>'Data Sample'!G938</f>
        <v>AU0029-61-688</v>
      </c>
      <c r="BA437" s="118"/>
      <c r="BC437" s="119" t="str">
        <f t="shared" si="29"/>
        <v>P12B5562 (422)</v>
      </c>
      <c r="BD437" s="119" t="str">
        <f t="shared" si="30"/>
        <v>V0982450133665 (422)</v>
      </c>
      <c r="BE437" s="119" t="str">
        <f t="shared" si="31"/>
        <v>AU0029-61-688 (422)</v>
      </c>
    </row>
    <row r="438" spans="44:57">
      <c r="AR438" s="112">
        <f t="shared" si="28"/>
        <v>423</v>
      </c>
      <c r="AS438" s="149"/>
      <c r="AT438" s="149"/>
      <c r="AU438" s="149"/>
      <c r="AV438" s="149"/>
      <c r="AW438" s="149"/>
      <c r="AX438" s="113" t="str">
        <f>'Data Sample'!G434</f>
        <v>P12B7601</v>
      </c>
      <c r="AY438" s="113" t="str">
        <f>'Data Sample'!G1443</f>
        <v>V0279590349205</v>
      </c>
      <c r="AZ438" s="113" t="str">
        <f>'Data Sample'!G939</f>
        <v>AU0043-09-601</v>
      </c>
      <c r="BA438" s="118"/>
      <c r="BC438" s="119" t="str">
        <f t="shared" si="29"/>
        <v>P12B7601 (423)</v>
      </c>
      <c r="BD438" s="119" t="str">
        <f t="shared" si="30"/>
        <v>V0279590349205 (423)</v>
      </c>
      <c r="BE438" s="119" t="str">
        <f t="shared" si="31"/>
        <v>AU0043-09-601 (423)</v>
      </c>
    </row>
    <row r="439" spans="44:57">
      <c r="AR439" s="112">
        <f t="shared" si="28"/>
        <v>424</v>
      </c>
      <c r="AS439" s="149"/>
      <c r="AT439" s="149"/>
      <c r="AU439" s="149"/>
      <c r="AV439" s="149"/>
      <c r="AW439" s="149"/>
      <c r="AX439" s="113" t="str">
        <f>'Data Sample'!G435</f>
        <v>P12B2857</v>
      </c>
      <c r="AY439" s="113" t="str">
        <f>'Data Sample'!G1444</f>
        <v>V0576625317882</v>
      </c>
      <c r="AZ439" s="113" t="str">
        <f>'Data Sample'!G940</f>
        <v>AU0046-52-670</v>
      </c>
      <c r="BA439" s="118"/>
      <c r="BC439" s="119" t="str">
        <f t="shared" si="29"/>
        <v>P12B2857 (424)</v>
      </c>
      <c r="BD439" s="119" t="str">
        <f t="shared" si="30"/>
        <v>V0576625317882 (424)</v>
      </c>
      <c r="BE439" s="119" t="str">
        <f t="shared" si="31"/>
        <v>AU0046-52-670 (424)</v>
      </c>
    </row>
    <row r="440" spans="44:57">
      <c r="AR440" s="112">
        <f t="shared" si="28"/>
        <v>425</v>
      </c>
      <c r="AS440" s="149"/>
      <c r="AT440" s="149"/>
      <c r="AU440" s="149"/>
      <c r="AV440" s="149"/>
      <c r="AW440" s="149"/>
      <c r="AX440" s="113" t="str">
        <f>'Data Sample'!G436</f>
        <v>P12B6892</v>
      </c>
      <c r="AY440" s="113" t="str">
        <f>'Data Sample'!G1445</f>
        <v>V0246176341669</v>
      </c>
      <c r="AZ440" s="113" t="str">
        <f>'Data Sample'!G941</f>
        <v>AU0083-20-753</v>
      </c>
      <c r="BA440" s="118"/>
      <c r="BC440" s="119" t="str">
        <f t="shared" si="29"/>
        <v>P12B6892 (425)</v>
      </c>
      <c r="BD440" s="119" t="str">
        <f t="shared" si="30"/>
        <v>V0246176341669 (425)</v>
      </c>
      <c r="BE440" s="119" t="str">
        <f t="shared" si="31"/>
        <v>AU0083-20-753 (425)</v>
      </c>
    </row>
    <row r="441" spans="44:57">
      <c r="AR441" s="112">
        <f t="shared" si="28"/>
        <v>426</v>
      </c>
      <c r="AS441" s="149"/>
      <c r="AT441" s="149"/>
      <c r="AU441" s="149"/>
      <c r="AV441" s="149"/>
      <c r="AW441" s="149"/>
      <c r="AX441" s="113" t="str">
        <f>'Data Sample'!G437</f>
        <v>P12B8455</v>
      </c>
      <c r="AY441" s="113" t="str">
        <f>'Data Sample'!G1446</f>
        <v>V0242379993934</v>
      </c>
      <c r="AZ441" s="113" t="str">
        <f>'Data Sample'!G942</f>
        <v>AU0061-26-493</v>
      </c>
      <c r="BA441" s="118"/>
      <c r="BC441" s="119" t="str">
        <f t="shared" si="29"/>
        <v>P12B8455 (426)</v>
      </c>
      <c r="BD441" s="119" t="str">
        <f t="shared" si="30"/>
        <v>V0242379993934 (426)</v>
      </c>
      <c r="BE441" s="119" t="str">
        <f t="shared" si="31"/>
        <v>AU0061-26-493 (426)</v>
      </c>
    </row>
    <row r="442" spans="44:57">
      <c r="AR442" s="112">
        <f t="shared" si="28"/>
        <v>427</v>
      </c>
      <c r="AS442" s="149"/>
      <c r="AT442" s="149"/>
      <c r="AU442" s="149"/>
      <c r="AV442" s="149"/>
      <c r="AW442" s="149"/>
      <c r="AX442" s="113" t="str">
        <f>'Data Sample'!G438</f>
        <v>P12B1042</v>
      </c>
      <c r="AY442" s="113" t="str">
        <f>'Data Sample'!G1447</f>
        <v>V0968693367354</v>
      </c>
      <c r="AZ442" s="113" t="str">
        <f>'Data Sample'!G943</f>
        <v>AU0041-36-503</v>
      </c>
      <c r="BA442" s="118"/>
      <c r="BC442" s="119" t="str">
        <f t="shared" si="29"/>
        <v>P12B1042 (427)</v>
      </c>
      <c r="BD442" s="119" t="str">
        <f t="shared" si="30"/>
        <v>V0968693367354 (427)</v>
      </c>
      <c r="BE442" s="119" t="str">
        <f t="shared" si="31"/>
        <v>AU0041-36-503 (427)</v>
      </c>
    </row>
    <row r="443" spans="44:57">
      <c r="AR443" s="112">
        <f t="shared" si="28"/>
        <v>428</v>
      </c>
      <c r="AS443" s="149"/>
      <c r="AT443" s="149"/>
      <c r="AU443" s="149"/>
      <c r="AV443" s="149"/>
      <c r="AW443" s="149"/>
      <c r="AX443" s="113" t="str">
        <f>'Data Sample'!G439</f>
        <v>P12B5547</v>
      </c>
      <c r="AY443" s="113" t="str">
        <f>'Data Sample'!G1448</f>
        <v>V0780568787951</v>
      </c>
      <c r="AZ443" s="113" t="str">
        <f>'Data Sample'!G944</f>
        <v>AU0040-56-954</v>
      </c>
      <c r="BA443" s="118"/>
      <c r="BC443" s="119" t="str">
        <f t="shared" si="29"/>
        <v>P12B5547 (428)</v>
      </c>
      <c r="BD443" s="119" t="str">
        <f t="shared" si="30"/>
        <v>V0780568787951 (428)</v>
      </c>
      <c r="BE443" s="119" t="str">
        <f t="shared" si="31"/>
        <v>AU0040-56-954 (428)</v>
      </c>
    </row>
    <row r="444" spans="44:57">
      <c r="AR444" s="112">
        <f t="shared" si="28"/>
        <v>429</v>
      </c>
      <c r="AS444" s="149"/>
      <c r="AT444" s="149"/>
      <c r="AU444" s="149"/>
      <c r="AV444" s="149"/>
      <c r="AW444" s="149"/>
      <c r="AX444" s="113" t="str">
        <f>'Data Sample'!G440</f>
        <v>P12B6146</v>
      </c>
      <c r="AY444" s="113" t="str">
        <f>'Data Sample'!G1449</f>
        <v>V0838090839564</v>
      </c>
      <c r="AZ444" s="113" t="str">
        <f>'Data Sample'!G945</f>
        <v>AU0010-07-580</v>
      </c>
      <c r="BA444" s="118"/>
      <c r="BC444" s="119" t="str">
        <f t="shared" si="29"/>
        <v>P12B6146 (429)</v>
      </c>
      <c r="BD444" s="119" t="str">
        <f t="shared" si="30"/>
        <v>V0838090839564 (429)</v>
      </c>
      <c r="BE444" s="119" t="str">
        <f t="shared" si="31"/>
        <v>AU0010-07-580 (429)</v>
      </c>
    </row>
    <row r="445" spans="44:57">
      <c r="AR445" s="112">
        <f t="shared" si="28"/>
        <v>430</v>
      </c>
      <c r="AS445" s="149"/>
      <c r="AT445" s="149"/>
      <c r="AU445" s="149"/>
      <c r="AV445" s="149"/>
      <c r="AW445" s="149"/>
      <c r="AX445" s="113" t="str">
        <f>'Data Sample'!G441</f>
        <v>P12B3507</v>
      </c>
      <c r="AY445" s="113" t="str">
        <f>'Data Sample'!G1450</f>
        <v>V0855367200408</v>
      </c>
      <c r="AZ445" s="113" t="str">
        <f>'Data Sample'!G946</f>
        <v>AU0063-47-244</v>
      </c>
      <c r="BA445" s="118"/>
      <c r="BC445" s="119" t="str">
        <f t="shared" si="29"/>
        <v>P12B3507 (430)</v>
      </c>
      <c r="BD445" s="119" t="str">
        <f t="shared" si="30"/>
        <v>V0855367200408 (430)</v>
      </c>
      <c r="BE445" s="119" t="str">
        <f t="shared" si="31"/>
        <v>AU0063-47-244 (430)</v>
      </c>
    </row>
    <row r="446" spans="44:57">
      <c r="AR446" s="112">
        <f t="shared" si="28"/>
        <v>431</v>
      </c>
      <c r="AS446" s="149"/>
      <c r="AT446" s="149"/>
      <c r="AU446" s="149"/>
      <c r="AV446" s="149"/>
      <c r="AW446" s="149"/>
      <c r="AX446" s="113" t="str">
        <f>'Data Sample'!G442</f>
        <v>P12B9333</v>
      </c>
      <c r="AY446" s="113" t="str">
        <f>'Data Sample'!G1451</f>
        <v>V0338434563565</v>
      </c>
      <c r="AZ446" s="113" t="str">
        <f>'Data Sample'!G947</f>
        <v>AU0001-37-871</v>
      </c>
      <c r="BA446" s="118"/>
      <c r="BC446" s="119" t="str">
        <f t="shared" si="29"/>
        <v>P12B9333 (431)</v>
      </c>
      <c r="BD446" s="119" t="str">
        <f t="shared" si="30"/>
        <v>V0338434563565 (431)</v>
      </c>
      <c r="BE446" s="119" t="str">
        <f t="shared" si="31"/>
        <v>AU0001-37-871 (431)</v>
      </c>
    </row>
    <row r="447" spans="44:57">
      <c r="AR447" s="112">
        <f t="shared" si="28"/>
        <v>432</v>
      </c>
      <c r="AS447" s="149"/>
      <c r="AT447" s="149"/>
      <c r="AU447" s="149"/>
      <c r="AV447" s="149"/>
      <c r="AW447" s="149"/>
      <c r="AX447" s="113" t="str">
        <f>'Data Sample'!G443</f>
        <v>P12B7916</v>
      </c>
      <c r="AY447" s="113" t="str">
        <f>'Data Sample'!G1452</f>
        <v>V0031778965620</v>
      </c>
      <c r="AZ447" s="113" t="str">
        <f>'Data Sample'!G948</f>
        <v>AU0024-97-579</v>
      </c>
      <c r="BA447" s="118"/>
      <c r="BC447" s="119" t="str">
        <f t="shared" si="29"/>
        <v>P12B7916 (432)</v>
      </c>
      <c r="BD447" s="119" t="str">
        <f t="shared" si="30"/>
        <v>V0031778965620 (432)</v>
      </c>
      <c r="BE447" s="119" t="str">
        <f t="shared" si="31"/>
        <v>AU0024-97-579 (432)</v>
      </c>
    </row>
    <row r="448" spans="44:57">
      <c r="AR448" s="112">
        <f t="shared" si="28"/>
        <v>433</v>
      </c>
      <c r="AS448" s="149"/>
      <c r="AT448" s="149"/>
      <c r="AU448" s="149"/>
      <c r="AV448" s="149"/>
      <c r="AW448" s="149"/>
      <c r="AX448" s="113" t="str">
        <f>'Data Sample'!G444</f>
        <v>P12B2256</v>
      </c>
      <c r="AY448" s="113" t="str">
        <f>'Data Sample'!G1453</f>
        <v>V0307617291136</v>
      </c>
      <c r="AZ448" s="113" t="str">
        <f>'Data Sample'!G949</f>
        <v>AU0069-86-208</v>
      </c>
      <c r="BA448" s="118"/>
      <c r="BC448" s="119" t="str">
        <f t="shared" si="29"/>
        <v>P12B2256 (433)</v>
      </c>
      <c r="BD448" s="119" t="str">
        <f t="shared" si="30"/>
        <v>V0307617291136 (433)</v>
      </c>
      <c r="BE448" s="119" t="str">
        <f t="shared" si="31"/>
        <v>AU0069-86-208 (433)</v>
      </c>
    </row>
    <row r="449" spans="44:57">
      <c r="AR449" s="112">
        <f t="shared" si="28"/>
        <v>434</v>
      </c>
      <c r="AS449" s="149"/>
      <c r="AT449" s="149"/>
      <c r="AU449" s="149"/>
      <c r="AV449" s="149"/>
      <c r="AW449" s="149"/>
      <c r="AX449" s="113" t="str">
        <f>'Data Sample'!G445</f>
        <v>P12B1660</v>
      </c>
      <c r="AY449" s="113" t="str">
        <f>'Data Sample'!G1454</f>
        <v>V0078588541168</v>
      </c>
      <c r="AZ449" s="113" t="str">
        <f>'Data Sample'!G950</f>
        <v>AU0085-83-509</v>
      </c>
      <c r="BA449" s="118"/>
      <c r="BC449" s="119" t="str">
        <f t="shared" si="29"/>
        <v>P12B1660 (434)</v>
      </c>
      <c r="BD449" s="119" t="str">
        <f t="shared" si="30"/>
        <v>V0078588541168 (434)</v>
      </c>
      <c r="BE449" s="119" t="str">
        <f t="shared" si="31"/>
        <v>AU0085-83-509 (434)</v>
      </c>
    </row>
    <row r="450" spans="44:57">
      <c r="AR450" s="112">
        <f t="shared" si="28"/>
        <v>435</v>
      </c>
      <c r="AS450" s="149"/>
      <c r="AT450" s="149"/>
      <c r="AU450" s="149"/>
      <c r="AV450" s="149"/>
      <c r="AW450" s="149"/>
      <c r="AX450" s="113" t="str">
        <f>'Data Sample'!G446</f>
        <v>P12B5497</v>
      </c>
      <c r="AY450" s="113" t="str">
        <f>'Data Sample'!G1455</f>
        <v>V0498595430122</v>
      </c>
      <c r="AZ450" s="113" t="str">
        <f>'Data Sample'!G951</f>
        <v>AU0055-54-096</v>
      </c>
      <c r="BA450" s="118"/>
      <c r="BC450" s="119" t="str">
        <f t="shared" si="29"/>
        <v>P12B5497 (435)</v>
      </c>
      <c r="BD450" s="119" t="str">
        <f t="shared" si="30"/>
        <v>V0498595430122 (435)</v>
      </c>
      <c r="BE450" s="119" t="str">
        <f t="shared" si="31"/>
        <v>AU0055-54-096 (435)</v>
      </c>
    </row>
    <row r="451" spans="44:57">
      <c r="AR451" s="112">
        <f t="shared" si="28"/>
        <v>436</v>
      </c>
      <c r="AS451" s="149"/>
      <c r="AT451" s="149"/>
      <c r="AU451" s="149"/>
      <c r="AV451" s="149"/>
      <c r="AW451" s="149"/>
      <c r="AX451" s="113" t="str">
        <f>'Data Sample'!G447</f>
        <v>P12B5285</v>
      </c>
      <c r="AY451" s="113" t="str">
        <f>'Data Sample'!G1456</f>
        <v>V0811766164477</v>
      </c>
      <c r="AZ451" s="113" t="str">
        <f>'Data Sample'!G952</f>
        <v>AU0025-52-367</v>
      </c>
      <c r="BA451" s="118"/>
      <c r="BC451" s="119" t="str">
        <f t="shared" si="29"/>
        <v>P12B5285 (436)</v>
      </c>
      <c r="BD451" s="119" t="str">
        <f t="shared" si="30"/>
        <v>V0811766164477 (436)</v>
      </c>
      <c r="BE451" s="119" t="str">
        <f t="shared" si="31"/>
        <v>AU0025-52-367 (436)</v>
      </c>
    </row>
    <row r="452" spans="44:57">
      <c r="AR452" s="112">
        <f t="shared" si="28"/>
        <v>437</v>
      </c>
      <c r="AS452" s="149"/>
      <c r="AT452" s="149"/>
      <c r="AU452" s="149"/>
      <c r="AV452" s="149"/>
      <c r="AW452" s="149"/>
      <c r="AX452" s="113" t="str">
        <f>'Data Sample'!G448</f>
        <v>P12B2568</v>
      </c>
      <c r="AY452" s="113" t="str">
        <f>'Data Sample'!G1457</f>
        <v>V0218609557276</v>
      </c>
      <c r="AZ452" s="113" t="str">
        <f>'Data Sample'!G953</f>
        <v>AU0054-00-778</v>
      </c>
      <c r="BA452" s="118"/>
      <c r="BC452" s="119" t="str">
        <f t="shared" si="29"/>
        <v>P12B2568 (437)</v>
      </c>
      <c r="BD452" s="119" t="str">
        <f t="shared" si="30"/>
        <v>V0218609557276 (437)</v>
      </c>
      <c r="BE452" s="119" t="str">
        <f t="shared" si="31"/>
        <v>AU0054-00-778 (437)</v>
      </c>
    </row>
    <row r="453" spans="44:57">
      <c r="AR453" s="112">
        <f t="shared" si="28"/>
        <v>438</v>
      </c>
      <c r="AS453" s="149"/>
      <c r="AT453" s="149"/>
      <c r="AU453" s="149"/>
      <c r="AV453" s="149"/>
      <c r="AW453" s="149"/>
      <c r="AX453" s="113" t="str">
        <f>'Data Sample'!G449</f>
        <v>P12B5012</v>
      </c>
      <c r="AY453" s="113" t="str">
        <f>'Data Sample'!G1458</f>
        <v>V0152078142848</v>
      </c>
      <c r="AZ453" s="113" t="str">
        <f>'Data Sample'!G954</f>
        <v>AU0076-99-046</v>
      </c>
      <c r="BA453" s="118"/>
      <c r="BC453" s="119" t="str">
        <f t="shared" si="29"/>
        <v>P12B5012 (438)</v>
      </c>
      <c r="BD453" s="119" t="str">
        <f t="shared" si="30"/>
        <v>V0152078142848 (438)</v>
      </c>
      <c r="BE453" s="119" t="str">
        <f t="shared" si="31"/>
        <v>AU0076-99-046 (438)</v>
      </c>
    </row>
    <row r="454" spans="44:57">
      <c r="AR454" s="112">
        <f t="shared" si="28"/>
        <v>439</v>
      </c>
      <c r="AS454" s="149"/>
      <c r="AT454" s="149"/>
      <c r="AU454" s="149"/>
      <c r="AV454" s="149"/>
      <c r="AW454" s="149"/>
      <c r="AX454" s="113" t="str">
        <f>'Data Sample'!G450</f>
        <v>P12B3889</v>
      </c>
      <c r="AY454" s="113" t="str">
        <f>'Data Sample'!G1459</f>
        <v>V0289442876366</v>
      </c>
      <c r="AZ454" s="113" t="str">
        <f>'Data Sample'!G955</f>
        <v>AU0054-22-788</v>
      </c>
      <c r="BA454" s="118"/>
      <c r="BC454" s="119" t="str">
        <f t="shared" si="29"/>
        <v>P12B3889 (439)</v>
      </c>
      <c r="BD454" s="119" t="str">
        <f t="shared" si="30"/>
        <v>V0289442876366 (439)</v>
      </c>
      <c r="BE454" s="119" t="str">
        <f t="shared" si="31"/>
        <v>AU0054-22-788 (439)</v>
      </c>
    </row>
    <row r="455" spans="44:57">
      <c r="AR455" s="112">
        <f t="shared" si="28"/>
        <v>440</v>
      </c>
      <c r="AS455" s="149"/>
      <c r="AT455" s="149"/>
      <c r="AU455" s="149"/>
      <c r="AV455" s="149"/>
      <c r="AW455" s="149"/>
      <c r="AX455" s="113" t="str">
        <f>'Data Sample'!G451</f>
        <v>P12B9915</v>
      </c>
      <c r="AY455" s="113" t="str">
        <f>'Data Sample'!G1460</f>
        <v>V0941649532239</v>
      </c>
      <c r="AZ455" s="113" t="str">
        <f>'Data Sample'!G956</f>
        <v>AU0068-05-234</v>
      </c>
      <c r="BA455" s="118"/>
      <c r="BC455" s="119" t="str">
        <f t="shared" si="29"/>
        <v>P12B9915 (440)</v>
      </c>
      <c r="BD455" s="119" t="str">
        <f t="shared" si="30"/>
        <v>V0941649532239 (440)</v>
      </c>
      <c r="BE455" s="119" t="str">
        <f t="shared" si="31"/>
        <v>AU0068-05-234 (440)</v>
      </c>
    </row>
    <row r="456" spans="44:57">
      <c r="AR456" s="112">
        <f t="shared" si="28"/>
        <v>441</v>
      </c>
      <c r="AS456" s="149"/>
      <c r="AT456" s="149"/>
      <c r="AU456" s="149"/>
      <c r="AV456" s="149"/>
      <c r="AW456" s="149"/>
      <c r="AX456" s="113" t="str">
        <f>'Data Sample'!G452</f>
        <v>P12B5127</v>
      </c>
      <c r="AY456" s="113" t="str">
        <f>'Data Sample'!G1461</f>
        <v>V0589510873449</v>
      </c>
      <c r="AZ456" s="113" t="str">
        <f>'Data Sample'!G957</f>
        <v>AU0056-17-441</v>
      </c>
      <c r="BA456" s="118"/>
      <c r="BC456" s="119" t="str">
        <f t="shared" si="29"/>
        <v>P12B5127 (441)</v>
      </c>
      <c r="BD456" s="119" t="str">
        <f t="shared" si="30"/>
        <v>V0589510873449 (441)</v>
      </c>
      <c r="BE456" s="119" t="str">
        <f t="shared" si="31"/>
        <v>AU0056-17-441 (441)</v>
      </c>
    </row>
    <row r="457" spans="44:57">
      <c r="AR457" s="112">
        <f t="shared" si="28"/>
        <v>442</v>
      </c>
      <c r="AS457" s="149"/>
      <c r="AT457" s="149"/>
      <c r="AU457" s="149"/>
      <c r="AV457" s="149"/>
      <c r="AW457" s="149"/>
      <c r="AX457" s="113" t="str">
        <f>'Data Sample'!G453</f>
        <v>P12B1346</v>
      </c>
      <c r="AY457" s="113" t="str">
        <f>'Data Sample'!G1462</f>
        <v>V0081951962636</v>
      </c>
      <c r="AZ457" s="113" t="str">
        <f>'Data Sample'!G958</f>
        <v>AU0002-97-591</v>
      </c>
      <c r="BA457" s="118"/>
      <c r="BC457" s="119" t="str">
        <f t="shared" si="29"/>
        <v>P12B1346 (442)</v>
      </c>
      <c r="BD457" s="119" t="str">
        <f t="shared" si="30"/>
        <v>V0081951962636 (442)</v>
      </c>
      <c r="BE457" s="119" t="str">
        <f t="shared" si="31"/>
        <v>AU0002-97-591 (442)</v>
      </c>
    </row>
    <row r="458" spans="44:57">
      <c r="AR458" s="112">
        <f t="shared" si="28"/>
        <v>443</v>
      </c>
      <c r="AS458" s="149"/>
      <c r="AT458" s="149"/>
      <c r="AU458" s="149"/>
      <c r="AV458" s="149"/>
      <c r="AW458" s="149"/>
      <c r="AX458" s="113" t="str">
        <f>'Data Sample'!G454</f>
        <v>P12B2635</v>
      </c>
      <c r="AY458" s="113" t="str">
        <f>'Data Sample'!G1463</f>
        <v>V0187367945496</v>
      </c>
      <c r="AZ458" s="113" t="str">
        <f>'Data Sample'!G959</f>
        <v>AU0047-45-529</v>
      </c>
      <c r="BA458" s="118"/>
      <c r="BC458" s="119" t="str">
        <f t="shared" si="29"/>
        <v>P12B2635 (443)</v>
      </c>
      <c r="BD458" s="119" t="str">
        <f t="shared" si="30"/>
        <v>V0187367945496 (443)</v>
      </c>
      <c r="BE458" s="119" t="str">
        <f t="shared" si="31"/>
        <v>AU0047-45-529 (443)</v>
      </c>
    </row>
    <row r="459" spans="44:57">
      <c r="AR459" s="112">
        <f t="shared" si="28"/>
        <v>444</v>
      </c>
      <c r="AS459" s="149"/>
      <c r="AT459" s="149"/>
      <c r="AU459" s="149"/>
      <c r="AV459" s="149"/>
      <c r="AW459" s="149"/>
      <c r="AX459" s="113" t="str">
        <f>'Data Sample'!G455</f>
        <v>P12B2764</v>
      </c>
      <c r="AY459" s="113" t="str">
        <f>'Data Sample'!G1464</f>
        <v>V0906883906324</v>
      </c>
      <c r="AZ459" s="113" t="str">
        <f>'Data Sample'!G960</f>
        <v>AU0011-56-937</v>
      </c>
      <c r="BA459" s="118"/>
      <c r="BC459" s="119" t="str">
        <f t="shared" si="29"/>
        <v>P12B2764 (444)</v>
      </c>
      <c r="BD459" s="119" t="str">
        <f t="shared" si="30"/>
        <v>V0906883906324 (444)</v>
      </c>
      <c r="BE459" s="119" t="str">
        <f t="shared" si="31"/>
        <v>AU0011-56-937 (444)</v>
      </c>
    </row>
    <row r="460" spans="44:57">
      <c r="AR460" s="112">
        <f t="shared" si="28"/>
        <v>445</v>
      </c>
      <c r="AS460" s="149"/>
      <c r="AT460" s="149"/>
      <c r="AU460" s="149"/>
      <c r="AV460" s="149"/>
      <c r="AW460" s="149"/>
      <c r="AX460" s="113" t="str">
        <f>'Data Sample'!G456</f>
        <v>P12B6296</v>
      </c>
      <c r="AY460" s="113" t="str">
        <f>'Data Sample'!G1465</f>
        <v>V0602278277089</v>
      </c>
      <c r="AZ460" s="113" t="str">
        <f>'Data Sample'!G961</f>
        <v>AU0030-20-794</v>
      </c>
      <c r="BA460" s="118"/>
      <c r="BC460" s="119" t="str">
        <f t="shared" si="29"/>
        <v>P12B6296 (445)</v>
      </c>
      <c r="BD460" s="119" t="str">
        <f t="shared" si="30"/>
        <v>V0602278277089 (445)</v>
      </c>
      <c r="BE460" s="119" t="str">
        <f t="shared" si="31"/>
        <v>AU0030-20-794 (445)</v>
      </c>
    </row>
    <row r="461" spans="44:57">
      <c r="AR461" s="112">
        <f t="shared" si="28"/>
        <v>446</v>
      </c>
      <c r="AS461" s="149"/>
      <c r="AT461" s="149"/>
      <c r="AU461" s="149"/>
      <c r="AV461" s="149"/>
      <c r="AW461" s="149"/>
      <c r="AX461" s="113" t="str">
        <f>'Data Sample'!G457</f>
        <v>P12B5319</v>
      </c>
      <c r="AY461" s="113" t="str">
        <f>'Data Sample'!G1466</f>
        <v>V0416624596976</v>
      </c>
      <c r="AZ461" s="113" t="str">
        <f>'Data Sample'!G962</f>
        <v>AU0063-64-909</v>
      </c>
      <c r="BA461" s="118"/>
      <c r="BC461" s="119" t="str">
        <f t="shared" si="29"/>
        <v>P12B5319 (446)</v>
      </c>
      <c r="BD461" s="119" t="str">
        <f t="shared" si="30"/>
        <v>V0416624596976 (446)</v>
      </c>
      <c r="BE461" s="119" t="str">
        <f t="shared" si="31"/>
        <v>AU0063-64-909 (446)</v>
      </c>
    </row>
    <row r="462" spans="44:57">
      <c r="AR462" s="112">
        <f t="shared" si="28"/>
        <v>447</v>
      </c>
      <c r="AS462" s="149"/>
      <c r="AT462" s="149"/>
      <c r="AU462" s="149"/>
      <c r="AV462" s="149"/>
      <c r="AW462" s="149"/>
      <c r="AX462" s="113" t="str">
        <f>'Data Sample'!G458</f>
        <v>P12B4863</v>
      </c>
      <c r="AY462" s="113" t="str">
        <f>'Data Sample'!G1467</f>
        <v>V0716291792650</v>
      </c>
      <c r="AZ462" s="113" t="str">
        <f>'Data Sample'!G963</f>
        <v>AU0087-27-621</v>
      </c>
      <c r="BA462" s="118"/>
      <c r="BC462" s="119" t="str">
        <f t="shared" si="29"/>
        <v>P12B4863 (447)</v>
      </c>
      <c r="BD462" s="119" t="str">
        <f t="shared" si="30"/>
        <v>V0716291792650 (447)</v>
      </c>
      <c r="BE462" s="119" t="str">
        <f t="shared" si="31"/>
        <v>AU0087-27-621 (447)</v>
      </c>
    </row>
    <row r="463" spans="44:57">
      <c r="AR463" s="112">
        <f t="shared" si="28"/>
        <v>448</v>
      </c>
      <c r="AS463" s="149"/>
      <c r="AT463" s="149"/>
      <c r="AU463" s="149"/>
      <c r="AV463" s="149"/>
      <c r="AW463" s="149"/>
      <c r="AX463" s="113" t="str">
        <f>'Data Sample'!G459</f>
        <v>P12B8529</v>
      </c>
      <c r="AY463" s="113" t="str">
        <f>'Data Sample'!G1468</f>
        <v>V0900455528544</v>
      </c>
      <c r="AZ463" s="113" t="str">
        <f>'Data Sample'!G964</f>
        <v>AU0049-40-940</v>
      </c>
      <c r="BA463" s="118"/>
      <c r="BC463" s="119" t="str">
        <f t="shared" si="29"/>
        <v>P12B8529 (448)</v>
      </c>
      <c r="BD463" s="119" t="str">
        <f t="shared" si="30"/>
        <v>V0900455528544 (448)</v>
      </c>
      <c r="BE463" s="119" t="str">
        <f t="shared" si="31"/>
        <v>AU0049-40-940 (448)</v>
      </c>
    </row>
    <row r="464" spans="44:57">
      <c r="AR464" s="112">
        <f t="shared" ref="AR464:AR514" si="32">1+AR463</f>
        <v>449</v>
      </c>
      <c r="AS464" s="149"/>
      <c r="AT464" s="149"/>
      <c r="AU464" s="149"/>
      <c r="AV464" s="149"/>
      <c r="AW464" s="149"/>
      <c r="AX464" s="113" t="str">
        <f>'Data Sample'!G460</f>
        <v>P12B6161</v>
      </c>
      <c r="AY464" s="113" t="str">
        <f>'Data Sample'!G1469</f>
        <v>V0199066352171</v>
      </c>
      <c r="AZ464" s="113" t="str">
        <f>'Data Sample'!G965</f>
        <v>AU0008-55-957</v>
      </c>
      <c r="BA464" s="118"/>
      <c r="BC464" s="119" t="str">
        <f t="shared" ref="BC464:BC514" si="33">AX464 &amp; " ("&amp; $AR464 &amp; ")"</f>
        <v>P12B6161 (449)</v>
      </c>
      <c r="BD464" s="119" t="str">
        <f t="shared" ref="BD464:BD514" si="34">AY464 &amp; " ("&amp; $AR464 &amp; ")"</f>
        <v>V0199066352171 (449)</v>
      </c>
      <c r="BE464" s="119" t="str">
        <f t="shared" ref="BE464:BE514" si="35">AZ464 &amp; " ("&amp; $AR464 &amp; ")"</f>
        <v>AU0008-55-957 (449)</v>
      </c>
    </row>
    <row r="465" spans="44:57">
      <c r="AR465" s="112">
        <f t="shared" si="32"/>
        <v>450</v>
      </c>
      <c r="AS465" s="149"/>
      <c r="AT465" s="149"/>
      <c r="AU465" s="149"/>
      <c r="AV465" s="149"/>
      <c r="AW465" s="149"/>
      <c r="AX465" s="113" t="str">
        <f>'Data Sample'!G461</f>
        <v>P12B4458</v>
      </c>
      <c r="AY465" s="113" t="str">
        <f>'Data Sample'!G1470</f>
        <v>V0422065648249</v>
      </c>
      <c r="AZ465" s="113" t="str">
        <f>'Data Sample'!G966</f>
        <v>AU0006-35-477</v>
      </c>
      <c r="BA465" s="118"/>
      <c r="BC465" s="119" t="str">
        <f t="shared" si="33"/>
        <v>P12B4458 (450)</v>
      </c>
      <c r="BD465" s="119" t="str">
        <f t="shared" si="34"/>
        <v>V0422065648249 (450)</v>
      </c>
      <c r="BE465" s="119" t="str">
        <f t="shared" si="35"/>
        <v>AU0006-35-477 (450)</v>
      </c>
    </row>
    <row r="466" spans="44:57">
      <c r="AR466" s="112">
        <f t="shared" si="32"/>
        <v>451</v>
      </c>
      <c r="AS466" s="149"/>
      <c r="AT466" s="149"/>
      <c r="AU466" s="149"/>
      <c r="AV466" s="149"/>
      <c r="AW466" s="149"/>
      <c r="AX466" s="113" t="str">
        <f>'Data Sample'!G462</f>
        <v>P12B3761</v>
      </c>
      <c r="AY466" s="113" t="str">
        <f>'Data Sample'!G1471</f>
        <v>V0308309455818</v>
      </c>
      <c r="AZ466" s="113" t="str">
        <f>'Data Sample'!G967</f>
        <v>AU0023-84-813</v>
      </c>
      <c r="BA466" s="118"/>
      <c r="BC466" s="119" t="str">
        <f t="shared" si="33"/>
        <v>P12B3761 (451)</v>
      </c>
      <c r="BD466" s="119" t="str">
        <f t="shared" si="34"/>
        <v>V0308309455818 (451)</v>
      </c>
      <c r="BE466" s="119" t="str">
        <f t="shared" si="35"/>
        <v>AU0023-84-813 (451)</v>
      </c>
    </row>
    <row r="467" spans="44:57">
      <c r="AR467" s="112">
        <f t="shared" si="32"/>
        <v>452</v>
      </c>
      <c r="AS467" s="149"/>
      <c r="AT467" s="149"/>
      <c r="AU467" s="149"/>
      <c r="AV467" s="149"/>
      <c r="AW467" s="149"/>
      <c r="AX467" s="113" t="str">
        <f>'Data Sample'!G463</f>
        <v>P12B1548</v>
      </c>
      <c r="AY467" s="113" t="str">
        <f>'Data Sample'!G1472</f>
        <v>V0884489653833</v>
      </c>
      <c r="AZ467" s="113" t="str">
        <f>'Data Sample'!G968</f>
        <v>AU0041-42-312</v>
      </c>
      <c r="BA467" s="118"/>
      <c r="BC467" s="119" t="str">
        <f t="shared" si="33"/>
        <v>P12B1548 (452)</v>
      </c>
      <c r="BD467" s="119" t="str">
        <f t="shared" si="34"/>
        <v>V0884489653833 (452)</v>
      </c>
      <c r="BE467" s="119" t="str">
        <f t="shared" si="35"/>
        <v>AU0041-42-312 (452)</v>
      </c>
    </row>
    <row r="468" spans="44:57">
      <c r="AR468" s="112">
        <f t="shared" si="32"/>
        <v>453</v>
      </c>
      <c r="AS468" s="149"/>
      <c r="AT468" s="149"/>
      <c r="AU468" s="149"/>
      <c r="AV468" s="149"/>
      <c r="AW468" s="149"/>
      <c r="AX468" s="113" t="str">
        <f>'Data Sample'!G464</f>
        <v>P12B9167</v>
      </c>
      <c r="AY468" s="113" t="str">
        <f>'Data Sample'!G1473</f>
        <v>V0696344689136</v>
      </c>
      <c r="AZ468" s="113" t="str">
        <f>'Data Sample'!G969</f>
        <v>AU0060-45-459</v>
      </c>
      <c r="BA468" s="118"/>
      <c r="BC468" s="119" t="str">
        <f t="shared" si="33"/>
        <v>P12B9167 (453)</v>
      </c>
      <c r="BD468" s="119" t="str">
        <f t="shared" si="34"/>
        <v>V0696344689136 (453)</v>
      </c>
      <c r="BE468" s="119" t="str">
        <f t="shared" si="35"/>
        <v>AU0060-45-459 (453)</v>
      </c>
    </row>
    <row r="469" spans="44:57">
      <c r="AR469" s="112">
        <f t="shared" si="32"/>
        <v>454</v>
      </c>
      <c r="AS469" s="149"/>
      <c r="AT469" s="149"/>
      <c r="AU469" s="149"/>
      <c r="AV469" s="149"/>
      <c r="AW469" s="149"/>
      <c r="AX469" s="113" t="str">
        <f>'Data Sample'!G465</f>
        <v>P12B8756</v>
      </c>
      <c r="AY469" s="113" t="str">
        <f>'Data Sample'!G1474</f>
        <v>V0015043925338</v>
      </c>
      <c r="AZ469" s="113" t="str">
        <f>'Data Sample'!G970</f>
        <v>AU0039-19-712</v>
      </c>
      <c r="BA469" s="118"/>
      <c r="BC469" s="119" t="str">
        <f t="shared" si="33"/>
        <v>P12B8756 (454)</v>
      </c>
      <c r="BD469" s="119" t="str">
        <f t="shared" si="34"/>
        <v>V0015043925338 (454)</v>
      </c>
      <c r="BE469" s="119" t="str">
        <f t="shared" si="35"/>
        <v>AU0039-19-712 (454)</v>
      </c>
    </row>
    <row r="470" spans="44:57">
      <c r="AR470" s="112">
        <f t="shared" si="32"/>
        <v>455</v>
      </c>
      <c r="AS470" s="149"/>
      <c r="AT470" s="149"/>
      <c r="AU470" s="149"/>
      <c r="AV470" s="149"/>
      <c r="AW470" s="149"/>
      <c r="AX470" s="113" t="str">
        <f>'Data Sample'!G466</f>
        <v>P12B753</v>
      </c>
      <c r="AY470" s="113" t="str">
        <f>'Data Sample'!G1475</f>
        <v>V0047193981538</v>
      </c>
      <c r="AZ470" s="113" t="str">
        <f>'Data Sample'!G971</f>
        <v>AU0069-93-566</v>
      </c>
      <c r="BA470" s="118"/>
      <c r="BC470" s="119" t="str">
        <f t="shared" si="33"/>
        <v>P12B753 (455)</v>
      </c>
      <c r="BD470" s="119" t="str">
        <f t="shared" si="34"/>
        <v>V0047193981538 (455)</v>
      </c>
      <c r="BE470" s="119" t="str">
        <f t="shared" si="35"/>
        <v>AU0069-93-566 (455)</v>
      </c>
    </row>
    <row r="471" spans="44:57">
      <c r="AR471" s="112">
        <f t="shared" si="32"/>
        <v>456</v>
      </c>
      <c r="AS471" s="149"/>
      <c r="AT471" s="149"/>
      <c r="AU471" s="149"/>
      <c r="AV471" s="149"/>
      <c r="AW471" s="149"/>
      <c r="AX471" s="113" t="str">
        <f>'Data Sample'!G467</f>
        <v>P12B5678</v>
      </c>
      <c r="AY471" s="113" t="str">
        <f>'Data Sample'!G1476</f>
        <v>V0563052046287</v>
      </c>
      <c r="AZ471" s="113" t="str">
        <f>'Data Sample'!G972</f>
        <v>AU0086-48-893</v>
      </c>
      <c r="BA471" s="118"/>
      <c r="BC471" s="119" t="str">
        <f t="shared" si="33"/>
        <v>P12B5678 (456)</v>
      </c>
      <c r="BD471" s="119" t="str">
        <f t="shared" si="34"/>
        <v>V0563052046287 (456)</v>
      </c>
      <c r="BE471" s="119" t="str">
        <f t="shared" si="35"/>
        <v>AU0086-48-893 (456)</v>
      </c>
    </row>
    <row r="472" spans="44:57">
      <c r="AR472" s="112">
        <f t="shared" si="32"/>
        <v>457</v>
      </c>
      <c r="AS472" s="149"/>
      <c r="AT472" s="149"/>
      <c r="AU472" s="149"/>
      <c r="AV472" s="149"/>
      <c r="AW472" s="149"/>
      <c r="AX472" s="113" t="str">
        <f>'Data Sample'!G468</f>
        <v>P12B8852</v>
      </c>
      <c r="AY472" s="113" t="str">
        <f>'Data Sample'!G1477</f>
        <v>V0483761695459</v>
      </c>
      <c r="AZ472" s="113" t="str">
        <f>'Data Sample'!G973</f>
        <v>AU0007-09-463</v>
      </c>
      <c r="BA472" s="118"/>
      <c r="BC472" s="119" t="str">
        <f t="shared" si="33"/>
        <v>P12B8852 (457)</v>
      </c>
      <c r="BD472" s="119" t="str">
        <f t="shared" si="34"/>
        <v>V0483761695459 (457)</v>
      </c>
      <c r="BE472" s="119" t="str">
        <f t="shared" si="35"/>
        <v>AU0007-09-463 (457)</v>
      </c>
    </row>
    <row r="473" spans="44:57">
      <c r="AR473" s="112">
        <f t="shared" si="32"/>
        <v>458</v>
      </c>
      <c r="AS473" s="149"/>
      <c r="AT473" s="149"/>
      <c r="AU473" s="149"/>
      <c r="AV473" s="149"/>
      <c r="AW473" s="149"/>
      <c r="AX473" s="113" t="str">
        <f>'Data Sample'!G469</f>
        <v>P12B9436</v>
      </c>
      <c r="AY473" s="113" t="str">
        <f>'Data Sample'!G1478</f>
        <v>V0487601821118</v>
      </c>
      <c r="AZ473" s="113" t="str">
        <f>'Data Sample'!G974</f>
        <v>AU0074-13-101</v>
      </c>
      <c r="BA473" s="118"/>
      <c r="BC473" s="119" t="str">
        <f t="shared" si="33"/>
        <v>P12B9436 (458)</v>
      </c>
      <c r="BD473" s="119" t="str">
        <f t="shared" si="34"/>
        <v>V0487601821118 (458)</v>
      </c>
      <c r="BE473" s="119" t="str">
        <f t="shared" si="35"/>
        <v>AU0074-13-101 (458)</v>
      </c>
    </row>
    <row r="474" spans="44:57">
      <c r="AR474" s="112">
        <f t="shared" si="32"/>
        <v>459</v>
      </c>
      <c r="AS474" s="149"/>
      <c r="AT474" s="149"/>
      <c r="AU474" s="149"/>
      <c r="AV474" s="149"/>
      <c r="AW474" s="149"/>
      <c r="AX474" s="113" t="str">
        <f>'Data Sample'!G470</f>
        <v>P12B7159</v>
      </c>
      <c r="AY474" s="113" t="str">
        <f>'Data Sample'!G1479</f>
        <v>V0769669552163</v>
      </c>
      <c r="AZ474" s="113" t="str">
        <f>'Data Sample'!G975</f>
        <v>AU0045-38-767</v>
      </c>
      <c r="BA474" s="118"/>
      <c r="BC474" s="119" t="str">
        <f t="shared" si="33"/>
        <v>P12B7159 (459)</v>
      </c>
      <c r="BD474" s="119" t="str">
        <f t="shared" si="34"/>
        <v>V0769669552163 (459)</v>
      </c>
      <c r="BE474" s="119" t="str">
        <f t="shared" si="35"/>
        <v>AU0045-38-767 (459)</v>
      </c>
    </row>
    <row r="475" spans="44:57">
      <c r="AR475" s="112">
        <f t="shared" si="32"/>
        <v>460</v>
      </c>
      <c r="AS475" s="149"/>
      <c r="AT475" s="149"/>
      <c r="AU475" s="149"/>
      <c r="AV475" s="149"/>
      <c r="AW475" s="149"/>
      <c r="AX475" s="113" t="str">
        <f>'Data Sample'!G471</f>
        <v>P12B2224</v>
      </c>
      <c r="AY475" s="113" t="str">
        <f>'Data Sample'!G1480</f>
        <v>V0095733139400</v>
      </c>
      <c r="AZ475" s="113" t="str">
        <f>'Data Sample'!G976</f>
        <v>AU0070-45-116</v>
      </c>
      <c r="BA475" s="118"/>
      <c r="BC475" s="119" t="str">
        <f t="shared" si="33"/>
        <v>P12B2224 (460)</v>
      </c>
      <c r="BD475" s="119" t="str">
        <f t="shared" si="34"/>
        <v>V0095733139400 (460)</v>
      </c>
      <c r="BE475" s="119" t="str">
        <f t="shared" si="35"/>
        <v>AU0070-45-116 (460)</v>
      </c>
    </row>
    <row r="476" spans="44:57">
      <c r="AR476" s="112">
        <f t="shared" si="32"/>
        <v>461</v>
      </c>
      <c r="AS476" s="149"/>
      <c r="AT476" s="149"/>
      <c r="AU476" s="149"/>
      <c r="AV476" s="149"/>
      <c r="AW476" s="149"/>
      <c r="AX476" s="113" t="str">
        <f>'Data Sample'!G472</f>
        <v>P12B8745</v>
      </c>
      <c r="AY476" s="113" t="str">
        <f>'Data Sample'!G1481</f>
        <v>V0174644209445</v>
      </c>
      <c r="AZ476" s="113" t="str">
        <f>'Data Sample'!G977</f>
        <v>AU0051-67-533</v>
      </c>
      <c r="BA476" s="118"/>
      <c r="BC476" s="119" t="str">
        <f t="shared" si="33"/>
        <v>P12B8745 (461)</v>
      </c>
      <c r="BD476" s="119" t="str">
        <f t="shared" si="34"/>
        <v>V0174644209445 (461)</v>
      </c>
      <c r="BE476" s="119" t="str">
        <f t="shared" si="35"/>
        <v>AU0051-67-533 (461)</v>
      </c>
    </row>
    <row r="477" spans="44:57">
      <c r="AR477" s="112">
        <f t="shared" si="32"/>
        <v>462</v>
      </c>
      <c r="AS477" s="149"/>
      <c r="AT477" s="149"/>
      <c r="AU477" s="149"/>
      <c r="AV477" s="149"/>
      <c r="AW477" s="149"/>
      <c r="AX477" s="113" t="str">
        <f>'Data Sample'!G473</f>
        <v>P12B8157</v>
      </c>
      <c r="AY477" s="113" t="str">
        <f>'Data Sample'!G1482</f>
        <v>V0027667255998</v>
      </c>
      <c r="AZ477" s="113" t="str">
        <f>'Data Sample'!G978</f>
        <v>AU0082-39-728</v>
      </c>
      <c r="BA477" s="118"/>
      <c r="BC477" s="119" t="str">
        <f t="shared" si="33"/>
        <v>P12B8157 (462)</v>
      </c>
      <c r="BD477" s="119" t="str">
        <f t="shared" si="34"/>
        <v>V0027667255998 (462)</v>
      </c>
      <c r="BE477" s="119" t="str">
        <f t="shared" si="35"/>
        <v>AU0082-39-728 (462)</v>
      </c>
    </row>
    <row r="478" spans="44:57">
      <c r="AR478" s="112">
        <f t="shared" si="32"/>
        <v>463</v>
      </c>
      <c r="AS478" s="149"/>
      <c r="AT478" s="149"/>
      <c r="AU478" s="149"/>
      <c r="AV478" s="149"/>
      <c r="AW478" s="149"/>
      <c r="AX478" s="113" t="str">
        <f>'Data Sample'!G474</f>
        <v>P12B3756</v>
      </c>
      <c r="AY478" s="113" t="str">
        <f>'Data Sample'!G1483</f>
        <v>V0895689535415</v>
      </c>
      <c r="AZ478" s="113" t="str">
        <f>'Data Sample'!G979</f>
        <v>AU0017-35-434</v>
      </c>
      <c r="BA478" s="118"/>
      <c r="BC478" s="119" t="str">
        <f t="shared" si="33"/>
        <v>P12B3756 (463)</v>
      </c>
      <c r="BD478" s="119" t="str">
        <f t="shared" si="34"/>
        <v>V0895689535415 (463)</v>
      </c>
      <c r="BE478" s="119" t="str">
        <f t="shared" si="35"/>
        <v>AU0017-35-434 (463)</v>
      </c>
    </row>
    <row r="479" spans="44:57">
      <c r="AR479" s="112">
        <f t="shared" si="32"/>
        <v>464</v>
      </c>
      <c r="AS479" s="149"/>
      <c r="AT479" s="149"/>
      <c r="AU479" s="149"/>
      <c r="AV479" s="149"/>
      <c r="AW479" s="149"/>
      <c r="AX479" s="113" t="str">
        <f>'Data Sample'!G475</f>
        <v>P12B2354</v>
      </c>
      <c r="AY479" s="113" t="str">
        <f>'Data Sample'!G1484</f>
        <v>V0269992762205</v>
      </c>
      <c r="AZ479" s="113" t="str">
        <f>'Data Sample'!G980</f>
        <v>AU0075-42-460</v>
      </c>
      <c r="BA479" s="118"/>
      <c r="BC479" s="119" t="str">
        <f t="shared" si="33"/>
        <v>P12B2354 (464)</v>
      </c>
      <c r="BD479" s="119" t="str">
        <f t="shared" si="34"/>
        <v>V0269992762205 (464)</v>
      </c>
      <c r="BE479" s="119" t="str">
        <f t="shared" si="35"/>
        <v>AU0075-42-460 (464)</v>
      </c>
    </row>
    <row r="480" spans="44:57">
      <c r="AR480" s="112">
        <f t="shared" si="32"/>
        <v>465</v>
      </c>
      <c r="AS480" s="149"/>
      <c r="AT480" s="149"/>
      <c r="AU480" s="149"/>
      <c r="AV480" s="149"/>
      <c r="AW480" s="149"/>
      <c r="AX480" s="113" t="str">
        <f>'Data Sample'!G476</f>
        <v>P12B9900</v>
      </c>
      <c r="AY480" s="113" t="str">
        <f>'Data Sample'!G1485</f>
        <v>V0948615544343</v>
      </c>
      <c r="AZ480" s="113" t="str">
        <f>'Data Sample'!G981</f>
        <v>AU0087-12-582</v>
      </c>
      <c r="BA480" s="118"/>
      <c r="BC480" s="119" t="str">
        <f t="shared" si="33"/>
        <v>P12B9900 (465)</v>
      </c>
      <c r="BD480" s="119" t="str">
        <f t="shared" si="34"/>
        <v>V0948615544343 (465)</v>
      </c>
      <c r="BE480" s="119" t="str">
        <f t="shared" si="35"/>
        <v>AU0087-12-582 (465)</v>
      </c>
    </row>
    <row r="481" spans="44:57">
      <c r="AR481" s="112">
        <f t="shared" si="32"/>
        <v>466</v>
      </c>
      <c r="AS481" s="149"/>
      <c r="AT481" s="149"/>
      <c r="AU481" s="149"/>
      <c r="AV481" s="149"/>
      <c r="AW481" s="149"/>
      <c r="AX481" s="113" t="str">
        <f>'Data Sample'!G477</f>
        <v>P12B3283</v>
      </c>
      <c r="AY481" s="113" t="str">
        <f>'Data Sample'!G1486</f>
        <v>V0807128842340</v>
      </c>
      <c r="AZ481" s="113" t="str">
        <f>'Data Sample'!G982</f>
        <v>AU0065-35-479</v>
      </c>
      <c r="BA481" s="118"/>
      <c r="BC481" s="119" t="str">
        <f t="shared" si="33"/>
        <v>P12B3283 (466)</v>
      </c>
      <c r="BD481" s="119" t="str">
        <f t="shared" si="34"/>
        <v>V0807128842340 (466)</v>
      </c>
      <c r="BE481" s="119" t="str">
        <f t="shared" si="35"/>
        <v>AU0065-35-479 (466)</v>
      </c>
    </row>
    <row r="482" spans="44:57">
      <c r="AR482" s="112">
        <f t="shared" si="32"/>
        <v>467</v>
      </c>
      <c r="AS482" s="149"/>
      <c r="AT482" s="149"/>
      <c r="AU482" s="149"/>
      <c r="AV482" s="149"/>
      <c r="AW482" s="149"/>
      <c r="AX482" s="113" t="str">
        <f>'Data Sample'!G478</f>
        <v>P12B8734</v>
      </c>
      <c r="AY482" s="113" t="str">
        <f>'Data Sample'!G1487</f>
        <v>V0314776399928</v>
      </c>
      <c r="AZ482" s="113" t="str">
        <f>'Data Sample'!G983</f>
        <v>AU0091-60-107</v>
      </c>
      <c r="BA482" s="118"/>
      <c r="BC482" s="119" t="str">
        <f t="shared" si="33"/>
        <v>P12B8734 (467)</v>
      </c>
      <c r="BD482" s="119" t="str">
        <f t="shared" si="34"/>
        <v>V0314776399928 (467)</v>
      </c>
      <c r="BE482" s="119" t="str">
        <f t="shared" si="35"/>
        <v>AU0091-60-107 (467)</v>
      </c>
    </row>
    <row r="483" spans="44:57">
      <c r="AR483" s="112">
        <f t="shared" si="32"/>
        <v>468</v>
      </c>
      <c r="AS483" s="149"/>
      <c r="AT483" s="149"/>
      <c r="AU483" s="149"/>
      <c r="AV483" s="149"/>
      <c r="AW483" s="149"/>
      <c r="AX483" s="113" t="str">
        <f>'Data Sample'!G479</f>
        <v>P12B7416</v>
      </c>
      <c r="AY483" s="113" t="str">
        <f>'Data Sample'!G1488</f>
        <v>V0229655880490</v>
      </c>
      <c r="AZ483" s="113" t="str">
        <f>'Data Sample'!G984</f>
        <v>AU0045-02-274</v>
      </c>
      <c r="BA483" s="118"/>
      <c r="BC483" s="119" t="str">
        <f t="shared" si="33"/>
        <v>P12B7416 (468)</v>
      </c>
      <c r="BD483" s="119" t="str">
        <f t="shared" si="34"/>
        <v>V0229655880490 (468)</v>
      </c>
      <c r="BE483" s="119" t="str">
        <f t="shared" si="35"/>
        <v>AU0045-02-274 (468)</v>
      </c>
    </row>
    <row r="484" spans="44:57">
      <c r="AR484" s="112">
        <f t="shared" si="32"/>
        <v>469</v>
      </c>
      <c r="AS484" s="149"/>
      <c r="AT484" s="149"/>
      <c r="AU484" s="149"/>
      <c r="AV484" s="149"/>
      <c r="AW484" s="149"/>
      <c r="AX484" s="113" t="str">
        <f>'Data Sample'!G480</f>
        <v>P12B142</v>
      </c>
      <c r="AY484" s="113" t="str">
        <f>'Data Sample'!G1489</f>
        <v>V0421964634315</v>
      </c>
      <c r="AZ484" s="113" t="str">
        <f>'Data Sample'!G985</f>
        <v>AU0009-28-231</v>
      </c>
      <c r="BA484" s="118"/>
      <c r="BC484" s="119" t="str">
        <f t="shared" si="33"/>
        <v>P12B142 (469)</v>
      </c>
      <c r="BD484" s="119" t="str">
        <f t="shared" si="34"/>
        <v>V0421964634315 (469)</v>
      </c>
      <c r="BE484" s="119" t="str">
        <f t="shared" si="35"/>
        <v>AU0009-28-231 (469)</v>
      </c>
    </row>
    <row r="485" spans="44:57">
      <c r="AR485" s="112">
        <f t="shared" si="32"/>
        <v>470</v>
      </c>
      <c r="AS485" s="149"/>
      <c r="AT485" s="149"/>
      <c r="AU485" s="149"/>
      <c r="AV485" s="149"/>
      <c r="AW485" s="149"/>
      <c r="AX485" s="113" t="str">
        <f>'Data Sample'!G481</f>
        <v>P12B5745</v>
      </c>
      <c r="AY485" s="113" t="str">
        <f>'Data Sample'!G1490</f>
        <v>V0138882163453</v>
      </c>
      <c r="AZ485" s="113" t="str">
        <f>'Data Sample'!G986</f>
        <v>AU0062-37-170</v>
      </c>
      <c r="BA485" s="118"/>
      <c r="BC485" s="119" t="str">
        <f t="shared" si="33"/>
        <v>P12B5745 (470)</v>
      </c>
      <c r="BD485" s="119" t="str">
        <f t="shared" si="34"/>
        <v>V0138882163453 (470)</v>
      </c>
      <c r="BE485" s="119" t="str">
        <f t="shared" si="35"/>
        <v>AU0062-37-170 (470)</v>
      </c>
    </row>
    <row r="486" spans="44:57">
      <c r="AR486" s="112">
        <f t="shared" si="32"/>
        <v>471</v>
      </c>
      <c r="AS486" s="149"/>
      <c r="AT486" s="149"/>
      <c r="AU486" s="149"/>
      <c r="AV486" s="149"/>
      <c r="AW486" s="149"/>
      <c r="AX486" s="113" t="str">
        <f>'Data Sample'!G482</f>
        <v>P12B7833</v>
      </c>
      <c r="AY486" s="113" t="str">
        <f>'Data Sample'!G1491</f>
        <v>V0945727761342</v>
      </c>
      <c r="AZ486" s="113" t="str">
        <f>'Data Sample'!G987</f>
        <v>AU0017-29-379</v>
      </c>
      <c r="BA486" s="118"/>
      <c r="BC486" s="119" t="str">
        <f t="shared" si="33"/>
        <v>P12B7833 (471)</v>
      </c>
      <c r="BD486" s="119" t="str">
        <f t="shared" si="34"/>
        <v>V0945727761342 (471)</v>
      </c>
      <c r="BE486" s="119" t="str">
        <f t="shared" si="35"/>
        <v>AU0017-29-379 (471)</v>
      </c>
    </row>
    <row r="487" spans="44:57">
      <c r="AR487" s="112">
        <f t="shared" si="32"/>
        <v>472</v>
      </c>
      <c r="AS487" s="149"/>
      <c r="AT487" s="149"/>
      <c r="AU487" s="149"/>
      <c r="AV487" s="149"/>
      <c r="AW487" s="149"/>
      <c r="AX487" s="113" t="str">
        <f>'Data Sample'!G483</f>
        <v>P12B6026</v>
      </c>
      <c r="AY487" s="113" t="str">
        <f>'Data Sample'!G1492</f>
        <v>V0271383018418</v>
      </c>
      <c r="AZ487" s="113" t="str">
        <f>'Data Sample'!G988</f>
        <v>AU0019-01-445</v>
      </c>
      <c r="BA487" s="118"/>
      <c r="BC487" s="119" t="str">
        <f t="shared" si="33"/>
        <v>P12B6026 (472)</v>
      </c>
      <c r="BD487" s="119" t="str">
        <f t="shared" si="34"/>
        <v>V0271383018418 (472)</v>
      </c>
      <c r="BE487" s="119" t="str">
        <f t="shared" si="35"/>
        <v>AU0019-01-445 (472)</v>
      </c>
    </row>
    <row r="488" spans="44:57">
      <c r="AR488" s="112">
        <f t="shared" si="32"/>
        <v>473</v>
      </c>
      <c r="AS488" s="149"/>
      <c r="AT488" s="149"/>
      <c r="AU488" s="149"/>
      <c r="AV488" s="149"/>
      <c r="AW488" s="149"/>
      <c r="AX488" s="113" t="str">
        <f>'Data Sample'!G484</f>
        <v>P12B4832</v>
      </c>
      <c r="AY488" s="113" t="str">
        <f>'Data Sample'!G1493</f>
        <v>V0053872728085</v>
      </c>
      <c r="AZ488" s="113" t="str">
        <f>'Data Sample'!G989</f>
        <v>AU0016-04-405</v>
      </c>
      <c r="BA488" s="118"/>
      <c r="BC488" s="119" t="str">
        <f t="shared" si="33"/>
        <v>P12B4832 (473)</v>
      </c>
      <c r="BD488" s="119" t="str">
        <f t="shared" si="34"/>
        <v>V0053872728085 (473)</v>
      </c>
      <c r="BE488" s="119" t="str">
        <f t="shared" si="35"/>
        <v>AU0016-04-405 (473)</v>
      </c>
    </row>
    <row r="489" spans="44:57">
      <c r="AR489" s="112">
        <f t="shared" si="32"/>
        <v>474</v>
      </c>
      <c r="AS489" s="149"/>
      <c r="AT489" s="149"/>
      <c r="AU489" s="149"/>
      <c r="AV489" s="149"/>
      <c r="AW489" s="149"/>
      <c r="AX489" s="113" t="str">
        <f>'Data Sample'!G485</f>
        <v>P12B5203</v>
      </c>
      <c r="AY489" s="113" t="str">
        <f>'Data Sample'!G1494</f>
        <v>V0457575083751</v>
      </c>
      <c r="AZ489" s="113" t="str">
        <f>'Data Sample'!G990</f>
        <v>AU0073-44-892</v>
      </c>
      <c r="BA489" s="118"/>
      <c r="BC489" s="119" t="str">
        <f t="shared" si="33"/>
        <v>P12B5203 (474)</v>
      </c>
      <c r="BD489" s="119" t="str">
        <f t="shared" si="34"/>
        <v>V0457575083751 (474)</v>
      </c>
      <c r="BE489" s="119" t="str">
        <f t="shared" si="35"/>
        <v>AU0073-44-892 (474)</v>
      </c>
    </row>
    <row r="490" spans="44:57">
      <c r="AR490" s="112">
        <f t="shared" si="32"/>
        <v>475</v>
      </c>
      <c r="AS490" s="149"/>
      <c r="AT490" s="149"/>
      <c r="AU490" s="149"/>
      <c r="AV490" s="149"/>
      <c r="AW490" s="149"/>
      <c r="AX490" s="113" t="str">
        <f>'Data Sample'!G486</f>
        <v>P12B603</v>
      </c>
      <c r="AY490" s="113" t="str">
        <f>'Data Sample'!G1495</f>
        <v>V0369845856318</v>
      </c>
      <c r="AZ490" s="113" t="str">
        <f>'Data Sample'!G991</f>
        <v>AU0019-03-797</v>
      </c>
      <c r="BA490" s="118"/>
      <c r="BC490" s="119" t="str">
        <f t="shared" si="33"/>
        <v>P12B603 (475)</v>
      </c>
      <c r="BD490" s="119" t="str">
        <f t="shared" si="34"/>
        <v>V0369845856318 (475)</v>
      </c>
      <c r="BE490" s="119" t="str">
        <f t="shared" si="35"/>
        <v>AU0019-03-797 (475)</v>
      </c>
    </row>
    <row r="491" spans="44:57">
      <c r="AR491" s="112">
        <f t="shared" si="32"/>
        <v>476</v>
      </c>
      <c r="AS491" s="149"/>
      <c r="AT491" s="149"/>
      <c r="AU491" s="149"/>
      <c r="AV491" s="149"/>
      <c r="AW491" s="149"/>
      <c r="AX491" s="113" t="str">
        <f>'Data Sample'!G487</f>
        <v>P12B8322</v>
      </c>
      <c r="AY491" s="113" t="str">
        <f>'Data Sample'!G1496</f>
        <v>V0354460163574</v>
      </c>
      <c r="AZ491" s="113" t="str">
        <f>'Data Sample'!G992</f>
        <v>AU0083-54-670</v>
      </c>
      <c r="BA491" s="118"/>
      <c r="BC491" s="119" t="str">
        <f t="shared" si="33"/>
        <v>P12B8322 (476)</v>
      </c>
      <c r="BD491" s="119" t="str">
        <f t="shared" si="34"/>
        <v>V0354460163574 (476)</v>
      </c>
      <c r="BE491" s="119" t="str">
        <f t="shared" si="35"/>
        <v>AU0083-54-670 (476)</v>
      </c>
    </row>
    <row r="492" spans="44:57">
      <c r="AR492" s="112">
        <f t="shared" si="32"/>
        <v>477</v>
      </c>
      <c r="AS492" s="149"/>
      <c r="AT492" s="149"/>
      <c r="AU492" s="149"/>
      <c r="AV492" s="149"/>
      <c r="AW492" s="149"/>
      <c r="AX492" s="113" t="str">
        <f>'Data Sample'!G488</f>
        <v>P12B9124</v>
      </c>
      <c r="AY492" s="113" t="str">
        <f>'Data Sample'!G1497</f>
        <v>V0215382303493</v>
      </c>
      <c r="AZ492" s="113" t="str">
        <f>'Data Sample'!G993</f>
        <v>AU0099-89-290</v>
      </c>
      <c r="BA492" s="118"/>
      <c r="BC492" s="119" t="str">
        <f t="shared" si="33"/>
        <v>P12B9124 (477)</v>
      </c>
      <c r="BD492" s="119" t="str">
        <f t="shared" si="34"/>
        <v>V0215382303493 (477)</v>
      </c>
      <c r="BE492" s="119" t="str">
        <f t="shared" si="35"/>
        <v>AU0099-89-290 (477)</v>
      </c>
    </row>
    <row r="493" spans="44:57">
      <c r="AR493" s="112">
        <f t="shared" si="32"/>
        <v>478</v>
      </c>
      <c r="AS493" s="149"/>
      <c r="AT493" s="149"/>
      <c r="AU493" s="149"/>
      <c r="AV493" s="149"/>
      <c r="AW493" s="149"/>
      <c r="AX493" s="113" t="str">
        <f>'Data Sample'!G489</f>
        <v>P12B2499</v>
      </c>
      <c r="AY493" s="113" t="str">
        <f>'Data Sample'!G1498</f>
        <v>V0948389276157</v>
      </c>
      <c r="AZ493" s="113" t="str">
        <f>'Data Sample'!G994</f>
        <v>AU0088-93-235</v>
      </c>
      <c r="BA493" s="118"/>
      <c r="BC493" s="119" t="str">
        <f t="shared" si="33"/>
        <v>P12B2499 (478)</v>
      </c>
      <c r="BD493" s="119" t="str">
        <f t="shared" si="34"/>
        <v>V0948389276157 (478)</v>
      </c>
      <c r="BE493" s="119" t="str">
        <f t="shared" si="35"/>
        <v>AU0088-93-235 (478)</v>
      </c>
    </row>
    <row r="494" spans="44:57">
      <c r="AR494" s="112">
        <f t="shared" si="32"/>
        <v>479</v>
      </c>
      <c r="AS494" s="149"/>
      <c r="AT494" s="149"/>
      <c r="AU494" s="149"/>
      <c r="AV494" s="149"/>
      <c r="AW494" s="149"/>
      <c r="AX494" s="113" t="str">
        <f>'Data Sample'!G490</f>
        <v>P12B5785</v>
      </c>
      <c r="AY494" s="113" t="str">
        <f>'Data Sample'!G1499</f>
        <v>V0989398857152</v>
      </c>
      <c r="AZ494" s="113" t="str">
        <f>'Data Sample'!G995</f>
        <v>AU0028-41-188</v>
      </c>
      <c r="BA494" s="118"/>
      <c r="BC494" s="119" t="str">
        <f t="shared" si="33"/>
        <v>P12B5785 (479)</v>
      </c>
      <c r="BD494" s="119" t="str">
        <f t="shared" si="34"/>
        <v>V0989398857152 (479)</v>
      </c>
      <c r="BE494" s="119" t="str">
        <f t="shared" si="35"/>
        <v>AU0028-41-188 (479)</v>
      </c>
    </row>
    <row r="495" spans="44:57">
      <c r="AR495" s="112">
        <f t="shared" si="32"/>
        <v>480</v>
      </c>
      <c r="AS495" s="149"/>
      <c r="AT495" s="149"/>
      <c r="AU495" s="149"/>
      <c r="AV495" s="149"/>
      <c r="AW495" s="149"/>
      <c r="AX495" s="113" t="str">
        <f>'Data Sample'!G491</f>
        <v>P12B8970</v>
      </c>
      <c r="AY495" s="113" t="str">
        <f>'Data Sample'!G1500</f>
        <v>V0702343191404</v>
      </c>
      <c r="AZ495" s="113" t="str">
        <f>'Data Sample'!G996</f>
        <v>AU0006-95-972</v>
      </c>
      <c r="BA495" s="118"/>
      <c r="BC495" s="119" t="str">
        <f t="shared" si="33"/>
        <v>P12B8970 (480)</v>
      </c>
      <c r="BD495" s="119" t="str">
        <f t="shared" si="34"/>
        <v>V0702343191404 (480)</v>
      </c>
      <c r="BE495" s="119" t="str">
        <f t="shared" si="35"/>
        <v>AU0006-95-972 (480)</v>
      </c>
    </row>
    <row r="496" spans="44:57">
      <c r="AR496" s="112">
        <f t="shared" si="32"/>
        <v>481</v>
      </c>
      <c r="AS496" s="149"/>
      <c r="AT496" s="149"/>
      <c r="AU496" s="149"/>
      <c r="AV496" s="149"/>
      <c r="AW496" s="149"/>
      <c r="AX496" s="113" t="str">
        <f>'Data Sample'!G492</f>
        <v>P12B5307</v>
      </c>
      <c r="AY496" s="113" t="str">
        <f>'Data Sample'!G1501</f>
        <v>V0366724295371</v>
      </c>
      <c r="AZ496" s="113" t="str">
        <f>'Data Sample'!G997</f>
        <v>AU0014-89-195</v>
      </c>
      <c r="BA496" s="118"/>
      <c r="BC496" s="119" t="str">
        <f t="shared" si="33"/>
        <v>P12B5307 (481)</v>
      </c>
      <c r="BD496" s="119" t="str">
        <f t="shared" si="34"/>
        <v>V0366724295371 (481)</v>
      </c>
      <c r="BE496" s="119" t="str">
        <f t="shared" si="35"/>
        <v>AU0014-89-195 (481)</v>
      </c>
    </row>
    <row r="497" spans="44:57">
      <c r="AR497" s="112">
        <f t="shared" si="32"/>
        <v>482</v>
      </c>
      <c r="AS497" s="149"/>
      <c r="AT497" s="149"/>
      <c r="AU497" s="149"/>
      <c r="AV497" s="149"/>
      <c r="AW497" s="149"/>
      <c r="AX497" s="113" t="str">
        <f>'Data Sample'!G493</f>
        <v>P12B8449</v>
      </c>
      <c r="AY497" s="113" t="str">
        <f>'Data Sample'!G1502</f>
        <v>V0392992299336</v>
      </c>
      <c r="AZ497" s="113" t="str">
        <f>'Data Sample'!G998</f>
        <v>AU0025-87-519</v>
      </c>
      <c r="BA497" s="118"/>
      <c r="BC497" s="119" t="str">
        <f t="shared" si="33"/>
        <v>P12B8449 (482)</v>
      </c>
      <c r="BD497" s="119" t="str">
        <f t="shared" si="34"/>
        <v>V0392992299336 (482)</v>
      </c>
      <c r="BE497" s="119" t="str">
        <f t="shared" si="35"/>
        <v>AU0025-87-519 (482)</v>
      </c>
    </row>
    <row r="498" spans="44:57">
      <c r="AR498" s="112">
        <f t="shared" si="32"/>
        <v>483</v>
      </c>
      <c r="AS498" s="149"/>
      <c r="AT498" s="149"/>
      <c r="AU498" s="149"/>
      <c r="AV498" s="149"/>
      <c r="AW498" s="149"/>
      <c r="AX498" s="113" t="str">
        <f>'Data Sample'!G494</f>
        <v>P12B2244</v>
      </c>
      <c r="AY498" s="113" t="str">
        <f>'Data Sample'!G1503</f>
        <v>V0475739371117</v>
      </c>
      <c r="AZ498" s="113" t="str">
        <f>'Data Sample'!G999</f>
        <v>AU0065-19-458</v>
      </c>
      <c r="BA498" s="118"/>
      <c r="BC498" s="119" t="str">
        <f t="shared" si="33"/>
        <v>P12B2244 (483)</v>
      </c>
      <c r="BD498" s="119" t="str">
        <f t="shared" si="34"/>
        <v>V0475739371117 (483)</v>
      </c>
      <c r="BE498" s="119" t="str">
        <f t="shared" si="35"/>
        <v>AU0065-19-458 (483)</v>
      </c>
    </row>
    <row r="499" spans="44:57">
      <c r="AR499" s="112">
        <f t="shared" si="32"/>
        <v>484</v>
      </c>
      <c r="AS499" s="149"/>
      <c r="AT499" s="149"/>
      <c r="AU499" s="149"/>
      <c r="AV499" s="149"/>
      <c r="AW499" s="149"/>
      <c r="AX499" s="113" t="str">
        <f>'Data Sample'!G495</f>
        <v>P12B4765</v>
      </c>
      <c r="AY499" s="113" t="str">
        <f>'Data Sample'!G1504</f>
        <v>V0917649565699</v>
      </c>
      <c r="AZ499" s="113" t="str">
        <f>'Data Sample'!G1000</f>
        <v>AU0068-88-656</v>
      </c>
      <c r="BA499" s="118"/>
      <c r="BC499" s="119" t="str">
        <f t="shared" si="33"/>
        <v>P12B4765 (484)</v>
      </c>
      <c r="BD499" s="119" t="str">
        <f t="shared" si="34"/>
        <v>V0917649565699 (484)</v>
      </c>
      <c r="BE499" s="119" t="str">
        <f t="shared" si="35"/>
        <v>AU0068-88-656 (484)</v>
      </c>
    </row>
    <row r="500" spans="44:57">
      <c r="AR500" s="112">
        <f t="shared" si="32"/>
        <v>485</v>
      </c>
      <c r="AS500" s="149"/>
      <c r="AT500" s="149"/>
      <c r="AU500" s="149"/>
      <c r="AV500" s="149"/>
      <c r="AW500" s="149"/>
      <c r="AX500" s="113" t="str">
        <f>'Data Sample'!G496</f>
        <v>P12B7291</v>
      </c>
      <c r="AY500" s="113" t="str">
        <f>'Data Sample'!G1505</f>
        <v>V0143116303907</v>
      </c>
      <c r="AZ500" s="113" t="str">
        <f>'Data Sample'!G1001</f>
        <v>AU0088-59-112</v>
      </c>
      <c r="BA500" s="118"/>
      <c r="BC500" s="119" t="str">
        <f t="shared" si="33"/>
        <v>P12B7291 (485)</v>
      </c>
      <c r="BD500" s="119" t="str">
        <f t="shared" si="34"/>
        <v>V0143116303907 (485)</v>
      </c>
      <c r="BE500" s="119" t="str">
        <f t="shared" si="35"/>
        <v>AU0088-59-112 (485)</v>
      </c>
    </row>
    <row r="501" spans="44:57">
      <c r="AR501" s="112">
        <f t="shared" si="32"/>
        <v>486</v>
      </c>
      <c r="AS501" s="149"/>
      <c r="AT501" s="149"/>
      <c r="AU501" s="149"/>
      <c r="AV501" s="149"/>
      <c r="AW501" s="149"/>
      <c r="AX501" s="113" t="str">
        <f>'Data Sample'!G497</f>
        <v>P12B2140</v>
      </c>
      <c r="AY501" s="113" t="str">
        <f>'Data Sample'!G1506</f>
        <v>V0750294394129</v>
      </c>
      <c r="AZ501" s="113" t="str">
        <f>'Data Sample'!G1002</f>
        <v>AU0055-30-693</v>
      </c>
      <c r="BA501" s="118"/>
      <c r="BC501" s="119" t="str">
        <f t="shared" si="33"/>
        <v>P12B2140 (486)</v>
      </c>
      <c r="BD501" s="119" t="str">
        <f t="shared" si="34"/>
        <v>V0750294394129 (486)</v>
      </c>
      <c r="BE501" s="119" t="str">
        <f t="shared" si="35"/>
        <v>AU0055-30-693 (486)</v>
      </c>
    </row>
    <row r="502" spans="44:57">
      <c r="AR502" s="112">
        <f t="shared" si="32"/>
        <v>487</v>
      </c>
      <c r="AS502" s="149"/>
      <c r="AT502" s="149"/>
      <c r="AU502" s="149"/>
      <c r="AV502" s="149"/>
      <c r="AW502" s="149"/>
      <c r="AX502" s="113" t="str">
        <f>'Data Sample'!G498</f>
        <v>P12B578</v>
      </c>
      <c r="AY502" s="113" t="str">
        <f>'Data Sample'!G1507</f>
        <v>V0777366985147</v>
      </c>
      <c r="AZ502" s="113" t="str">
        <f>'Data Sample'!G1003</f>
        <v>AU0089-92-084</v>
      </c>
      <c r="BA502" s="118"/>
      <c r="BC502" s="119" t="str">
        <f t="shared" si="33"/>
        <v>P12B578 (487)</v>
      </c>
      <c r="BD502" s="119" t="str">
        <f t="shared" si="34"/>
        <v>V0777366985147 (487)</v>
      </c>
      <c r="BE502" s="119" t="str">
        <f t="shared" si="35"/>
        <v>AU0089-92-084 (487)</v>
      </c>
    </row>
    <row r="503" spans="44:57">
      <c r="AR503" s="112">
        <f t="shared" si="32"/>
        <v>488</v>
      </c>
      <c r="AS503" s="149"/>
      <c r="AT503" s="149"/>
      <c r="AU503" s="149"/>
      <c r="AV503" s="149"/>
      <c r="AW503" s="149"/>
      <c r="AX503" s="113" t="str">
        <f>'Data Sample'!G499</f>
        <v>P12B2884</v>
      </c>
      <c r="AY503" s="113" t="str">
        <f>'Data Sample'!G1508</f>
        <v>V0867986041024</v>
      </c>
      <c r="AZ503" s="113" t="str">
        <f>'Data Sample'!G1004</f>
        <v>AU0046-68-991</v>
      </c>
      <c r="BA503" s="118"/>
      <c r="BC503" s="119" t="str">
        <f t="shared" si="33"/>
        <v>P12B2884 (488)</v>
      </c>
      <c r="BD503" s="119" t="str">
        <f t="shared" si="34"/>
        <v>V0867986041024 (488)</v>
      </c>
      <c r="BE503" s="119" t="str">
        <f t="shared" si="35"/>
        <v>AU0046-68-991 (488)</v>
      </c>
    </row>
    <row r="504" spans="44:57">
      <c r="AR504" s="112">
        <f t="shared" si="32"/>
        <v>489</v>
      </c>
      <c r="AS504" s="149"/>
      <c r="AT504" s="149"/>
      <c r="AU504" s="149"/>
      <c r="AV504" s="149"/>
      <c r="AW504" s="149"/>
      <c r="AX504" s="113" t="str">
        <f>'Data Sample'!G500</f>
        <v>P12B4964</v>
      </c>
      <c r="AY504" s="113" t="str">
        <f>'Data Sample'!G1509</f>
        <v>V0645299124847</v>
      </c>
      <c r="AZ504" s="113" t="str">
        <f>'Data Sample'!G1005</f>
        <v>AU0049-91-401</v>
      </c>
      <c r="BA504" s="118"/>
      <c r="BC504" s="119" t="str">
        <f t="shared" si="33"/>
        <v>P12B4964 (489)</v>
      </c>
      <c r="BD504" s="119" t="str">
        <f t="shared" si="34"/>
        <v>V0645299124847 (489)</v>
      </c>
      <c r="BE504" s="119" t="str">
        <f t="shared" si="35"/>
        <v>AU0049-91-401 (489)</v>
      </c>
    </row>
    <row r="505" spans="44:57">
      <c r="AR505" s="112">
        <f t="shared" si="32"/>
        <v>490</v>
      </c>
      <c r="AS505" s="149"/>
      <c r="AT505" s="149"/>
      <c r="AU505" s="149"/>
      <c r="AV505" s="149"/>
      <c r="AW505" s="149"/>
      <c r="AX505" s="113" t="str">
        <f>'Data Sample'!G501</f>
        <v>P12B5594</v>
      </c>
      <c r="AY505" s="113" t="str">
        <f>'Data Sample'!G1510</f>
        <v>V0478298305937</v>
      </c>
      <c r="AZ505" s="113" t="str">
        <f>'Data Sample'!G1006</f>
        <v>AU0021-63-251</v>
      </c>
      <c r="BA505" s="118"/>
      <c r="BC505" s="119" t="str">
        <f t="shared" si="33"/>
        <v>P12B5594 (490)</v>
      </c>
      <c r="BD505" s="119" t="str">
        <f t="shared" si="34"/>
        <v>V0478298305937 (490)</v>
      </c>
      <c r="BE505" s="119" t="str">
        <f t="shared" si="35"/>
        <v>AU0021-63-251 (490)</v>
      </c>
    </row>
    <row r="506" spans="44:57">
      <c r="AR506" s="112">
        <f t="shared" si="32"/>
        <v>491</v>
      </c>
      <c r="AS506" s="149"/>
      <c r="AT506" s="149"/>
      <c r="AU506" s="149"/>
      <c r="AV506" s="149"/>
      <c r="AW506" s="149"/>
      <c r="AX506" s="113" t="str">
        <f>'Data Sample'!G502</f>
        <v>P12B8955</v>
      </c>
      <c r="AY506" s="113" t="str">
        <f>'Data Sample'!G1511</f>
        <v>V0787903161568</v>
      </c>
      <c r="AZ506" s="113" t="str">
        <f>'Data Sample'!G1007</f>
        <v>AU0017-55-000</v>
      </c>
      <c r="BA506" s="118"/>
      <c r="BC506" s="119" t="str">
        <f t="shared" si="33"/>
        <v>P12B8955 (491)</v>
      </c>
      <c r="BD506" s="119" t="str">
        <f t="shared" si="34"/>
        <v>V0787903161568 (491)</v>
      </c>
      <c r="BE506" s="119" t="str">
        <f t="shared" si="35"/>
        <v>AU0017-55-000 (491)</v>
      </c>
    </row>
    <row r="507" spans="44:57">
      <c r="AR507" s="112">
        <f t="shared" si="32"/>
        <v>492</v>
      </c>
      <c r="AS507" s="149"/>
      <c r="AT507" s="149"/>
      <c r="AU507" s="149"/>
      <c r="AV507" s="149"/>
      <c r="AW507" s="149"/>
      <c r="AX507" s="113" t="str">
        <f>'Data Sample'!G503</f>
        <v>P12B6073</v>
      </c>
      <c r="AY507" s="113" t="str">
        <f>'Data Sample'!G1512</f>
        <v>V0763649869250</v>
      </c>
      <c r="AZ507" s="113" t="str">
        <f>'Data Sample'!G1008</f>
        <v>AU0065-79-265</v>
      </c>
      <c r="BA507" s="118"/>
      <c r="BC507" s="119" t="str">
        <f t="shared" si="33"/>
        <v>P12B6073 (492)</v>
      </c>
      <c r="BD507" s="119" t="str">
        <f t="shared" si="34"/>
        <v>V0763649869250 (492)</v>
      </c>
      <c r="BE507" s="119" t="str">
        <f t="shared" si="35"/>
        <v>AU0065-79-265 (492)</v>
      </c>
    </row>
    <row r="508" spans="44:57">
      <c r="AR508" s="112">
        <f t="shared" si="32"/>
        <v>493</v>
      </c>
      <c r="AS508" s="149"/>
      <c r="AT508" s="149"/>
      <c r="AU508" s="149"/>
      <c r="AV508" s="149"/>
      <c r="AW508" s="149"/>
      <c r="AX508" s="113" t="str">
        <f>'Data Sample'!G504</f>
        <v>P12B118</v>
      </c>
      <c r="AY508" s="113" t="str">
        <f>'Data Sample'!G1513</f>
        <v>V0123474753338</v>
      </c>
      <c r="AZ508" s="113" t="str">
        <f>'Data Sample'!G1009</f>
        <v>AU0049-89-738</v>
      </c>
      <c r="BA508" s="118"/>
      <c r="BC508" s="119" t="str">
        <f t="shared" si="33"/>
        <v>P12B118 (493)</v>
      </c>
      <c r="BD508" s="119" t="str">
        <f t="shared" si="34"/>
        <v>V0123474753338 (493)</v>
      </c>
      <c r="BE508" s="119" t="str">
        <f t="shared" si="35"/>
        <v>AU0049-89-738 (493)</v>
      </c>
    </row>
    <row r="509" spans="44:57">
      <c r="AR509" s="112">
        <f t="shared" si="32"/>
        <v>494</v>
      </c>
      <c r="AS509" s="149"/>
      <c r="AT509" s="149"/>
      <c r="AU509" s="149"/>
      <c r="AV509" s="149"/>
      <c r="AW509" s="149"/>
      <c r="AX509" s="113" t="str">
        <f>'Data Sample'!G505</f>
        <v>P12B1497</v>
      </c>
      <c r="AY509" s="113" t="str">
        <f>'Data Sample'!G1514</f>
        <v>V0445028270002</v>
      </c>
      <c r="AZ509" s="113" t="str">
        <f>'Data Sample'!G1010</f>
        <v>AU0007-91-015</v>
      </c>
      <c r="BA509" s="118"/>
      <c r="BC509" s="119" t="str">
        <f t="shared" si="33"/>
        <v>P12B1497 (494)</v>
      </c>
      <c r="BD509" s="119" t="str">
        <f t="shared" si="34"/>
        <v>V0445028270002 (494)</v>
      </c>
      <c r="BE509" s="119" t="str">
        <f t="shared" si="35"/>
        <v>AU0007-91-015 (494)</v>
      </c>
    </row>
    <row r="510" spans="44:57">
      <c r="AR510" s="112">
        <f t="shared" si="32"/>
        <v>495</v>
      </c>
      <c r="AS510" s="149"/>
      <c r="AT510" s="149"/>
      <c r="AU510" s="149"/>
      <c r="AV510" s="149"/>
      <c r="AW510" s="149"/>
      <c r="AX510" s="113" t="str">
        <f>'Data Sample'!G506</f>
        <v>P12B2279</v>
      </c>
      <c r="AY510" s="113" t="str">
        <f>'Data Sample'!G1515</f>
        <v>V0114368794414</v>
      </c>
      <c r="AZ510" s="113" t="str">
        <f>'Data Sample'!G1011</f>
        <v>AU0025-63-206</v>
      </c>
      <c r="BA510" s="118"/>
      <c r="BC510" s="119" t="str">
        <f t="shared" si="33"/>
        <v>P12B2279 (495)</v>
      </c>
      <c r="BD510" s="119" t="str">
        <f t="shared" si="34"/>
        <v>V0114368794414 (495)</v>
      </c>
      <c r="BE510" s="119" t="str">
        <f t="shared" si="35"/>
        <v>AU0025-63-206 (495)</v>
      </c>
    </row>
    <row r="511" spans="44:57">
      <c r="AR511" s="112">
        <f t="shared" si="32"/>
        <v>496</v>
      </c>
      <c r="AS511" s="149"/>
      <c r="AT511" s="149"/>
      <c r="AU511" s="149"/>
      <c r="AV511" s="149"/>
      <c r="AW511" s="149"/>
      <c r="AX511" s="113" t="str">
        <f>'Data Sample'!G507</f>
        <v>P12B1618</v>
      </c>
      <c r="AY511" s="113" t="str">
        <f>'Data Sample'!G1516</f>
        <v>V0114368794414</v>
      </c>
      <c r="AZ511" s="113" t="str">
        <f>'Data Sample'!G1012</f>
        <v>AU0002-06-150</v>
      </c>
      <c r="BA511" s="118"/>
      <c r="BC511" s="119" t="str">
        <f t="shared" si="33"/>
        <v>P12B1618 (496)</v>
      </c>
      <c r="BD511" s="119" t="str">
        <f t="shared" si="34"/>
        <v>V0114368794414 (496)</v>
      </c>
      <c r="BE511" s="119" t="str">
        <f t="shared" si="35"/>
        <v>AU0002-06-150 (496)</v>
      </c>
    </row>
    <row r="512" spans="44:57">
      <c r="AR512" s="112">
        <f t="shared" si="32"/>
        <v>497</v>
      </c>
      <c r="AS512" s="149"/>
      <c r="AT512" s="149"/>
      <c r="AU512" s="149"/>
      <c r="AV512" s="149"/>
      <c r="AW512" s="149"/>
      <c r="AX512" s="113" t="str">
        <f>'Data Sample'!G508</f>
        <v>P12B9950</v>
      </c>
      <c r="AY512" s="113" t="str">
        <f>'Data Sample'!G1525</f>
        <v>W01</v>
      </c>
      <c r="AZ512" s="113" t="str">
        <f>'Data Sample'!G1013</f>
        <v>AU0070-71-847</v>
      </c>
      <c r="BA512" s="118"/>
      <c r="BC512" s="119" t="str">
        <f t="shared" si="33"/>
        <v>P12B9950 (497)</v>
      </c>
      <c r="BD512" s="119" t="str">
        <f t="shared" si="34"/>
        <v>W01 (497)</v>
      </c>
      <c r="BE512" s="119" t="str">
        <f t="shared" si="35"/>
        <v>AU0070-71-847 (497)</v>
      </c>
    </row>
    <row r="513" spans="44:57">
      <c r="AR513" s="112">
        <f t="shared" si="32"/>
        <v>498</v>
      </c>
      <c r="AS513" s="149"/>
      <c r="AT513" s="149"/>
      <c r="AU513" s="149"/>
      <c r="AV513" s="149"/>
      <c r="AW513" s="149"/>
      <c r="AX513" s="113" t="str">
        <f>'Data Sample'!G509</f>
        <v>P12B2022</v>
      </c>
      <c r="AY513" s="113" t="str">
        <f>'Data Sample'!G1526</f>
        <v>W02</v>
      </c>
      <c r="AZ513" s="113" t="str">
        <f>'Data Sample'!G1014</f>
        <v>AU0035-47-490</v>
      </c>
      <c r="BA513" s="118"/>
      <c r="BC513" s="119" t="str">
        <f t="shared" si="33"/>
        <v>P12B2022 (498)</v>
      </c>
      <c r="BD513" s="119" t="str">
        <f t="shared" si="34"/>
        <v>W02 (498)</v>
      </c>
      <c r="BE513" s="119" t="str">
        <f t="shared" si="35"/>
        <v>AU0035-47-490 (498)</v>
      </c>
    </row>
    <row r="514" spans="44:57" ht="15.75" thickBot="1">
      <c r="AR514" s="257">
        <f t="shared" si="32"/>
        <v>499</v>
      </c>
      <c r="AS514" s="258"/>
      <c r="AT514" s="258"/>
      <c r="AU514" s="258"/>
      <c r="AV514" s="258"/>
      <c r="AW514" s="258"/>
      <c r="AX514" s="259" t="str">
        <f>'Data Sample'!G510</f>
        <v>P17C897</v>
      </c>
      <c r="AY514" s="259" t="str">
        <f>'Data Sample'!G1527</f>
        <v>W03</v>
      </c>
      <c r="AZ514" s="259" t="str">
        <f>'Data Sample'!G1015</f>
        <v>AU0095-43-684</v>
      </c>
      <c r="BA514" s="260"/>
      <c r="BC514" s="119" t="str">
        <f t="shared" si="33"/>
        <v>P17C897 (499)</v>
      </c>
      <c r="BD514" s="119" t="str">
        <f t="shared" si="34"/>
        <v>W03 (499)</v>
      </c>
      <c r="BE514" s="119" t="str">
        <f t="shared" si="35"/>
        <v>AU0095-43-684 (499)</v>
      </c>
    </row>
    <row r="515" spans="44:57">
      <c r="AX515" s="77"/>
      <c r="AZ515" s="77"/>
      <c r="BA515" s="95"/>
    </row>
    <row r="516" spans="44:57">
      <c r="AX516" s="77"/>
      <c r="AZ516" s="77"/>
      <c r="BA516" s="95"/>
    </row>
    <row r="517" spans="44:57">
      <c r="AX517" s="77"/>
      <c r="AY517" s="77"/>
      <c r="AZ517" s="77"/>
      <c r="BA517" s="95"/>
    </row>
    <row r="518" spans="44:57">
      <c r="AX518" s="77"/>
      <c r="AY518" s="77"/>
      <c r="AZ518" s="77"/>
      <c r="BA518" s="95"/>
    </row>
    <row r="519" spans="44:57">
      <c r="AX519" s="77"/>
      <c r="AY519" s="77"/>
      <c r="AZ519" s="77"/>
      <c r="BA519" s="95"/>
    </row>
    <row r="520" spans="44:57">
      <c r="AX520" s="77"/>
      <c r="AY520" s="77"/>
      <c r="AZ520" s="77"/>
      <c r="BA520" s="95"/>
    </row>
    <row r="521" spans="44:57">
      <c r="AX521" s="77"/>
      <c r="AY521" s="77"/>
      <c r="AZ521" s="77"/>
      <c r="BA521" s="95"/>
    </row>
    <row r="522" spans="44:57">
      <c r="AX522" s="77"/>
      <c r="AY522" s="77"/>
      <c r="AZ522" s="77"/>
      <c r="BA522" s="95"/>
    </row>
    <row r="523" spans="44:57">
      <c r="AX523" s="77"/>
      <c r="AY523" s="77"/>
      <c r="AZ523" s="77"/>
      <c r="BA523" s="95"/>
    </row>
    <row r="524" spans="44:57">
      <c r="AX524" s="77"/>
      <c r="AY524" s="77"/>
      <c r="AZ524" s="77"/>
      <c r="BA524" s="95"/>
    </row>
    <row r="525" spans="44:57">
      <c r="AX525" s="77"/>
      <c r="AY525" s="77"/>
      <c r="AZ525" s="77"/>
      <c r="BA525" s="95"/>
    </row>
    <row r="526" spans="44:57">
      <c r="AX526" s="77"/>
      <c r="AY526" s="77"/>
      <c r="AZ526" s="77"/>
      <c r="BA526" s="95"/>
    </row>
    <row r="527" spans="44:57">
      <c r="AX527" s="77"/>
      <c r="AY527" s="77"/>
      <c r="AZ527" s="77"/>
      <c r="BA527" s="95"/>
    </row>
    <row r="528" spans="44:57">
      <c r="AX528" s="77"/>
      <c r="AY528" s="77"/>
      <c r="AZ528" s="77"/>
      <c r="BA528" s="95"/>
    </row>
    <row r="529" spans="50:53">
      <c r="AX529" s="77"/>
      <c r="AY529" s="77"/>
      <c r="AZ529" s="77"/>
      <c r="BA529" s="95"/>
    </row>
    <row r="530" spans="50:53">
      <c r="AX530" s="77"/>
      <c r="AY530" s="77"/>
      <c r="AZ530" s="77"/>
      <c r="BA530" s="95"/>
    </row>
    <row r="531" spans="50:53">
      <c r="AX531" s="77"/>
      <c r="AY531" s="77"/>
      <c r="AZ531" s="77"/>
      <c r="BA531" s="95"/>
    </row>
    <row r="532" spans="50:53">
      <c r="AX532" s="77"/>
      <c r="AY532" s="77"/>
      <c r="AZ532" s="77"/>
      <c r="BA532" s="95"/>
    </row>
    <row r="533" spans="50:53">
      <c r="AX533" s="77"/>
      <c r="AY533" s="77"/>
      <c r="AZ533" s="77"/>
      <c r="BA533" s="95"/>
    </row>
    <row r="534" spans="50:53">
      <c r="AX534" s="77"/>
      <c r="AY534" s="77"/>
      <c r="AZ534" s="77"/>
      <c r="BA534" s="95"/>
    </row>
    <row r="535" spans="50:53">
      <c r="AX535" s="77"/>
      <c r="AY535" s="77"/>
      <c r="AZ535" s="77"/>
      <c r="BA535" s="95"/>
    </row>
    <row r="536" spans="50:53">
      <c r="AX536" s="77"/>
      <c r="AY536" s="77"/>
      <c r="AZ536" s="77"/>
      <c r="BA536" s="95"/>
    </row>
    <row r="537" spans="50:53">
      <c r="AX537" s="77"/>
      <c r="AY537" s="77"/>
      <c r="AZ537" s="77"/>
      <c r="BA537" s="95"/>
    </row>
    <row r="538" spans="50:53">
      <c r="AX538" s="77"/>
      <c r="AY538" s="77"/>
      <c r="AZ538" s="77"/>
      <c r="BA538" s="95"/>
    </row>
    <row r="539" spans="50:53">
      <c r="AX539" s="77"/>
      <c r="AY539" s="77"/>
      <c r="AZ539" s="77"/>
      <c r="BA539" s="95"/>
    </row>
    <row r="540" spans="50:53">
      <c r="AX540" s="77"/>
      <c r="AY540" s="77"/>
      <c r="AZ540" s="77"/>
      <c r="BA540" s="95"/>
    </row>
    <row r="541" spans="50:53">
      <c r="AX541" s="77"/>
      <c r="AY541" s="77"/>
      <c r="AZ541" s="77"/>
      <c r="BA541" s="95"/>
    </row>
    <row r="542" spans="50:53">
      <c r="AX542" s="77"/>
      <c r="AY542" s="77"/>
      <c r="AZ542" s="77"/>
      <c r="BA542" s="95"/>
    </row>
    <row r="543" spans="50:53">
      <c r="AX543" s="77"/>
      <c r="AY543" s="77"/>
      <c r="AZ543" s="77"/>
      <c r="BA543" s="95"/>
    </row>
    <row r="544" spans="50:53">
      <c r="AX544" s="77"/>
      <c r="AY544" s="77"/>
      <c r="AZ544" s="77"/>
      <c r="BA544" s="95"/>
    </row>
    <row r="545" spans="50:53">
      <c r="AX545" s="77"/>
      <c r="AY545" s="77"/>
      <c r="AZ545" s="77"/>
      <c r="BA545" s="95"/>
    </row>
    <row r="546" spans="50:53">
      <c r="AX546" s="77"/>
      <c r="AY546" s="77"/>
      <c r="AZ546" s="77"/>
      <c r="BA546" s="95"/>
    </row>
    <row r="547" spans="50:53">
      <c r="AX547" s="77"/>
      <c r="AY547" s="77"/>
      <c r="AZ547" s="77"/>
      <c r="BA547" s="95"/>
    </row>
    <row r="548" spans="50:53">
      <c r="AX548" s="77"/>
      <c r="AY548" s="77"/>
      <c r="AZ548" s="77"/>
      <c r="BA548" s="95"/>
    </row>
    <row r="549" spans="50:53">
      <c r="AX549" s="77"/>
      <c r="AY549" s="77"/>
      <c r="AZ549" s="77"/>
      <c r="BA549" s="95"/>
    </row>
    <row r="550" spans="50:53">
      <c r="AX550" s="77"/>
      <c r="AY550" s="77"/>
      <c r="AZ550" s="77"/>
      <c r="BA550" s="95"/>
    </row>
    <row r="551" spans="50:53">
      <c r="AX551" s="77"/>
      <c r="AY551" s="77"/>
      <c r="AZ551" s="77"/>
      <c r="BA551" s="95"/>
    </row>
    <row r="552" spans="50:53">
      <c r="AX552" s="77"/>
      <c r="AY552" s="77"/>
      <c r="AZ552" s="77"/>
      <c r="BA552" s="95"/>
    </row>
    <row r="553" spans="50:53">
      <c r="AX553" s="77"/>
      <c r="AY553" s="77"/>
      <c r="AZ553" s="77"/>
      <c r="BA553" s="95"/>
    </row>
    <row r="554" spans="50:53">
      <c r="AX554" s="77"/>
      <c r="AY554" s="77"/>
      <c r="AZ554" s="77"/>
      <c r="BA554" s="95"/>
    </row>
    <row r="555" spans="50:53">
      <c r="AX555" s="77"/>
      <c r="AY555" s="77"/>
      <c r="AZ555" s="77"/>
      <c r="BA555" s="95"/>
    </row>
    <row r="556" spans="50:53">
      <c r="AX556" s="77"/>
      <c r="AY556" s="77"/>
      <c r="AZ556" s="77"/>
      <c r="BA556" s="95"/>
    </row>
    <row r="557" spans="50:53">
      <c r="AX557" s="77"/>
      <c r="AY557" s="77"/>
      <c r="AZ557" s="77"/>
      <c r="BA557" s="95"/>
    </row>
    <row r="558" spans="50:53">
      <c r="AX558" s="77"/>
      <c r="AY558" s="77"/>
      <c r="AZ558" s="77"/>
      <c r="BA558" s="95"/>
    </row>
    <row r="559" spans="50:53">
      <c r="AX559" s="77"/>
      <c r="AY559" s="77"/>
      <c r="AZ559" s="77"/>
      <c r="BA559" s="95"/>
    </row>
    <row r="560" spans="50:53">
      <c r="AX560" s="77"/>
      <c r="AY560" s="77"/>
      <c r="AZ560" s="77"/>
      <c r="BA560" s="95"/>
    </row>
    <row r="561" spans="50:53">
      <c r="AX561" s="77"/>
      <c r="AY561" s="77"/>
      <c r="AZ561" s="77"/>
      <c r="BA561" s="95"/>
    </row>
    <row r="562" spans="50:53">
      <c r="AX562" s="77"/>
      <c r="AY562" s="77"/>
      <c r="AZ562" s="77"/>
      <c r="BA562" s="95"/>
    </row>
    <row r="563" spans="50:53">
      <c r="AX563" s="77"/>
      <c r="AY563" s="77"/>
      <c r="AZ563" s="77"/>
      <c r="BA563" s="95"/>
    </row>
    <row r="564" spans="50:53">
      <c r="AX564" s="77"/>
      <c r="AY564" s="77"/>
      <c r="AZ564" s="77"/>
      <c r="BA564" s="95"/>
    </row>
    <row r="565" spans="50:53">
      <c r="AX565" s="77"/>
      <c r="AY565" s="77"/>
      <c r="AZ565" s="77"/>
      <c r="BA565" s="95"/>
    </row>
    <row r="566" spans="50:53">
      <c r="AX566" s="77"/>
      <c r="AY566" s="77"/>
      <c r="AZ566" s="77"/>
      <c r="BA566" s="95"/>
    </row>
    <row r="567" spans="50:53">
      <c r="AX567" s="77"/>
      <c r="AY567" s="77"/>
      <c r="AZ567" s="77"/>
      <c r="BA567" s="95"/>
    </row>
    <row r="568" spans="50:53">
      <c r="AX568" s="77"/>
      <c r="AY568" s="77"/>
      <c r="AZ568" s="77"/>
      <c r="BA568" s="95"/>
    </row>
    <row r="569" spans="50:53">
      <c r="AX569" s="77"/>
      <c r="AY569" s="77"/>
      <c r="AZ569" s="77"/>
      <c r="BA569" s="95"/>
    </row>
    <row r="570" spans="50:53">
      <c r="AX570" s="77"/>
      <c r="AY570" s="77"/>
      <c r="AZ570" s="77"/>
      <c r="BA570" s="95"/>
    </row>
    <row r="571" spans="50:53">
      <c r="AX571" s="77"/>
      <c r="AY571" s="77"/>
      <c r="AZ571" s="77"/>
      <c r="BA571" s="95"/>
    </row>
    <row r="572" spans="50:53">
      <c r="AX572" s="77"/>
      <c r="AY572" s="77"/>
      <c r="AZ572" s="77"/>
      <c r="BA572" s="95"/>
    </row>
    <row r="573" spans="50:53">
      <c r="AX573" s="77"/>
      <c r="AY573" s="77"/>
      <c r="AZ573" s="77"/>
      <c r="BA573" s="95"/>
    </row>
    <row r="574" spans="50:53">
      <c r="AX574" s="77"/>
      <c r="AY574" s="77"/>
      <c r="AZ574" s="77"/>
      <c r="BA574" s="95"/>
    </row>
    <row r="575" spans="50:53">
      <c r="AX575" s="77"/>
      <c r="AY575" s="77"/>
      <c r="AZ575" s="77"/>
      <c r="BA575" s="95"/>
    </row>
    <row r="576" spans="50:53">
      <c r="AX576" s="77"/>
      <c r="AY576" s="77"/>
      <c r="AZ576" s="77"/>
      <c r="BA576" s="95"/>
    </row>
    <row r="577" spans="50:53">
      <c r="AX577" s="77"/>
      <c r="AY577" s="77"/>
      <c r="AZ577" s="77"/>
      <c r="BA577" s="95"/>
    </row>
    <row r="578" spans="50:53">
      <c r="AX578" s="77"/>
      <c r="AY578" s="77"/>
      <c r="AZ578" s="77"/>
      <c r="BA578" s="95"/>
    </row>
    <row r="579" spans="50:53">
      <c r="AX579" s="77"/>
      <c r="AY579" s="77"/>
      <c r="AZ579" s="77"/>
      <c r="BA579" s="95"/>
    </row>
    <row r="580" spans="50:53">
      <c r="AX580" s="77"/>
      <c r="AY580" s="77"/>
      <c r="AZ580" s="77"/>
      <c r="BA580" s="95"/>
    </row>
    <row r="581" spans="50:53">
      <c r="AX581" s="77"/>
      <c r="AY581" s="77"/>
      <c r="AZ581" s="77"/>
      <c r="BA581" s="95"/>
    </row>
    <row r="582" spans="50:53">
      <c r="AX582" s="77"/>
      <c r="AY582" s="77"/>
      <c r="AZ582" s="77"/>
      <c r="BA582" s="95"/>
    </row>
    <row r="583" spans="50:53">
      <c r="AX583" s="77"/>
      <c r="AY583" s="77"/>
      <c r="AZ583" s="77"/>
      <c r="BA583" s="95"/>
    </row>
    <row r="584" spans="50:53">
      <c r="AX584" s="77"/>
      <c r="AY584" s="77"/>
      <c r="AZ584" s="77"/>
      <c r="BA584" s="95"/>
    </row>
    <row r="585" spans="50:53">
      <c r="AX585" s="77"/>
      <c r="AY585" s="77"/>
      <c r="AZ585" s="77"/>
      <c r="BA585" s="95"/>
    </row>
    <row r="586" spans="50:53">
      <c r="AX586" s="77"/>
      <c r="AY586" s="77"/>
      <c r="AZ586" s="77"/>
      <c r="BA586" s="95"/>
    </row>
    <row r="587" spans="50:53">
      <c r="AX587" s="77"/>
      <c r="AY587" s="77"/>
      <c r="AZ587" s="77"/>
      <c r="BA587" s="95"/>
    </row>
    <row r="588" spans="50:53">
      <c r="AX588" s="77"/>
      <c r="AY588" s="77"/>
      <c r="AZ588" s="77"/>
      <c r="BA588" s="95"/>
    </row>
    <row r="589" spans="50:53">
      <c r="AX589" s="77"/>
      <c r="AY589" s="77"/>
      <c r="AZ589" s="77"/>
      <c r="BA589" s="95"/>
    </row>
    <row r="590" spans="50:53">
      <c r="AX590" s="77"/>
      <c r="AY590" s="77"/>
      <c r="AZ590" s="77"/>
      <c r="BA590" s="95"/>
    </row>
    <row r="591" spans="50:53">
      <c r="AX591" s="77"/>
      <c r="AY591" s="77"/>
      <c r="AZ591" s="77"/>
      <c r="BA591" s="95"/>
    </row>
    <row r="592" spans="50:53">
      <c r="AX592" s="77"/>
      <c r="AY592" s="77"/>
      <c r="AZ592" s="77"/>
      <c r="BA592" s="95"/>
    </row>
    <row r="593" spans="50:53">
      <c r="AX593" s="77"/>
      <c r="AY593" s="77"/>
      <c r="AZ593" s="77"/>
      <c r="BA593" s="95"/>
    </row>
    <row r="594" spans="50:53">
      <c r="AX594" s="77"/>
      <c r="AY594" s="77"/>
      <c r="AZ594" s="77"/>
      <c r="BA594" s="95"/>
    </row>
    <row r="595" spans="50:53">
      <c r="AX595" s="77"/>
      <c r="AY595" s="77"/>
      <c r="AZ595" s="77"/>
      <c r="BA595" s="95"/>
    </row>
    <row r="596" spans="50:53">
      <c r="AX596" s="77"/>
      <c r="AY596" s="77"/>
      <c r="AZ596" s="77"/>
      <c r="BA596" s="95"/>
    </row>
    <row r="597" spans="50:53">
      <c r="AX597" s="77"/>
      <c r="AY597" s="77"/>
      <c r="AZ597" s="77"/>
      <c r="BA597" s="95"/>
    </row>
    <row r="598" spans="50:53">
      <c r="AX598" s="77"/>
      <c r="AY598" s="77"/>
      <c r="AZ598" s="77"/>
      <c r="BA598" s="95"/>
    </row>
    <row r="599" spans="50:53">
      <c r="AX599" s="77"/>
      <c r="AY599" s="77"/>
      <c r="AZ599" s="77"/>
      <c r="BA599" s="95"/>
    </row>
    <row r="600" spans="50:53">
      <c r="AX600" s="77"/>
      <c r="AY600" s="77"/>
      <c r="AZ600" s="77"/>
      <c r="BA600" s="95"/>
    </row>
    <row r="601" spans="50:53">
      <c r="AX601" s="77"/>
      <c r="AY601" s="77"/>
      <c r="AZ601" s="77"/>
      <c r="BA601" s="95"/>
    </row>
    <row r="602" spans="50:53">
      <c r="AX602" s="77"/>
      <c r="AY602" s="77"/>
      <c r="AZ602" s="77"/>
      <c r="BA602" s="95"/>
    </row>
    <row r="603" spans="50:53">
      <c r="AX603" s="77"/>
      <c r="AY603" s="77"/>
      <c r="AZ603" s="77"/>
      <c r="BA603" s="95"/>
    </row>
    <row r="604" spans="50:53">
      <c r="AX604" s="77"/>
      <c r="AY604" s="77"/>
      <c r="AZ604" s="77"/>
      <c r="BA604" s="95"/>
    </row>
    <row r="605" spans="50:53">
      <c r="AX605" s="77"/>
      <c r="AY605" s="77"/>
      <c r="AZ605" s="77"/>
      <c r="BA605" s="95"/>
    </row>
    <row r="606" spans="50:53">
      <c r="AX606" s="77"/>
      <c r="AY606" s="77"/>
      <c r="AZ606" s="77"/>
      <c r="BA606" s="95"/>
    </row>
    <row r="607" spans="50:53">
      <c r="AX607" s="77"/>
      <c r="AY607" s="77"/>
      <c r="AZ607" s="77"/>
      <c r="BA607" s="95"/>
    </row>
    <row r="608" spans="50:53">
      <c r="AX608" s="77"/>
      <c r="AY608" s="77"/>
      <c r="AZ608" s="77"/>
      <c r="BA608" s="95"/>
    </row>
    <row r="609" spans="50:53">
      <c r="AX609" s="77"/>
      <c r="AY609" s="77"/>
      <c r="AZ609" s="77"/>
      <c r="BA609" s="95"/>
    </row>
    <row r="610" spans="50:53">
      <c r="AX610" s="77"/>
      <c r="AY610" s="77"/>
      <c r="AZ610" s="77"/>
      <c r="BA610" s="95"/>
    </row>
    <row r="611" spans="50:53">
      <c r="AX611" s="77"/>
      <c r="AY611" s="77"/>
      <c r="AZ611" s="77"/>
      <c r="BA611" s="95"/>
    </row>
    <row r="612" spans="50:53">
      <c r="AX612" s="77"/>
      <c r="AY612" s="77"/>
      <c r="AZ612" s="77"/>
      <c r="BA612" s="95"/>
    </row>
    <row r="613" spans="50:53">
      <c r="AX613" s="77"/>
      <c r="AY613" s="77"/>
      <c r="AZ613" s="77"/>
      <c r="BA613" s="95"/>
    </row>
    <row r="614" spans="50:53">
      <c r="AX614" s="77"/>
      <c r="AY614" s="77"/>
      <c r="AZ614" s="77"/>
      <c r="BA614" s="95"/>
    </row>
    <row r="615" spans="50:53">
      <c r="AX615" s="77"/>
      <c r="AY615" s="77"/>
      <c r="AZ615" s="77"/>
      <c r="BA615" s="95"/>
    </row>
    <row r="616" spans="50:53">
      <c r="AX616" s="77"/>
      <c r="AY616" s="77"/>
      <c r="AZ616" s="77"/>
      <c r="BA616" s="95"/>
    </row>
    <row r="617" spans="50:53">
      <c r="AX617" s="77"/>
      <c r="AY617" s="77"/>
      <c r="AZ617" s="77"/>
      <c r="BA617" s="95"/>
    </row>
    <row r="618" spans="50:53">
      <c r="AX618" s="77"/>
      <c r="AY618" s="77"/>
      <c r="AZ618" s="77"/>
      <c r="BA618" s="95"/>
    </row>
    <row r="619" spans="50:53">
      <c r="AX619" s="77"/>
      <c r="AY619" s="77"/>
      <c r="AZ619" s="77"/>
      <c r="BA619" s="95"/>
    </row>
    <row r="620" spans="50:53">
      <c r="AX620" s="77"/>
      <c r="AY620" s="77"/>
      <c r="AZ620" s="77"/>
      <c r="BA620" s="95"/>
    </row>
    <row r="621" spans="50:53">
      <c r="AX621" s="77"/>
      <c r="AY621" s="77"/>
      <c r="AZ621" s="77"/>
      <c r="BA621" s="95"/>
    </row>
    <row r="622" spans="50:53">
      <c r="AX622" s="77"/>
      <c r="AY622" s="77"/>
      <c r="AZ622" s="77"/>
      <c r="BA622" s="95"/>
    </row>
    <row r="623" spans="50:53">
      <c r="AX623" s="77"/>
      <c r="AY623" s="77"/>
      <c r="AZ623" s="77"/>
      <c r="BA623" s="95"/>
    </row>
    <row r="624" spans="50:53">
      <c r="AX624" s="77"/>
      <c r="AY624" s="77"/>
      <c r="AZ624" s="77"/>
      <c r="BA624" s="95"/>
    </row>
    <row r="625" spans="50:53">
      <c r="AX625" s="77"/>
      <c r="AY625" s="77"/>
      <c r="AZ625" s="77"/>
      <c r="BA625" s="95"/>
    </row>
    <row r="626" spans="50:53">
      <c r="AX626" s="77"/>
      <c r="AY626" s="77"/>
      <c r="AZ626" s="77"/>
      <c r="BA626" s="95"/>
    </row>
    <row r="627" spans="50:53">
      <c r="AX627" s="77"/>
      <c r="AY627" s="77"/>
      <c r="AZ627" s="77"/>
      <c r="BA627" s="95"/>
    </row>
    <row r="628" spans="50:53">
      <c r="AX628" s="77"/>
      <c r="AY628" s="77"/>
      <c r="AZ628" s="77"/>
      <c r="BA628" s="95"/>
    </row>
    <row r="629" spans="50:53">
      <c r="AX629" s="77"/>
      <c r="AY629" s="77"/>
      <c r="AZ629" s="77"/>
      <c r="BA629" s="95"/>
    </row>
    <row r="630" spans="50:53">
      <c r="AX630" s="77"/>
      <c r="AY630" s="77"/>
      <c r="AZ630" s="77"/>
      <c r="BA630" s="95"/>
    </row>
    <row r="631" spans="50:53">
      <c r="AX631" s="77"/>
      <c r="AY631" s="77"/>
      <c r="AZ631" s="77"/>
      <c r="BA631" s="95"/>
    </row>
    <row r="632" spans="50:53">
      <c r="AX632" s="77"/>
      <c r="AY632" s="77"/>
      <c r="AZ632" s="77"/>
      <c r="BA632" s="95"/>
    </row>
    <row r="633" spans="50:53">
      <c r="AX633" s="77"/>
      <c r="AY633" s="77"/>
      <c r="AZ633" s="77"/>
      <c r="BA633" s="95"/>
    </row>
    <row r="634" spans="50:53">
      <c r="AX634" s="77"/>
      <c r="AY634" s="77"/>
      <c r="AZ634" s="77"/>
      <c r="BA634" s="95"/>
    </row>
    <row r="635" spans="50:53">
      <c r="AX635" s="77"/>
      <c r="AY635" s="77"/>
      <c r="AZ635" s="77"/>
      <c r="BA635" s="95"/>
    </row>
    <row r="636" spans="50:53">
      <c r="AX636" s="77"/>
      <c r="AY636" s="77"/>
      <c r="AZ636" s="77"/>
      <c r="BA636" s="95"/>
    </row>
    <row r="637" spans="50:53">
      <c r="AX637" s="77"/>
      <c r="AY637" s="77"/>
      <c r="AZ637" s="77"/>
      <c r="BA637" s="95"/>
    </row>
    <row r="638" spans="50:53">
      <c r="AX638" s="77"/>
      <c r="AY638" s="77"/>
      <c r="AZ638" s="77"/>
      <c r="BA638" s="95"/>
    </row>
    <row r="639" spans="50:53">
      <c r="AX639" s="77"/>
      <c r="AY639" s="77"/>
      <c r="AZ639" s="77"/>
      <c r="BA639" s="95"/>
    </row>
    <row r="640" spans="50:53">
      <c r="AX640" s="77"/>
      <c r="AY640" s="77"/>
      <c r="AZ640" s="77"/>
      <c r="BA640" s="95"/>
    </row>
    <row r="641" spans="50:53">
      <c r="AX641" s="77"/>
      <c r="AY641" s="77"/>
      <c r="AZ641" s="77"/>
      <c r="BA641" s="95"/>
    </row>
    <row r="642" spans="50:53">
      <c r="AX642" s="77"/>
      <c r="AY642" s="77"/>
      <c r="AZ642" s="77"/>
      <c r="BA642" s="95"/>
    </row>
    <row r="643" spans="50:53">
      <c r="AX643" s="77"/>
      <c r="AY643" s="77"/>
      <c r="AZ643" s="77"/>
      <c r="BA643" s="95"/>
    </row>
    <row r="644" spans="50:53">
      <c r="AX644" s="77"/>
      <c r="AY644" s="77"/>
      <c r="AZ644" s="77"/>
      <c r="BA644" s="95"/>
    </row>
    <row r="645" spans="50:53">
      <c r="AX645" s="77"/>
      <c r="AY645" s="77"/>
      <c r="AZ645" s="77"/>
      <c r="BA645" s="95"/>
    </row>
    <row r="646" spans="50:53">
      <c r="AX646" s="77"/>
      <c r="AY646" s="77"/>
      <c r="AZ646" s="77"/>
      <c r="BA646" s="95"/>
    </row>
    <row r="647" spans="50:53">
      <c r="AX647" s="77"/>
      <c r="AY647" s="77"/>
      <c r="AZ647" s="77"/>
      <c r="BA647" s="95"/>
    </row>
    <row r="648" spans="50:53">
      <c r="AX648" s="77"/>
      <c r="AY648" s="77"/>
      <c r="AZ648" s="77"/>
      <c r="BA648" s="95"/>
    </row>
    <row r="649" spans="50:53">
      <c r="AX649" s="77"/>
      <c r="AY649" s="77"/>
      <c r="AZ649" s="77"/>
      <c r="BA649" s="95"/>
    </row>
    <row r="650" spans="50:53">
      <c r="AX650" s="77"/>
      <c r="AY650" s="77"/>
      <c r="AZ650" s="77"/>
      <c r="BA650" s="95"/>
    </row>
    <row r="651" spans="50:53">
      <c r="AX651" s="77"/>
      <c r="AY651" s="77"/>
      <c r="AZ651" s="77"/>
      <c r="BA651" s="95"/>
    </row>
    <row r="652" spans="50:53">
      <c r="AX652" s="77"/>
      <c r="AY652" s="77"/>
      <c r="AZ652" s="77"/>
      <c r="BA652" s="95"/>
    </row>
    <row r="653" spans="50:53">
      <c r="AX653" s="77"/>
      <c r="AY653" s="77"/>
      <c r="AZ653" s="77"/>
      <c r="BA653" s="95"/>
    </row>
    <row r="654" spans="50:53">
      <c r="AX654" s="77"/>
      <c r="AY654" s="77"/>
      <c r="AZ654" s="77"/>
      <c r="BA654" s="95"/>
    </row>
    <row r="655" spans="50:53">
      <c r="AX655" s="77"/>
      <c r="AY655" s="77"/>
      <c r="AZ655" s="77"/>
      <c r="BA655" s="95"/>
    </row>
    <row r="656" spans="50:53">
      <c r="AX656" s="77"/>
      <c r="AY656" s="77"/>
      <c r="AZ656" s="77"/>
      <c r="BA656" s="95"/>
    </row>
    <row r="657" spans="50:53">
      <c r="AX657" s="77"/>
      <c r="AY657" s="77"/>
      <c r="AZ657" s="77"/>
      <c r="BA657" s="95"/>
    </row>
    <row r="658" spans="50:53">
      <c r="AX658" s="77"/>
      <c r="AY658" s="77"/>
      <c r="AZ658" s="77"/>
      <c r="BA658" s="95"/>
    </row>
    <row r="659" spans="50:53">
      <c r="AX659" s="77"/>
      <c r="AY659" s="77"/>
      <c r="AZ659" s="77"/>
      <c r="BA659" s="95"/>
    </row>
    <row r="660" spans="50:53">
      <c r="AX660" s="77"/>
      <c r="AY660" s="77"/>
      <c r="AZ660" s="77"/>
      <c r="BA660" s="95"/>
    </row>
    <row r="661" spans="50:53">
      <c r="AX661" s="77"/>
      <c r="AY661" s="77"/>
      <c r="AZ661" s="77"/>
      <c r="BA661" s="95"/>
    </row>
    <row r="662" spans="50:53">
      <c r="AX662" s="77"/>
      <c r="AY662" s="77"/>
      <c r="AZ662" s="77"/>
      <c r="BA662" s="95"/>
    </row>
    <row r="663" spans="50:53">
      <c r="AX663" s="77"/>
      <c r="AY663" s="77"/>
      <c r="AZ663" s="77"/>
      <c r="BA663" s="95"/>
    </row>
    <row r="664" spans="50:53">
      <c r="AX664" s="77"/>
      <c r="AY664" s="77"/>
      <c r="AZ664" s="77"/>
      <c r="BA664" s="95"/>
    </row>
    <row r="665" spans="50:53">
      <c r="AX665" s="77"/>
      <c r="AY665" s="77"/>
      <c r="AZ665" s="77"/>
      <c r="BA665" s="95"/>
    </row>
    <row r="666" spans="50:53">
      <c r="AX666" s="77"/>
      <c r="AY666" s="77"/>
      <c r="AZ666" s="77"/>
      <c r="BA666" s="95"/>
    </row>
    <row r="667" spans="50:53">
      <c r="AX667" s="77"/>
      <c r="AY667" s="77"/>
      <c r="AZ667" s="77"/>
      <c r="BA667" s="95"/>
    </row>
    <row r="668" spans="50:53">
      <c r="AX668" s="77"/>
      <c r="AY668" s="77"/>
      <c r="AZ668" s="77"/>
      <c r="BA668" s="95"/>
    </row>
    <row r="669" spans="50:53">
      <c r="AX669" s="77"/>
      <c r="AY669" s="77"/>
      <c r="AZ669" s="77"/>
      <c r="BA669" s="95"/>
    </row>
    <row r="670" spans="50:53">
      <c r="AX670" s="77"/>
      <c r="AY670" s="77"/>
      <c r="AZ670" s="77"/>
      <c r="BA670" s="95"/>
    </row>
    <row r="671" spans="50:53">
      <c r="AX671" s="77"/>
      <c r="AY671" s="77"/>
      <c r="AZ671" s="77"/>
      <c r="BA671" s="95"/>
    </row>
    <row r="672" spans="50:53">
      <c r="AX672" s="77"/>
      <c r="AY672" s="77"/>
      <c r="AZ672" s="77"/>
      <c r="BA672" s="95"/>
    </row>
    <row r="673" spans="50:53">
      <c r="AX673" s="77"/>
      <c r="AY673" s="77"/>
      <c r="AZ673" s="77"/>
      <c r="BA673" s="95"/>
    </row>
    <row r="674" spans="50:53">
      <c r="AX674" s="77"/>
      <c r="AY674" s="77"/>
      <c r="AZ674" s="77"/>
      <c r="BA674" s="95"/>
    </row>
    <row r="675" spans="50:53">
      <c r="AX675" s="77"/>
      <c r="AY675" s="77"/>
      <c r="AZ675" s="77"/>
      <c r="BA675" s="95"/>
    </row>
    <row r="676" spans="50:53">
      <c r="AX676" s="77"/>
      <c r="AY676" s="77"/>
      <c r="AZ676" s="77"/>
      <c r="BA676" s="95"/>
    </row>
    <row r="677" spans="50:53">
      <c r="AX677" s="77"/>
      <c r="AY677" s="77"/>
      <c r="AZ677" s="77"/>
      <c r="BA677" s="95"/>
    </row>
    <row r="678" spans="50:53">
      <c r="AX678" s="77"/>
      <c r="AY678" s="77"/>
      <c r="AZ678" s="77"/>
      <c r="BA678" s="95"/>
    </row>
    <row r="679" spans="50:53">
      <c r="AX679" s="77"/>
      <c r="AY679" s="77"/>
      <c r="AZ679" s="77"/>
      <c r="BA679" s="95"/>
    </row>
    <row r="680" spans="50:53">
      <c r="AX680" s="77"/>
      <c r="AY680" s="77"/>
      <c r="AZ680" s="77"/>
      <c r="BA680" s="95"/>
    </row>
    <row r="681" spans="50:53">
      <c r="AX681" s="77"/>
      <c r="AY681" s="77"/>
      <c r="AZ681" s="77"/>
      <c r="BA681" s="95"/>
    </row>
    <row r="682" spans="50:53">
      <c r="AX682" s="77"/>
      <c r="AY682" s="77"/>
      <c r="AZ682" s="77"/>
      <c r="BA682" s="95"/>
    </row>
    <row r="683" spans="50:53">
      <c r="AX683" s="77"/>
      <c r="AY683" s="77"/>
      <c r="AZ683" s="77"/>
      <c r="BA683" s="95"/>
    </row>
    <row r="684" spans="50:53">
      <c r="AX684" s="77"/>
      <c r="AY684" s="77"/>
      <c r="AZ684" s="77"/>
      <c r="BA684" s="95"/>
    </row>
    <row r="685" spans="50:53">
      <c r="AX685" s="77"/>
      <c r="AY685" s="77"/>
      <c r="AZ685" s="77"/>
      <c r="BA685" s="95"/>
    </row>
    <row r="686" spans="50:53">
      <c r="AX686" s="77"/>
      <c r="AY686" s="77"/>
      <c r="AZ686" s="77"/>
      <c r="BA686" s="95"/>
    </row>
    <row r="687" spans="50:53">
      <c r="AX687" s="77"/>
      <c r="AY687" s="77"/>
      <c r="AZ687" s="77"/>
      <c r="BA687" s="95"/>
    </row>
    <row r="688" spans="50:53">
      <c r="AX688" s="77"/>
      <c r="AY688" s="77"/>
      <c r="AZ688" s="77"/>
      <c r="BA688" s="95"/>
    </row>
    <row r="689" spans="50:53">
      <c r="AX689" s="77"/>
      <c r="AY689" s="77"/>
      <c r="AZ689" s="77"/>
      <c r="BA689" s="95"/>
    </row>
    <row r="690" spans="50:53">
      <c r="AX690" s="77"/>
      <c r="AY690" s="77"/>
      <c r="AZ690" s="77"/>
      <c r="BA690" s="95"/>
    </row>
    <row r="691" spans="50:53">
      <c r="AX691" s="77"/>
      <c r="AY691" s="77"/>
      <c r="AZ691" s="77"/>
      <c r="BA691" s="95"/>
    </row>
    <row r="692" spans="50:53">
      <c r="AX692" s="77"/>
      <c r="AY692" s="77"/>
      <c r="AZ692" s="77"/>
      <c r="BA692" s="95"/>
    </row>
    <row r="693" spans="50:53">
      <c r="AX693" s="77"/>
      <c r="AY693" s="77"/>
      <c r="AZ693" s="77"/>
      <c r="BA693" s="95"/>
    </row>
    <row r="694" spans="50:53">
      <c r="AX694" s="77"/>
      <c r="AY694" s="77"/>
      <c r="AZ694" s="77"/>
      <c r="BA694" s="95"/>
    </row>
    <row r="695" spans="50:53">
      <c r="AX695" s="77"/>
      <c r="AY695" s="77"/>
      <c r="AZ695" s="77"/>
      <c r="BA695" s="95"/>
    </row>
    <row r="696" spans="50:53">
      <c r="AX696" s="77"/>
      <c r="AY696" s="77"/>
      <c r="AZ696" s="77"/>
      <c r="BA696" s="95"/>
    </row>
    <row r="697" spans="50:53">
      <c r="AX697" s="77"/>
      <c r="AY697" s="77"/>
      <c r="AZ697" s="77"/>
      <c r="BA697" s="95"/>
    </row>
    <row r="698" spans="50:53">
      <c r="AX698" s="77"/>
      <c r="AY698" s="77"/>
      <c r="AZ698" s="77"/>
      <c r="BA698" s="95"/>
    </row>
    <row r="699" spans="50:53">
      <c r="AX699" s="77"/>
      <c r="AY699" s="77"/>
      <c r="AZ699" s="77"/>
      <c r="BA699" s="95"/>
    </row>
    <row r="700" spans="50:53">
      <c r="AX700" s="77"/>
      <c r="AY700" s="77"/>
      <c r="AZ700" s="77"/>
      <c r="BA700" s="95"/>
    </row>
    <row r="701" spans="50:53">
      <c r="AX701" s="77"/>
      <c r="AY701" s="77"/>
      <c r="AZ701" s="77"/>
      <c r="BA701" s="95"/>
    </row>
    <row r="702" spans="50:53">
      <c r="AX702" s="77"/>
      <c r="AY702" s="77"/>
      <c r="AZ702" s="77"/>
      <c r="BA702" s="95"/>
    </row>
    <row r="703" spans="50:53">
      <c r="AX703" s="77"/>
      <c r="AY703" s="77"/>
      <c r="AZ703" s="77"/>
      <c r="BA703" s="95"/>
    </row>
    <row r="704" spans="50:53">
      <c r="AX704" s="77"/>
      <c r="AY704" s="77"/>
      <c r="AZ704" s="77"/>
      <c r="BA704" s="95"/>
    </row>
    <row r="705" spans="50:53">
      <c r="AX705" s="77"/>
      <c r="AY705" s="77"/>
      <c r="AZ705" s="77"/>
      <c r="BA705" s="95"/>
    </row>
    <row r="706" spans="50:53">
      <c r="AX706" s="77"/>
      <c r="AY706" s="77"/>
      <c r="AZ706" s="77"/>
      <c r="BA706" s="95"/>
    </row>
    <row r="707" spans="50:53">
      <c r="AX707" s="77"/>
      <c r="AY707" s="77"/>
      <c r="AZ707" s="77"/>
      <c r="BA707" s="95"/>
    </row>
    <row r="708" spans="50:53">
      <c r="AX708" s="77"/>
      <c r="AY708" s="77"/>
      <c r="AZ708" s="77"/>
      <c r="BA708" s="95"/>
    </row>
    <row r="709" spans="50:53">
      <c r="AX709" s="77"/>
      <c r="AY709" s="77"/>
      <c r="AZ709" s="77"/>
      <c r="BA709" s="95"/>
    </row>
    <row r="710" spans="50:53">
      <c r="AX710" s="77"/>
      <c r="AY710" s="77"/>
      <c r="AZ710" s="77"/>
      <c r="BA710" s="95"/>
    </row>
    <row r="711" spans="50:53">
      <c r="AX711" s="77"/>
      <c r="AY711" s="77"/>
      <c r="AZ711" s="77"/>
      <c r="BA711" s="95"/>
    </row>
    <row r="712" spans="50:53">
      <c r="AX712" s="77"/>
      <c r="AY712" s="77"/>
      <c r="AZ712" s="77"/>
      <c r="BA712" s="95"/>
    </row>
    <row r="713" spans="50:53">
      <c r="AX713" s="77"/>
      <c r="AY713" s="77"/>
      <c r="AZ713" s="77"/>
      <c r="BA713" s="95"/>
    </row>
    <row r="714" spans="50:53">
      <c r="AX714" s="77"/>
      <c r="AY714" s="77"/>
      <c r="AZ714" s="77"/>
      <c r="BA714" s="95"/>
    </row>
    <row r="715" spans="50:53">
      <c r="AX715" s="77"/>
      <c r="AY715" s="77"/>
      <c r="AZ715" s="77"/>
      <c r="BA715" s="95"/>
    </row>
    <row r="716" spans="50:53">
      <c r="AX716" s="77"/>
      <c r="AY716" s="77"/>
      <c r="AZ716" s="77"/>
      <c r="BA716" s="95"/>
    </row>
    <row r="717" spans="50:53">
      <c r="AX717" s="77"/>
      <c r="AY717" s="77"/>
      <c r="AZ717" s="77"/>
      <c r="BA717" s="95"/>
    </row>
    <row r="718" spans="50:53">
      <c r="AX718" s="77"/>
      <c r="AY718" s="77"/>
      <c r="AZ718" s="77"/>
      <c r="BA718" s="95"/>
    </row>
    <row r="719" spans="50:53">
      <c r="AX719" s="77"/>
      <c r="AY719" s="77"/>
      <c r="AZ719" s="77"/>
      <c r="BA719" s="95"/>
    </row>
    <row r="720" spans="50:53">
      <c r="AX720" s="77"/>
      <c r="AY720" s="77"/>
      <c r="AZ720" s="77"/>
      <c r="BA720" s="95"/>
    </row>
    <row r="721" spans="50:53">
      <c r="AX721" s="77"/>
      <c r="AY721" s="77"/>
      <c r="AZ721" s="77"/>
      <c r="BA721" s="95"/>
    </row>
    <row r="722" spans="50:53">
      <c r="AX722" s="77"/>
      <c r="AY722" s="77"/>
      <c r="AZ722" s="77"/>
      <c r="BA722" s="95"/>
    </row>
    <row r="723" spans="50:53">
      <c r="AX723" s="77"/>
      <c r="AY723" s="77"/>
      <c r="AZ723" s="77"/>
      <c r="BA723" s="95"/>
    </row>
    <row r="724" spans="50:53">
      <c r="AX724" s="77"/>
      <c r="AY724" s="77"/>
      <c r="AZ724" s="77"/>
      <c r="BA724" s="95"/>
    </row>
    <row r="725" spans="50:53">
      <c r="AX725" s="77"/>
      <c r="AY725" s="77"/>
      <c r="AZ725" s="77"/>
      <c r="BA725" s="95"/>
    </row>
    <row r="726" spans="50:53">
      <c r="AX726" s="77"/>
      <c r="AY726" s="77"/>
      <c r="AZ726" s="77"/>
      <c r="BA726" s="95"/>
    </row>
    <row r="727" spans="50:53">
      <c r="AX727" s="77"/>
      <c r="AY727" s="77"/>
      <c r="AZ727" s="77"/>
      <c r="BA727" s="95"/>
    </row>
    <row r="728" spans="50:53">
      <c r="AX728" s="77"/>
      <c r="AY728" s="77"/>
      <c r="AZ728" s="77"/>
      <c r="BA728" s="95"/>
    </row>
    <row r="729" spans="50:53">
      <c r="AX729" s="77"/>
      <c r="AY729" s="77"/>
      <c r="AZ729" s="77"/>
      <c r="BA729" s="95"/>
    </row>
    <row r="730" spans="50:53">
      <c r="AX730" s="77"/>
      <c r="AY730" s="77"/>
      <c r="AZ730" s="77"/>
      <c r="BA730" s="95"/>
    </row>
    <row r="731" spans="50:53">
      <c r="AX731" s="77"/>
      <c r="AY731" s="77"/>
      <c r="AZ731" s="77"/>
      <c r="BA731" s="95"/>
    </row>
    <row r="732" spans="50:53">
      <c r="AX732" s="77"/>
      <c r="AY732" s="77"/>
      <c r="AZ732" s="77"/>
      <c r="BA732" s="95"/>
    </row>
    <row r="733" spans="50:53">
      <c r="AX733" s="77"/>
      <c r="AY733" s="77"/>
      <c r="AZ733" s="77"/>
      <c r="BA733" s="95"/>
    </row>
    <row r="734" spans="50:53">
      <c r="AX734" s="77"/>
      <c r="AY734" s="77"/>
      <c r="AZ734" s="77"/>
      <c r="BA734" s="95"/>
    </row>
    <row r="735" spans="50:53">
      <c r="AX735" s="77"/>
      <c r="AY735" s="77"/>
      <c r="AZ735" s="77"/>
      <c r="BA735" s="95"/>
    </row>
    <row r="736" spans="50:53">
      <c r="AX736" s="77"/>
      <c r="AY736" s="77"/>
      <c r="AZ736" s="77"/>
      <c r="BA736" s="95"/>
    </row>
    <row r="737" spans="50:53">
      <c r="AX737" s="77"/>
      <c r="AY737" s="77"/>
      <c r="AZ737" s="77"/>
      <c r="BA737" s="95"/>
    </row>
    <row r="738" spans="50:53">
      <c r="AX738" s="77"/>
      <c r="AY738" s="77"/>
      <c r="AZ738" s="77"/>
      <c r="BA738" s="95"/>
    </row>
    <row r="739" spans="50:53">
      <c r="AX739" s="77"/>
      <c r="AY739" s="77"/>
      <c r="AZ739" s="77"/>
      <c r="BA739" s="95"/>
    </row>
    <row r="740" spans="50:53">
      <c r="AX740" s="77"/>
      <c r="AY740" s="77"/>
      <c r="AZ740" s="77"/>
      <c r="BA740" s="95"/>
    </row>
    <row r="741" spans="50:53">
      <c r="AX741" s="77"/>
      <c r="AY741" s="77"/>
      <c r="AZ741" s="77"/>
      <c r="BA741" s="95"/>
    </row>
    <row r="742" spans="50:53">
      <c r="AX742" s="77"/>
      <c r="AY742" s="77"/>
      <c r="AZ742" s="77"/>
      <c r="BA742" s="95"/>
    </row>
    <row r="743" spans="50:53">
      <c r="AX743" s="77"/>
      <c r="AY743" s="77"/>
      <c r="AZ743" s="77"/>
      <c r="BA743" s="95"/>
    </row>
    <row r="744" spans="50:53">
      <c r="AX744" s="77"/>
      <c r="AY744" s="77"/>
      <c r="AZ744" s="77"/>
      <c r="BA744" s="95"/>
    </row>
    <row r="745" spans="50:53">
      <c r="AX745" s="77"/>
      <c r="AY745" s="77"/>
      <c r="AZ745" s="77"/>
      <c r="BA745" s="95"/>
    </row>
    <row r="746" spans="50:53">
      <c r="AX746" s="77"/>
      <c r="AY746" s="77"/>
      <c r="AZ746" s="77"/>
      <c r="BA746" s="95"/>
    </row>
    <row r="747" spans="50:53">
      <c r="AX747" s="77"/>
      <c r="AY747" s="77"/>
      <c r="AZ747" s="77"/>
      <c r="BA747" s="95"/>
    </row>
    <row r="748" spans="50:53">
      <c r="AX748" s="77"/>
      <c r="AY748" s="77"/>
      <c r="AZ748" s="77"/>
      <c r="BA748" s="95"/>
    </row>
    <row r="749" spans="50:53">
      <c r="AX749" s="77"/>
      <c r="AY749" s="77"/>
      <c r="AZ749" s="77"/>
      <c r="BA749" s="95"/>
    </row>
    <row r="750" spans="50:53">
      <c r="AX750" s="77"/>
      <c r="AY750" s="77"/>
      <c r="AZ750" s="77"/>
      <c r="BA750" s="95"/>
    </row>
    <row r="751" spans="50:53">
      <c r="AX751" s="77"/>
      <c r="AY751" s="77"/>
      <c r="AZ751" s="77"/>
      <c r="BA751" s="95"/>
    </row>
    <row r="752" spans="50:53">
      <c r="AX752" s="77"/>
      <c r="AY752" s="77"/>
      <c r="AZ752" s="77"/>
      <c r="BA752" s="95"/>
    </row>
    <row r="753" spans="50:53">
      <c r="AX753" s="77"/>
      <c r="AY753" s="77"/>
      <c r="AZ753" s="77"/>
      <c r="BA753" s="95"/>
    </row>
    <row r="754" spans="50:53">
      <c r="AX754" s="77"/>
      <c r="AY754" s="77"/>
      <c r="AZ754" s="77"/>
      <c r="BA754" s="95"/>
    </row>
    <row r="755" spans="50:53">
      <c r="AX755" s="77"/>
      <c r="AY755" s="77"/>
      <c r="AZ755" s="77"/>
      <c r="BA755" s="95"/>
    </row>
    <row r="756" spans="50:53">
      <c r="AX756" s="77"/>
      <c r="AY756" s="77"/>
      <c r="AZ756" s="77"/>
      <c r="BA756" s="95"/>
    </row>
    <row r="757" spans="50:53">
      <c r="AX757" s="77"/>
      <c r="AY757" s="77"/>
      <c r="AZ757" s="77"/>
      <c r="BA757" s="95"/>
    </row>
    <row r="758" spans="50:53">
      <c r="AX758" s="77"/>
      <c r="AY758" s="77"/>
      <c r="AZ758" s="77"/>
      <c r="BA758" s="95"/>
    </row>
    <row r="759" spans="50:53">
      <c r="AX759" s="77"/>
      <c r="AY759" s="77"/>
      <c r="AZ759" s="77"/>
      <c r="BA759" s="95"/>
    </row>
    <row r="760" spans="50:53">
      <c r="AX760" s="77"/>
      <c r="AY760" s="77"/>
      <c r="AZ760" s="77"/>
      <c r="BA760" s="95"/>
    </row>
    <row r="761" spans="50:53">
      <c r="AX761" s="77"/>
      <c r="AY761" s="77"/>
      <c r="AZ761" s="77"/>
      <c r="BA761" s="95"/>
    </row>
    <row r="762" spans="50:53">
      <c r="AX762" s="77"/>
      <c r="AY762" s="77"/>
      <c r="AZ762" s="77"/>
      <c r="BA762" s="95"/>
    </row>
    <row r="763" spans="50:53">
      <c r="AX763" s="77"/>
      <c r="AY763" s="77"/>
      <c r="AZ763" s="77"/>
      <c r="BA763" s="95"/>
    </row>
    <row r="764" spans="50:53">
      <c r="AX764" s="77"/>
      <c r="AY764" s="77"/>
      <c r="AZ764" s="77"/>
      <c r="BA764" s="95"/>
    </row>
    <row r="765" spans="50:53">
      <c r="AX765" s="77"/>
      <c r="AY765" s="77"/>
      <c r="AZ765" s="77"/>
      <c r="BA765" s="95"/>
    </row>
    <row r="766" spans="50:53">
      <c r="AX766" s="77"/>
      <c r="AY766" s="77"/>
      <c r="AZ766" s="77"/>
      <c r="BA766" s="95"/>
    </row>
    <row r="767" spans="50:53">
      <c r="AX767" s="77"/>
      <c r="AY767" s="77"/>
      <c r="AZ767" s="77"/>
      <c r="BA767" s="95"/>
    </row>
    <row r="768" spans="50:53">
      <c r="AX768" s="77"/>
      <c r="AY768" s="77"/>
      <c r="AZ768" s="77"/>
      <c r="BA768" s="95"/>
    </row>
    <row r="769" spans="50:53">
      <c r="AX769" s="77"/>
      <c r="AY769" s="77"/>
      <c r="AZ769" s="77"/>
      <c r="BA769" s="95"/>
    </row>
    <row r="770" spans="50:53">
      <c r="AX770" s="77"/>
      <c r="AY770" s="77"/>
      <c r="AZ770" s="77"/>
      <c r="BA770" s="95"/>
    </row>
    <row r="771" spans="50:53">
      <c r="AX771" s="77"/>
      <c r="AY771" s="77"/>
      <c r="AZ771" s="77"/>
      <c r="BA771" s="95"/>
    </row>
    <row r="772" spans="50:53">
      <c r="AX772" s="77"/>
      <c r="AY772" s="77"/>
      <c r="AZ772" s="77"/>
      <c r="BA772" s="95"/>
    </row>
    <row r="773" spans="50:53">
      <c r="AX773" s="77"/>
      <c r="AY773" s="77"/>
      <c r="AZ773" s="77"/>
      <c r="BA773" s="95"/>
    </row>
    <row r="774" spans="50:53">
      <c r="AX774" s="77"/>
      <c r="AY774" s="77"/>
      <c r="AZ774" s="77"/>
      <c r="BA774" s="95"/>
    </row>
  </sheetData>
  <mergeCells count="41">
    <mergeCell ref="C77:M77"/>
    <mergeCell ref="C72:M72"/>
    <mergeCell ref="C1:G1"/>
    <mergeCell ref="AR2:BA2"/>
    <mergeCell ref="C16:J16"/>
    <mergeCell ref="C18:D18"/>
    <mergeCell ref="F18:G18"/>
    <mergeCell ref="I18:J18"/>
    <mergeCell ref="C3:G3"/>
    <mergeCell ref="C38:M38"/>
    <mergeCell ref="C43:D44"/>
    <mergeCell ref="F43:G44"/>
    <mergeCell ref="I43:J44"/>
    <mergeCell ref="L43:M44"/>
    <mergeCell ref="C5:D5"/>
    <mergeCell ref="F5:G5"/>
    <mergeCell ref="C139:D139"/>
    <mergeCell ref="F139:G139"/>
    <mergeCell ref="I139:J139"/>
    <mergeCell ref="C78:D78"/>
    <mergeCell ref="F78:G78"/>
    <mergeCell ref="I78:J78"/>
    <mergeCell ref="C109:M109"/>
    <mergeCell ref="C113:M113"/>
    <mergeCell ref="C114:D114"/>
    <mergeCell ref="F114:G114"/>
    <mergeCell ref="I114:J114"/>
    <mergeCell ref="C134:M134"/>
    <mergeCell ref="C138:M138"/>
    <mergeCell ref="C191:M191"/>
    <mergeCell ref="C154:M154"/>
    <mergeCell ref="C158:M158"/>
    <mergeCell ref="C159:D159"/>
    <mergeCell ref="F159:G159"/>
    <mergeCell ref="I159:J159"/>
    <mergeCell ref="C163:M163"/>
    <mergeCell ref="C171:M171"/>
    <mergeCell ref="C172:D172"/>
    <mergeCell ref="F172:G172"/>
    <mergeCell ref="I172:J172"/>
    <mergeCell ref="L172:M172"/>
  </mergeCells>
  <dataValidations count="5">
    <dataValidation type="list" allowBlank="1" showInputMessage="1" showErrorMessage="1" sqref="M42:O42">
      <formula1>$A$37:$A$540</formula1>
    </dataValidation>
    <dataValidation type="list" allowBlank="1" showInputMessage="1" showErrorMessage="1" sqref="D10">
      <formula1>$F$6:$F$12</formula1>
    </dataValidation>
    <dataValidation type="list" allowBlank="1" showInputMessage="1" showErrorMessage="1" sqref="D7">
      <formula1>$BD$16:$BD$514</formula1>
    </dataValidation>
    <dataValidation type="list" allowBlank="1" showInputMessage="1" showErrorMessage="1" sqref="D6">
      <formula1>$BE$16:$BE$514</formula1>
    </dataValidation>
    <dataValidation type="list" allowBlank="1" showInputMessage="1" showErrorMessage="1" sqref="D8:D9">
      <formula1>$BC$16:$BC$514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tabColor rgb="FF0070C0"/>
  </sheetPr>
  <dimension ref="B1:N23"/>
  <sheetViews>
    <sheetView zoomScale="70" zoomScaleNormal="70" workbookViewId="0">
      <selection activeCell="L11" sqref="L11"/>
    </sheetView>
  </sheetViews>
  <sheetFormatPr defaultColWidth="9.140625" defaultRowHeight="15"/>
  <cols>
    <col min="1" max="1" width="3.7109375" style="263" customWidth="1"/>
    <col min="2" max="2" width="26.7109375" style="263" customWidth="1"/>
    <col min="3" max="3" width="17.42578125" style="287" bestFit="1" customWidth="1"/>
    <col min="4" max="4" width="28.28515625" style="287" customWidth="1"/>
    <col min="5" max="5" width="4" style="263" customWidth="1"/>
    <col min="6" max="6" width="12.7109375" style="264" customWidth="1"/>
    <col min="7" max="7" width="28.42578125" style="265" customWidth="1"/>
    <col min="8" max="8" width="18" style="264" customWidth="1"/>
    <col min="9" max="9" width="39.140625" style="265" customWidth="1"/>
    <col min="10" max="10" width="17.42578125" style="266" customWidth="1"/>
    <col min="11" max="11" width="17.42578125" style="267" customWidth="1"/>
    <col min="12" max="12" width="17.42578125" style="266" customWidth="1"/>
    <col min="13" max="13" width="17.42578125" style="267" customWidth="1"/>
    <col min="14" max="16384" width="9.140625" style="263"/>
  </cols>
  <sheetData>
    <row r="1" spans="2:13" ht="15.75" thickBot="1">
      <c r="B1" s="261"/>
      <c r="C1" s="262"/>
      <c r="D1" s="262"/>
    </row>
    <row r="2" spans="2:13" ht="26.25" thickBot="1">
      <c r="B2" s="268" t="s">
        <v>302</v>
      </c>
      <c r="C2" s="268" t="s">
        <v>303</v>
      </c>
      <c r="D2" s="268" t="s">
        <v>304</v>
      </c>
      <c r="F2" s="269" t="s">
        <v>305</v>
      </c>
      <c r="G2" s="269" t="s">
        <v>306</v>
      </c>
      <c r="H2" s="270" t="s">
        <v>307</v>
      </c>
      <c r="I2" s="271"/>
      <c r="J2" s="263"/>
      <c r="K2" s="263"/>
      <c r="L2" s="263"/>
      <c r="M2" s="263"/>
    </row>
    <row r="3" spans="2:13" ht="37.5" customHeight="1" thickBot="1">
      <c r="B3" s="272" t="s">
        <v>308</v>
      </c>
      <c r="C3" s="778" t="s">
        <v>3088</v>
      </c>
      <c r="D3" s="274" t="s">
        <v>309</v>
      </c>
      <c r="E3" s="275"/>
      <c r="F3" s="276">
        <v>1</v>
      </c>
      <c r="G3" s="276" t="s">
        <v>310</v>
      </c>
      <c r="H3" s="277" t="s">
        <v>311</v>
      </c>
      <c r="I3" s="278"/>
      <c r="J3" s="263"/>
      <c r="K3" s="263"/>
      <c r="L3" s="263"/>
      <c r="M3" s="263"/>
    </row>
    <row r="4" spans="2:13" ht="37.5" customHeight="1" thickBot="1">
      <c r="B4" s="279" t="s">
        <v>312</v>
      </c>
      <c r="C4" s="273">
        <v>3</v>
      </c>
      <c r="D4" s="280" t="s">
        <v>313</v>
      </c>
      <c r="E4" s="275"/>
      <c r="F4" s="281">
        <v>2</v>
      </c>
      <c r="G4" s="282" t="s">
        <v>314</v>
      </c>
      <c r="H4" s="283" t="s">
        <v>315</v>
      </c>
      <c r="I4" s="284"/>
      <c r="J4" s="263"/>
      <c r="K4" s="263"/>
      <c r="L4" s="263"/>
      <c r="M4" s="263"/>
    </row>
    <row r="5" spans="2:13" ht="37.5" customHeight="1" thickBot="1">
      <c r="C5" s="275"/>
      <c r="D5" s="275"/>
      <c r="E5" s="275"/>
      <c r="F5" s="281">
        <v>3</v>
      </c>
      <c r="G5" s="282" t="s">
        <v>316</v>
      </c>
      <c r="H5" s="285" t="s">
        <v>317</v>
      </c>
      <c r="I5" s="286"/>
      <c r="J5" s="263"/>
      <c r="K5" s="263"/>
      <c r="L5" s="263"/>
      <c r="M5" s="263"/>
    </row>
    <row r="6" spans="2:13" ht="37.5" customHeight="1" thickBot="1">
      <c r="F6" s="288">
        <v>4</v>
      </c>
      <c r="G6" s="289"/>
      <c r="H6" s="290"/>
      <c r="I6" s="291"/>
      <c r="J6" s="263"/>
      <c r="K6" s="263"/>
      <c r="L6" s="263"/>
      <c r="M6" s="263"/>
    </row>
    <row r="7" spans="2:13" ht="23.25" customHeight="1">
      <c r="F7" s="292"/>
      <c r="H7" s="292"/>
      <c r="J7" s="293"/>
      <c r="L7" s="293"/>
    </row>
    <row r="8" spans="2:13" ht="23.25" customHeight="1">
      <c r="F8" s="294" t="s">
        <v>318</v>
      </c>
    </row>
    <row r="9" spans="2:13" ht="9.75" customHeight="1" thickBot="1"/>
    <row r="10" spans="2:13" ht="25.5">
      <c r="F10" s="269" t="s">
        <v>319</v>
      </c>
      <c r="G10" s="269" t="s">
        <v>320</v>
      </c>
      <c r="H10" s="269" t="s">
        <v>306</v>
      </c>
      <c r="I10" s="271" t="s">
        <v>321</v>
      </c>
      <c r="J10" s="263"/>
      <c r="K10" s="263"/>
      <c r="L10" s="263"/>
      <c r="M10" s="263"/>
    </row>
    <row r="11" spans="2:13" ht="24" customHeight="1" thickBot="1">
      <c r="F11" s="276">
        <v>2</v>
      </c>
      <c r="G11" s="276">
        <v>3</v>
      </c>
      <c r="H11" s="276" t="s">
        <v>322</v>
      </c>
      <c r="I11" s="278" t="s">
        <v>323</v>
      </c>
      <c r="J11" s="263"/>
      <c r="K11" s="263"/>
      <c r="L11" s="263"/>
      <c r="M11" s="263"/>
    </row>
    <row r="12" spans="2:13" ht="24" customHeight="1" thickBot="1">
      <c r="F12" s="281">
        <v>3</v>
      </c>
      <c r="G12" s="281">
        <v>3</v>
      </c>
      <c r="H12" s="295">
        <v>40028</v>
      </c>
      <c r="I12" s="296"/>
      <c r="J12" s="263"/>
      <c r="K12" s="263"/>
      <c r="L12" s="263"/>
      <c r="M12" s="263"/>
    </row>
    <row r="13" spans="2:13" ht="24" customHeight="1" thickBot="1">
      <c r="F13" s="281">
        <v>4</v>
      </c>
      <c r="G13" s="281">
        <v>3</v>
      </c>
      <c r="H13" s="295">
        <v>40045</v>
      </c>
      <c r="I13" s="297" t="s">
        <v>324</v>
      </c>
      <c r="J13" s="263"/>
      <c r="K13" s="263"/>
      <c r="L13" s="263"/>
      <c r="M13" s="263"/>
    </row>
    <row r="14" spans="2:13" ht="24" customHeight="1" thickBot="1">
      <c r="F14" s="288"/>
      <c r="G14" s="288"/>
      <c r="H14" s="289"/>
      <c r="I14" s="291"/>
      <c r="J14" s="263"/>
      <c r="K14" s="263"/>
      <c r="L14" s="263"/>
      <c r="M14" s="263"/>
    </row>
    <row r="15" spans="2:13" ht="24" customHeight="1" thickBot="1">
      <c r="F15" s="298"/>
      <c r="G15" s="298"/>
      <c r="H15" s="299"/>
      <c r="I15" s="291"/>
      <c r="J15" s="263"/>
      <c r="K15" s="263"/>
      <c r="L15" s="263"/>
      <c r="M15" s="263"/>
    </row>
    <row r="16" spans="2:13" ht="24" customHeight="1" thickBot="1">
      <c r="C16" s="300"/>
      <c r="F16" s="298"/>
      <c r="G16" s="298"/>
      <c r="H16" s="299"/>
      <c r="I16" s="291"/>
      <c r="J16" s="263"/>
      <c r="K16" s="263"/>
      <c r="L16" s="263"/>
      <c r="M16" s="263"/>
    </row>
    <row r="17" spans="2:14">
      <c r="B17" s="301"/>
      <c r="C17" s="300"/>
    </row>
    <row r="18" spans="2:14">
      <c r="C18" s="302"/>
    </row>
    <row r="22" spans="2:14">
      <c r="N22" s="287"/>
    </row>
    <row r="23" spans="2:14">
      <c r="N23" s="2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>
    <tabColor theme="1" tint="0.249977111117893"/>
  </sheetPr>
  <dimension ref="B3:O62"/>
  <sheetViews>
    <sheetView showGridLines="0" zoomScale="70" zoomScaleNormal="70" workbookViewId="0">
      <selection activeCell="C13" sqref="C13"/>
    </sheetView>
  </sheetViews>
  <sheetFormatPr defaultRowHeight="14.25" customHeight="1"/>
  <cols>
    <col min="2" max="2" width="16.85546875" customWidth="1"/>
    <col min="3" max="3" width="35.42578125" customWidth="1"/>
    <col min="4" max="4" width="14.140625" customWidth="1"/>
    <col min="7" max="7" width="51.85546875" customWidth="1"/>
    <col min="13" max="13" width="9.5703125" bestFit="1" customWidth="1"/>
  </cols>
  <sheetData>
    <row r="3" spans="2:7" ht="14.25" customHeight="1">
      <c r="C3" s="2"/>
      <c r="D3" s="2"/>
      <c r="E3" s="2"/>
    </row>
    <row r="4" spans="2:7" ht="14.25" customHeight="1">
      <c r="C4" s="2"/>
      <c r="D4" s="2"/>
      <c r="E4" s="2"/>
    </row>
    <row r="5" spans="2:7" ht="14.25" customHeight="1">
      <c r="C5" s="2"/>
      <c r="D5" s="2"/>
      <c r="E5" s="2"/>
    </row>
    <row r="7" spans="2:7" ht="14.25" customHeight="1" thickBot="1"/>
    <row r="8" spans="2:7" ht="57" customHeight="1">
      <c r="B8" s="897" t="s">
        <v>3085</v>
      </c>
      <c r="C8" s="898"/>
      <c r="D8" s="899"/>
      <c r="G8" s="303"/>
    </row>
    <row r="9" spans="2:7" ht="14.25" customHeight="1">
      <c r="B9" s="304" t="s">
        <v>325</v>
      </c>
      <c r="C9" s="305" t="s">
        <v>326</v>
      </c>
      <c r="D9" s="306"/>
      <c r="G9" s="307" t="s">
        <v>327</v>
      </c>
    </row>
    <row r="10" spans="2:7" ht="14.25" customHeight="1">
      <c r="B10" s="308" t="s">
        <v>83</v>
      </c>
      <c r="C10" s="46" t="str">
        <f>LE_DECLARE_TYPE("Coverage",C11:C11)</f>
        <v>Declared data type COVERAGE</v>
      </c>
      <c r="D10" s="309"/>
      <c r="G10" s="310" t="e">
        <f ca="1">OL_PRINT_FULLNAME(B9)</f>
        <v>#NAME?</v>
      </c>
    </row>
    <row r="11" spans="2:7" ht="14.25" customHeight="1">
      <c r="B11" s="311"/>
      <c r="C11" s="312" t="s">
        <v>328</v>
      </c>
      <c r="D11" s="313"/>
      <c r="G11" s="314" t="e">
        <f ca="1">OL_PRINT_FULLNAME(B10)</f>
        <v>#NAME?</v>
      </c>
    </row>
    <row r="12" spans="2:7" ht="14.25" customHeight="1">
      <c r="B12" s="315" t="s">
        <v>7</v>
      </c>
      <c r="C12" s="50" t="str">
        <f>LE_DECLARE_TYPE("Driver",C13:C26)</f>
        <v>Declared data type DRIVER</v>
      </c>
      <c r="D12" s="306"/>
      <c r="G12" s="316" t="e">
        <f t="shared" ref="G12:G62" ca="1" si="0">OL_PRINT_FULLNAME(B11)</f>
        <v>#NAME?</v>
      </c>
    </row>
    <row r="13" spans="2:7" ht="14.25" customHeight="1">
      <c r="B13" s="315"/>
      <c r="C13" s="50" t="s">
        <v>3063</v>
      </c>
      <c r="D13" s="306"/>
      <c r="G13" s="314" t="e">
        <f t="shared" ca="1" si="0"/>
        <v>#NAME?</v>
      </c>
    </row>
    <row r="14" spans="2:7" ht="14.25" customHeight="1">
      <c r="B14" s="315"/>
      <c r="C14" s="50" t="s">
        <v>329</v>
      </c>
      <c r="D14" s="306"/>
      <c r="G14" s="314" t="e">
        <f ca="1">OL_PRINT_FULLNAME(B13)</f>
        <v>#NAME?</v>
      </c>
    </row>
    <row r="15" spans="2:7" ht="14.25" customHeight="1">
      <c r="B15" s="315"/>
      <c r="C15" s="50" t="s">
        <v>330</v>
      </c>
      <c r="D15" s="306"/>
      <c r="G15" s="314" t="e">
        <f t="shared" ca="1" si="0"/>
        <v>#NAME?</v>
      </c>
    </row>
    <row r="16" spans="2:7" ht="14.25" customHeight="1">
      <c r="B16" s="315"/>
      <c r="C16" s="50" t="s">
        <v>3083</v>
      </c>
      <c r="D16" s="306"/>
      <c r="G16" s="314" t="e">
        <f t="shared" ca="1" si="0"/>
        <v>#NAME?</v>
      </c>
    </row>
    <row r="17" spans="2:15" ht="14.25" customHeight="1">
      <c r="B17" s="315"/>
      <c r="C17" s="50" t="s">
        <v>331</v>
      </c>
      <c r="D17" s="306"/>
      <c r="G17" s="314" t="e">
        <f t="shared" ca="1" si="0"/>
        <v>#NAME?</v>
      </c>
    </row>
    <row r="18" spans="2:15" ht="14.25" customHeight="1">
      <c r="B18" s="315"/>
      <c r="C18" s="50" t="s">
        <v>3064</v>
      </c>
      <c r="D18" s="306"/>
      <c r="G18" s="314" t="e">
        <f t="shared" ca="1" si="0"/>
        <v>#NAME?</v>
      </c>
    </row>
    <row r="19" spans="2:15" ht="14.25" customHeight="1">
      <c r="B19" s="315"/>
      <c r="C19" s="50" t="s">
        <v>3065</v>
      </c>
      <c r="D19" s="306"/>
      <c r="G19" s="314" t="e">
        <f t="shared" ca="1" si="0"/>
        <v>#NAME?</v>
      </c>
    </row>
    <row r="20" spans="2:15" ht="14.25" customHeight="1">
      <c r="B20" s="315"/>
      <c r="C20" s="50" t="s">
        <v>3066</v>
      </c>
      <c r="D20" s="306"/>
      <c r="G20" s="314" t="e">
        <f t="shared" ca="1" si="0"/>
        <v>#NAME?</v>
      </c>
    </row>
    <row r="21" spans="2:15" ht="14.25" customHeight="1">
      <c r="B21" s="315"/>
      <c r="C21" s="50" t="s">
        <v>3067</v>
      </c>
      <c r="D21" s="306"/>
      <c r="G21" s="314" t="e">
        <f t="shared" ca="1" si="0"/>
        <v>#NAME?</v>
      </c>
    </row>
    <row r="22" spans="2:15" ht="14.25" customHeight="1">
      <c r="B22" s="315"/>
      <c r="C22" s="50" t="s">
        <v>332</v>
      </c>
      <c r="D22" s="306"/>
      <c r="G22" s="314" t="e">
        <f t="shared" ca="1" si="0"/>
        <v>#NAME?</v>
      </c>
    </row>
    <row r="23" spans="2:15" ht="14.25" customHeight="1" thickBot="1">
      <c r="B23" s="315"/>
      <c r="C23" s="50" t="s">
        <v>333</v>
      </c>
      <c r="D23" s="306"/>
      <c r="G23" s="314" t="e">
        <f t="shared" ca="1" si="0"/>
        <v>#NAME?</v>
      </c>
      <c r="N23" s="305"/>
    </row>
    <row r="24" spans="2:15" ht="14.25" customHeight="1">
      <c r="B24" s="315"/>
      <c r="C24" s="50" t="s">
        <v>334</v>
      </c>
      <c r="D24" s="306"/>
      <c r="G24" s="314" t="e">
        <f t="shared" ca="1" si="0"/>
        <v>#NAME?</v>
      </c>
      <c r="O24" s="317"/>
    </row>
    <row r="25" spans="2:15" ht="14.25" customHeight="1">
      <c r="B25" s="315"/>
      <c r="C25" s="50" t="s">
        <v>3068</v>
      </c>
      <c r="D25" s="306"/>
      <c r="G25" s="314" t="e">
        <f t="shared" ca="1" si="0"/>
        <v>#NAME?</v>
      </c>
    </row>
    <row r="26" spans="2:15" ht="14.25" customHeight="1">
      <c r="B26" s="318"/>
      <c r="C26" s="319" t="s">
        <v>335</v>
      </c>
      <c r="D26" s="313"/>
      <c r="G26" s="314" t="e">
        <f t="shared" ca="1" si="0"/>
        <v>#NAME?</v>
      </c>
    </row>
    <row r="27" spans="2:15" ht="14.25" customHeight="1">
      <c r="B27" s="315" t="s">
        <v>9</v>
      </c>
      <c r="C27" s="50" t="str">
        <f>LE_DECLARE_TYPE("Vehicle",C28:D55)</f>
        <v>Declared data type VEHICLE</v>
      </c>
      <c r="D27" s="306"/>
      <c r="G27" s="320" t="e">
        <f t="shared" ca="1" si="0"/>
        <v>#NAME?</v>
      </c>
    </row>
    <row r="28" spans="2:15" ht="14.25" customHeight="1">
      <c r="B28" s="315"/>
      <c r="C28" s="321" t="s">
        <v>336</v>
      </c>
      <c r="D28" s="306"/>
      <c r="G28" s="314" t="e">
        <f t="shared" ca="1" si="0"/>
        <v>#NAME?</v>
      </c>
    </row>
    <row r="29" spans="2:15" ht="14.25" customHeight="1">
      <c r="B29" s="315"/>
      <c r="C29" s="322" t="s">
        <v>337</v>
      </c>
      <c r="D29" s="306"/>
      <c r="G29" s="314" t="e">
        <f t="shared" ca="1" si="0"/>
        <v>#NAME?</v>
      </c>
    </row>
    <row r="30" spans="2:15" ht="14.25" customHeight="1">
      <c r="B30" s="315"/>
      <c r="C30" s="50" t="s">
        <v>3069</v>
      </c>
      <c r="D30" s="306"/>
      <c r="G30" s="314" t="e">
        <f t="shared" ca="1" si="0"/>
        <v>#NAME?</v>
      </c>
    </row>
    <row r="31" spans="2:15" ht="14.25" customHeight="1">
      <c r="B31" s="315"/>
      <c r="C31" s="50" t="s">
        <v>3070</v>
      </c>
      <c r="D31" s="306"/>
      <c r="G31" s="314" t="e">
        <f t="shared" ca="1" si="0"/>
        <v>#NAME?</v>
      </c>
    </row>
    <row r="32" spans="2:15" ht="14.25" customHeight="1">
      <c r="B32" s="315"/>
      <c r="C32" s="50" t="s">
        <v>3071</v>
      </c>
      <c r="D32" s="306"/>
      <c r="G32" s="314" t="e">
        <f t="shared" ca="1" si="0"/>
        <v>#NAME?</v>
      </c>
    </row>
    <row r="33" spans="2:7" ht="14.25" customHeight="1">
      <c r="B33" s="315"/>
      <c r="C33" s="50" t="s">
        <v>338</v>
      </c>
      <c r="D33" s="306"/>
      <c r="G33" s="314" t="e">
        <f t="shared" ca="1" si="0"/>
        <v>#NAME?</v>
      </c>
    </row>
    <row r="34" spans="2:7" ht="14.25" customHeight="1">
      <c r="B34" s="315"/>
      <c r="C34" s="50" t="s">
        <v>3072</v>
      </c>
      <c r="D34" s="306"/>
      <c r="G34" s="314" t="e">
        <f t="shared" ca="1" si="0"/>
        <v>#NAME?</v>
      </c>
    </row>
    <row r="35" spans="2:7" ht="14.25" customHeight="1">
      <c r="B35" s="315"/>
      <c r="C35" s="50" t="s">
        <v>108</v>
      </c>
      <c r="D35" s="306"/>
      <c r="G35" s="314" t="e">
        <f t="shared" ca="1" si="0"/>
        <v>#NAME?</v>
      </c>
    </row>
    <row r="36" spans="2:7" ht="14.25" customHeight="1">
      <c r="B36" s="315"/>
      <c r="C36" s="50" t="s">
        <v>3073</v>
      </c>
      <c r="D36" s="306"/>
      <c r="G36" s="314" t="e">
        <f t="shared" ca="1" si="0"/>
        <v>#NAME?</v>
      </c>
    </row>
    <row r="37" spans="2:7" ht="14.25" customHeight="1">
      <c r="B37" s="315"/>
      <c r="C37" s="50" t="s">
        <v>339</v>
      </c>
      <c r="D37" s="306"/>
      <c r="G37" s="314" t="e">
        <f t="shared" ca="1" si="0"/>
        <v>#NAME?</v>
      </c>
    </row>
    <row r="38" spans="2:7" ht="14.25" customHeight="1">
      <c r="B38" s="315"/>
      <c r="C38" s="50" t="s">
        <v>340</v>
      </c>
      <c r="D38" s="306"/>
      <c r="G38" s="314" t="e">
        <f t="shared" ca="1" si="0"/>
        <v>#NAME?</v>
      </c>
    </row>
    <row r="39" spans="2:7" ht="14.25" customHeight="1">
      <c r="B39" s="315"/>
      <c r="C39" s="50" t="s">
        <v>341</v>
      </c>
      <c r="D39" s="306"/>
      <c r="G39" s="314" t="e">
        <f t="shared" ca="1" si="0"/>
        <v>#NAME?</v>
      </c>
    </row>
    <row r="40" spans="2:7" ht="14.25" customHeight="1">
      <c r="B40" s="315"/>
      <c r="C40" s="50" t="s">
        <v>3074</v>
      </c>
      <c r="D40" s="306"/>
      <c r="G40" s="314" t="e">
        <f t="shared" ca="1" si="0"/>
        <v>#NAME?</v>
      </c>
    </row>
    <row r="41" spans="2:7" ht="14.25" customHeight="1">
      <c r="B41" s="315"/>
      <c r="C41" s="50" t="s">
        <v>342</v>
      </c>
      <c r="D41" s="306"/>
      <c r="G41" s="314" t="e">
        <f t="shared" ca="1" si="0"/>
        <v>#NAME?</v>
      </c>
    </row>
    <row r="42" spans="2:7" ht="14.25" customHeight="1">
      <c r="B42" s="315"/>
      <c r="C42" s="50" t="s">
        <v>343</v>
      </c>
      <c r="D42" s="306"/>
      <c r="G42" s="314" t="e">
        <f t="shared" ca="1" si="0"/>
        <v>#NAME?</v>
      </c>
    </row>
    <row r="43" spans="2:7" ht="14.25" customHeight="1">
      <c r="B43" s="315"/>
      <c r="C43" s="50" t="s">
        <v>3075</v>
      </c>
      <c r="D43" s="306"/>
      <c r="G43" s="314" t="e">
        <f t="shared" ca="1" si="0"/>
        <v>#NAME?</v>
      </c>
    </row>
    <row r="44" spans="2:7" ht="14.25" customHeight="1">
      <c r="B44" s="315"/>
      <c r="C44" s="50" t="s">
        <v>344</v>
      </c>
      <c r="D44" s="306"/>
      <c r="G44" s="314" t="e">
        <f t="shared" ca="1" si="0"/>
        <v>#NAME?</v>
      </c>
    </row>
    <row r="45" spans="2:7" ht="14.25" customHeight="1">
      <c r="B45" s="315"/>
      <c r="C45" s="50" t="s">
        <v>3076</v>
      </c>
      <c r="D45" s="306"/>
      <c r="G45" s="314" t="e">
        <f t="shared" ca="1" si="0"/>
        <v>#NAME?</v>
      </c>
    </row>
    <row r="46" spans="2:7" ht="14.25" customHeight="1">
      <c r="B46" s="315"/>
      <c r="C46" s="50" t="s">
        <v>345</v>
      </c>
      <c r="D46" s="306"/>
      <c r="G46" s="314" t="e">
        <f t="shared" ca="1" si="0"/>
        <v>#NAME?</v>
      </c>
    </row>
    <row r="47" spans="2:7" ht="14.25" customHeight="1">
      <c r="B47" s="315"/>
      <c r="C47" s="50" t="s">
        <v>346</v>
      </c>
      <c r="D47" s="306"/>
      <c r="G47" s="314" t="e">
        <f t="shared" ca="1" si="0"/>
        <v>#NAME?</v>
      </c>
    </row>
    <row r="48" spans="2:7" ht="14.25" customHeight="1">
      <c r="B48" s="315"/>
      <c r="C48" s="50" t="s">
        <v>3077</v>
      </c>
      <c r="D48" s="306"/>
      <c r="G48" s="314" t="e">
        <f t="shared" ca="1" si="0"/>
        <v>#NAME?</v>
      </c>
    </row>
    <row r="49" spans="2:7" ht="14.25" customHeight="1">
      <c r="B49" s="315"/>
      <c r="C49" s="50" t="s">
        <v>124</v>
      </c>
      <c r="D49" s="306"/>
      <c r="G49" s="314" t="e">
        <f t="shared" ca="1" si="0"/>
        <v>#NAME?</v>
      </c>
    </row>
    <row r="50" spans="2:7" ht="14.25" customHeight="1">
      <c r="B50" s="315"/>
      <c r="C50" s="50" t="s">
        <v>3078</v>
      </c>
      <c r="D50" s="306"/>
      <c r="G50" s="314" t="e">
        <f t="shared" ca="1" si="0"/>
        <v>#NAME?</v>
      </c>
    </row>
    <row r="51" spans="2:7" ht="14.25" customHeight="1">
      <c r="B51" s="315"/>
      <c r="C51" s="50" t="s">
        <v>3079</v>
      </c>
      <c r="D51" s="306"/>
      <c r="G51" s="314" t="e">
        <f t="shared" ca="1" si="0"/>
        <v>#NAME?</v>
      </c>
    </row>
    <row r="52" spans="2:7" ht="14.25" customHeight="1">
      <c r="B52" s="315"/>
      <c r="C52" s="50" t="s">
        <v>3080</v>
      </c>
      <c r="D52" s="306"/>
      <c r="G52" s="314" t="e">
        <f t="shared" ca="1" si="0"/>
        <v>#NAME?</v>
      </c>
    </row>
    <row r="53" spans="2:7" ht="14.25" customHeight="1">
      <c r="B53" s="315"/>
      <c r="C53" s="323" t="s">
        <v>347</v>
      </c>
      <c r="D53" s="306"/>
      <c r="G53" s="314" t="e">
        <f t="shared" ca="1" si="0"/>
        <v>#NAME?</v>
      </c>
    </row>
    <row r="54" spans="2:7" ht="14.25" customHeight="1">
      <c r="B54" s="315"/>
      <c r="C54" s="50"/>
      <c r="D54" s="324" t="s">
        <v>3081</v>
      </c>
      <c r="G54" s="314" t="e">
        <f t="shared" ca="1" si="0"/>
        <v>#NAME?</v>
      </c>
    </row>
    <row r="55" spans="2:7" ht="14.25" customHeight="1">
      <c r="B55" s="318"/>
      <c r="C55" s="325" t="s">
        <v>348</v>
      </c>
      <c r="D55" s="306"/>
      <c r="G55" s="314" t="e">
        <f t="shared" ca="1" si="0"/>
        <v>#NAME?</v>
      </c>
    </row>
    <row r="56" spans="2:7" ht="14.25" customHeight="1">
      <c r="B56" s="315" t="s">
        <v>10</v>
      </c>
      <c r="C56" s="326" t="str">
        <f>LE_DECLARE_TYPE("Policy",C57:C62)</f>
        <v>Declared data type POLICY</v>
      </c>
      <c r="D56" s="327"/>
      <c r="G56" s="314" t="e">
        <f t="shared" ca="1" si="0"/>
        <v>#NAME?</v>
      </c>
    </row>
    <row r="57" spans="2:7" ht="14.25" customHeight="1">
      <c r="B57" s="315"/>
      <c r="C57" s="321" t="s">
        <v>3082</v>
      </c>
      <c r="D57" s="306"/>
      <c r="G57" s="314" t="e">
        <f t="shared" ca="1" si="0"/>
        <v>#NAME?</v>
      </c>
    </row>
    <row r="58" spans="2:7" ht="14.25" customHeight="1">
      <c r="B58" s="315"/>
      <c r="C58" s="50" t="s">
        <v>3084</v>
      </c>
      <c r="D58" s="306"/>
      <c r="G58" s="314" t="e">
        <f t="shared" ca="1" si="0"/>
        <v>#NAME?</v>
      </c>
    </row>
    <row r="59" spans="2:7" ht="14.25" customHeight="1">
      <c r="B59" s="315"/>
      <c r="C59" s="50" t="s">
        <v>90</v>
      </c>
      <c r="D59" s="306"/>
      <c r="G59" s="314" t="e">
        <f t="shared" ca="1" si="0"/>
        <v>#NAME?</v>
      </c>
    </row>
    <row r="60" spans="2:7" ht="14.25" customHeight="1">
      <c r="B60" s="315"/>
      <c r="C60" s="50" t="s">
        <v>349</v>
      </c>
      <c r="D60" s="306"/>
      <c r="G60" s="314" t="e">
        <f t="shared" ca="1" si="0"/>
        <v>#NAME?</v>
      </c>
    </row>
    <row r="61" spans="2:7" ht="14.25" customHeight="1">
      <c r="B61" s="315"/>
      <c r="C61" s="50" t="s">
        <v>350</v>
      </c>
      <c r="D61" s="306"/>
      <c r="G61" s="314" t="e">
        <f t="shared" ca="1" si="0"/>
        <v>#NAME?</v>
      </c>
    </row>
    <row r="62" spans="2:7" ht="14.25" customHeight="1" thickBot="1">
      <c r="B62" s="328"/>
      <c r="C62" s="329" t="s">
        <v>351</v>
      </c>
      <c r="D62" s="330"/>
      <c r="G62" s="331" t="e">
        <f t="shared" ca="1" si="0"/>
        <v>#NAME?</v>
      </c>
    </row>
  </sheetData>
  <mergeCells count="1"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>
    <tabColor theme="1" tint="0.34998626667073579"/>
  </sheetPr>
  <dimension ref="A2:AN1540"/>
  <sheetViews>
    <sheetView showGridLines="0" topLeftCell="A1087" zoomScale="80" zoomScaleNormal="80" workbookViewId="0">
      <selection activeCell="E1083" sqref="E1083"/>
    </sheetView>
  </sheetViews>
  <sheetFormatPr defaultRowHeight="15"/>
  <cols>
    <col min="1" max="1" width="6.85546875" style="332" customWidth="1"/>
    <col min="3" max="3" width="12.42578125" customWidth="1"/>
    <col min="4" max="5" width="15.140625" customWidth="1"/>
    <col min="7" max="7" width="21" style="333" customWidth="1"/>
    <col min="8" max="8" width="13" customWidth="1"/>
    <col min="9" max="9" width="22.85546875" customWidth="1"/>
    <col min="10" max="10" width="20.5703125" customWidth="1"/>
    <col min="11" max="11" width="9.42578125" bestFit="1" customWidth="1"/>
    <col min="12" max="12" width="13.7109375" customWidth="1"/>
    <col min="13" max="13" width="11.7109375" customWidth="1"/>
    <col min="14" max="14" width="14.42578125" customWidth="1"/>
    <col min="15" max="15" width="16.5703125" customWidth="1"/>
    <col min="17" max="17" width="12.85546875" customWidth="1"/>
    <col min="18" max="18" width="13.5703125" customWidth="1"/>
    <col min="19" max="19" width="14.42578125" customWidth="1"/>
    <col min="20" max="20" width="13" customWidth="1"/>
    <col min="26" max="26" width="13.140625" customWidth="1"/>
    <col min="27" max="27" width="15.5703125" customWidth="1"/>
    <col min="31" max="31" width="14" customWidth="1"/>
  </cols>
  <sheetData>
    <row r="2" spans="1:36" ht="15.75" thickBot="1"/>
    <row r="3" spans="1:36">
      <c r="C3" s="2"/>
      <c r="D3" s="2"/>
      <c r="E3" s="2"/>
      <c r="G3" s="900" t="s">
        <v>352</v>
      </c>
      <c r="H3" s="901"/>
      <c r="I3" s="901"/>
      <c r="J3" s="901"/>
      <c r="K3" s="901"/>
      <c r="L3" s="901"/>
      <c r="M3" s="901"/>
      <c r="N3" s="901"/>
      <c r="O3" s="901"/>
      <c r="P3" s="901"/>
      <c r="Q3" s="901"/>
      <c r="R3" s="901"/>
      <c r="S3" s="901"/>
      <c r="T3" s="901"/>
      <c r="U3" s="901"/>
      <c r="V3" s="901"/>
      <c r="W3" s="901"/>
      <c r="X3" s="901"/>
      <c r="Y3" s="901"/>
      <c r="Z3" s="901"/>
      <c r="AA3" s="901"/>
      <c r="AB3" s="901"/>
      <c r="AC3" s="901"/>
      <c r="AD3" s="901"/>
      <c r="AE3" s="901"/>
      <c r="AF3" s="902"/>
    </row>
    <row r="4" spans="1:36" ht="53.25" customHeight="1" thickBot="1">
      <c r="C4" s="2"/>
      <c r="D4" s="2"/>
      <c r="E4" s="2"/>
      <c r="G4" s="910" t="e">
        <f ca="1">ol_declare_data("Data Sample",G6:AF1527)</f>
        <v>#NAME?</v>
      </c>
      <c r="H4" s="911"/>
      <c r="I4" s="911"/>
      <c r="J4" s="911"/>
      <c r="K4" s="911"/>
      <c r="L4" s="911"/>
      <c r="M4" s="911"/>
      <c r="N4" s="911"/>
      <c r="O4" s="911"/>
      <c r="P4" s="911"/>
      <c r="Q4" s="911"/>
      <c r="R4" s="911"/>
      <c r="S4" s="911"/>
      <c r="T4" s="911"/>
      <c r="U4" s="911"/>
      <c r="V4" s="911"/>
      <c r="W4" s="911"/>
      <c r="X4" s="911"/>
      <c r="Y4" s="911"/>
      <c r="Z4" s="911"/>
      <c r="AA4" s="911"/>
      <c r="AB4" s="911"/>
      <c r="AC4" s="911"/>
      <c r="AD4" s="911"/>
      <c r="AE4" s="911"/>
      <c r="AF4" s="912"/>
    </row>
    <row r="5" spans="1:36">
      <c r="C5" s="2"/>
      <c r="D5" s="2"/>
      <c r="E5" s="2"/>
    </row>
    <row r="6" spans="1:36">
      <c r="G6" s="334" t="s">
        <v>353</v>
      </c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35"/>
    </row>
    <row r="7" spans="1:36">
      <c r="B7" s="336" t="s">
        <v>354</v>
      </c>
      <c r="C7" s="336"/>
      <c r="D7" s="337"/>
      <c r="E7" s="337"/>
      <c r="G7" s="338" t="s">
        <v>355</v>
      </c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339"/>
    </row>
    <row r="8" spans="1:36">
      <c r="B8" s="340">
        <v>1</v>
      </c>
      <c r="D8" s="337" t="e">
        <f>COVERTYPE(B8)</f>
        <v>#REF!</v>
      </c>
      <c r="E8" s="337"/>
      <c r="G8" s="341" t="s">
        <v>356</v>
      </c>
      <c r="H8" s="319"/>
      <c r="I8" s="319"/>
      <c r="J8" s="319"/>
      <c r="K8" s="319"/>
      <c r="L8" s="319"/>
      <c r="M8" s="319"/>
      <c r="N8" s="319"/>
      <c r="O8" s="319"/>
      <c r="P8" s="319"/>
      <c r="Q8" s="319"/>
      <c r="R8" s="319"/>
      <c r="S8" s="319"/>
      <c r="T8" s="319"/>
      <c r="U8" s="319"/>
      <c r="V8" s="319"/>
      <c r="W8" s="319"/>
      <c r="X8" s="319"/>
      <c r="Y8" s="319"/>
      <c r="Z8" s="319"/>
      <c r="AA8" s="319"/>
      <c r="AB8" s="319"/>
      <c r="AC8" s="319"/>
      <c r="AD8" s="319"/>
      <c r="AE8" s="319"/>
      <c r="AF8" s="342"/>
    </row>
    <row r="9" spans="1:36">
      <c r="H9" s="326" t="e">
        <f ca="1">LE_DECLARE_DATA("Policy1", "Policy",G11:L510)</f>
        <v>#NAME?</v>
      </c>
    </row>
    <row r="10" spans="1:36">
      <c r="G10" s="334" t="s">
        <v>353</v>
      </c>
      <c r="I10" s="326"/>
      <c r="J10" s="326"/>
      <c r="K10" s="326"/>
      <c r="L10" s="326"/>
      <c r="M10" s="326"/>
      <c r="N10" s="326"/>
      <c r="O10" s="326"/>
      <c r="P10" s="326"/>
      <c r="Q10" s="326"/>
      <c r="R10" s="326"/>
      <c r="S10" s="326"/>
      <c r="T10" s="326"/>
      <c r="U10" s="326"/>
      <c r="V10" s="326"/>
      <c r="W10" s="326"/>
      <c r="X10" s="326"/>
      <c r="Y10" s="326"/>
      <c r="Z10" s="326"/>
      <c r="AA10" s="326"/>
      <c r="AB10" s="326"/>
      <c r="AC10" s="326"/>
      <c r="AD10" s="326"/>
      <c r="AE10" s="326"/>
      <c r="AF10" s="335"/>
    </row>
    <row r="11" spans="1:36" ht="22.5">
      <c r="B11" s="907" t="s">
        <v>354</v>
      </c>
      <c r="C11" s="907"/>
      <c r="F11" s="343"/>
      <c r="G11" s="344" t="s">
        <v>3082</v>
      </c>
      <c r="H11" s="345" t="s">
        <v>3084</v>
      </c>
      <c r="I11" s="345" t="s">
        <v>90</v>
      </c>
      <c r="J11" s="345" t="s">
        <v>349</v>
      </c>
      <c r="K11" s="345" t="s">
        <v>350</v>
      </c>
      <c r="L11" s="345" t="s">
        <v>351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339"/>
    </row>
    <row r="12" spans="1:36">
      <c r="A12" s="332">
        <v>1</v>
      </c>
      <c r="B12" s="346">
        <v>499</v>
      </c>
      <c r="C12" s="347" t="s">
        <v>357</v>
      </c>
      <c r="D12" s="348">
        <f>IF(B12&lt;&gt;"",B12,C12)</f>
        <v>499</v>
      </c>
      <c r="E12" s="348"/>
      <c r="G12" s="349" t="s">
        <v>358</v>
      </c>
      <c r="H12" s="350">
        <v>5000</v>
      </c>
      <c r="I12" s="350">
        <v>1000</v>
      </c>
      <c r="J12" s="350">
        <v>21200</v>
      </c>
      <c r="K12" s="351">
        <f ca="1">TODAY()</f>
        <v>40394</v>
      </c>
      <c r="L12" s="350" t="s">
        <v>359</v>
      </c>
      <c r="M12" s="50"/>
      <c r="N12" s="50"/>
      <c r="O12" s="352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339"/>
      <c r="AJ12" s="353">
        <v>1</v>
      </c>
    </row>
    <row r="13" spans="1:36">
      <c r="A13" s="332">
        <f>A12+1</f>
        <v>2</v>
      </c>
      <c r="B13" s="908" t="s">
        <v>360</v>
      </c>
      <c r="C13" s="915"/>
      <c r="D13" s="354" t="e">
        <f>KM_PURCHASED(D12)</f>
        <v>#REF!</v>
      </c>
      <c r="E13" s="355"/>
      <c r="G13" s="349" t="s">
        <v>361</v>
      </c>
      <c r="H13" s="350">
        <v>10000</v>
      </c>
      <c r="I13" s="350">
        <v>500</v>
      </c>
      <c r="J13" s="350">
        <v>6950</v>
      </c>
      <c r="K13" s="351">
        <f t="shared" ref="K13:K76" ca="1" si="0">TODAY()</f>
        <v>40394</v>
      </c>
      <c r="L13" s="350" t="s">
        <v>362</v>
      </c>
      <c r="M13" s="50"/>
      <c r="N13" s="50"/>
      <c r="O13" s="352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339"/>
      <c r="AJ13" s="353">
        <f>AJ12+1</f>
        <v>2</v>
      </c>
    </row>
    <row r="14" spans="1:36">
      <c r="A14" s="332">
        <f t="shared" ref="A14:A15" si="1">A13+1</f>
        <v>3</v>
      </c>
      <c r="B14" s="903" t="s">
        <v>363</v>
      </c>
      <c r="C14" s="904"/>
      <c r="D14" s="356" t="e">
        <f>RATEDATE(D12)</f>
        <v>#REF!</v>
      </c>
      <c r="E14" s="357"/>
      <c r="G14" s="349" t="s">
        <v>364</v>
      </c>
      <c r="H14" s="350">
        <v>12000</v>
      </c>
      <c r="I14" s="350">
        <v>500</v>
      </c>
      <c r="J14" s="350">
        <v>54450</v>
      </c>
      <c r="K14" s="351">
        <f t="shared" ca="1" si="0"/>
        <v>40394</v>
      </c>
      <c r="L14" s="350" t="s">
        <v>359</v>
      </c>
      <c r="M14" s="50"/>
      <c r="N14" s="50"/>
      <c r="O14" s="352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339"/>
      <c r="AJ14" s="353">
        <f t="shared" ref="AJ14:AJ77" si="2">AJ13+1</f>
        <v>3</v>
      </c>
    </row>
    <row r="15" spans="1:36">
      <c r="A15" s="332">
        <f t="shared" si="1"/>
        <v>4</v>
      </c>
      <c r="B15" s="905" t="s">
        <v>86</v>
      </c>
      <c r="C15" s="906"/>
      <c r="D15" s="358" t="e">
        <f>DRIVERAGERESTRICTION(D12)</f>
        <v>#REF!</v>
      </c>
      <c r="E15" s="355"/>
      <c r="G15" s="349" t="s">
        <v>365</v>
      </c>
      <c r="H15" s="350">
        <v>5000</v>
      </c>
      <c r="I15" s="350">
        <v>500</v>
      </c>
      <c r="J15" s="350">
        <v>42100</v>
      </c>
      <c r="K15" s="351">
        <f t="shared" ca="1" si="0"/>
        <v>40394</v>
      </c>
      <c r="L15" s="350" t="s">
        <v>359</v>
      </c>
      <c r="M15" s="50"/>
      <c r="N15" s="50"/>
      <c r="O15" s="352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339"/>
      <c r="AJ15" s="353">
        <f t="shared" si="2"/>
        <v>4</v>
      </c>
    </row>
    <row r="16" spans="1:36">
      <c r="A16" s="332">
        <f>1+A15</f>
        <v>5</v>
      </c>
      <c r="G16" s="349" t="s">
        <v>366</v>
      </c>
      <c r="H16" s="350">
        <v>12000</v>
      </c>
      <c r="I16" s="350">
        <v>500</v>
      </c>
      <c r="J16" s="350">
        <v>44000</v>
      </c>
      <c r="K16" s="351">
        <f t="shared" ca="1" si="0"/>
        <v>40394</v>
      </c>
      <c r="L16" s="350" t="s">
        <v>362</v>
      </c>
      <c r="M16" s="50"/>
      <c r="N16" s="50"/>
      <c r="O16" s="352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339"/>
      <c r="AJ16" s="353">
        <f t="shared" si="2"/>
        <v>5</v>
      </c>
    </row>
    <row r="17" spans="1:36">
      <c r="A17" s="332">
        <f t="shared" ref="A17:A80" si="3">1+A16</f>
        <v>6</v>
      </c>
      <c r="G17" s="349" t="s">
        <v>367</v>
      </c>
      <c r="H17" s="350">
        <v>5000</v>
      </c>
      <c r="I17" s="350">
        <v>500</v>
      </c>
      <c r="J17" s="350">
        <v>8500</v>
      </c>
      <c r="K17" s="351">
        <f t="shared" ca="1" si="0"/>
        <v>40394</v>
      </c>
      <c r="L17" s="350" t="s">
        <v>359</v>
      </c>
      <c r="M17" s="50"/>
      <c r="N17" s="50"/>
      <c r="O17" s="352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339"/>
      <c r="AJ17" s="353">
        <f t="shared" si="2"/>
        <v>6</v>
      </c>
    </row>
    <row r="18" spans="1:36">
      <c r="A18" s="332">
        <f t="shared" si="3"/>
        <v>7</v>
      </c>
      <c r="G18" s="349" t="s">
        <v>368</v>
      </c>
      <c r="H18" s="350">
        <v>10000</v>
      </c>
      <c r="I18" s="350">
        <v>500</v>
      </c>
      <c r="J18" s="350">
        <v>6750</v>
      </c>
      <c r="K18" s="351">
        <f t="shared" ca="1" si="0"/>
        <v>40394</v>
      </c>
      <c r="L18" s="350" t="s">
        <v>359</v>
      </c>
      <c r="M18" s="50"/>
      <c r="N18" s="50"/>
      <c r="O18" s="352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339"/>
      <c r="AJ18" s="353">
        <f t="shared" si="2"/>
        <v>7</v>
      </c>
    </row>
    <row r="19" spans="1:36">
      <c r="A19" s="332">
        <f t="shared" si="3"/>
        <v>8</v>
      </c>
      <c r="E19" t="e">
        <f>po</f>
        <v>#NAME?</v>
      </c>
      <c r="G19" s="349" t="s">
        <v>369</v>
      </c>
      <c r="H19" s="350">
        <v>7000</v>
      </c>
      <c r="I19" s="350">
        <v>1000</v>
      </c>
      <c r="J19" s="350">
        <v>18000</v>
      </c>
      <c r="K19" s="351">
        <f t="shared" ca="1" si="0"/>
        <v>40394</v>
      </c>
      <c r="L19" s="350" t="s">
        <v>362</v>
      </c>
      <c r="M19" s="50"/>
      <c r="N19" s="50"/>
      <c r="O19" s="352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339"/>
      <c r="AJ19" s="353">
        <f t="shared" si="2"/>
        <v>8</v>
      </c>
    </row>
    <row r="20" spans="1:36">
      <c r="A20" s="332">
        <f t="shared" si="3"/>
        <v>9</v>
      </c>
      <c r="G20" s="349" t="s">
        <v>370</v>
      </c>
      <c r="H20" s="350">
        <v>15000</v>
      </c>
      <c r="I20" s="350">
        <v>800</v>
      </c>
      <c r="J20" s="350">
        <v>20000</v>
      </c>
      <c r="K20" s="351">
        <f t="shared" ca="1" si="0"/>
        <v>40394</v>
      </c>
      <c r="L20" s="350" t="s">
        <v>359</v>
      </c>
      <c r="M20" s="50"/>
      <c r="N20" s="50"/>
      <c r="O20" s="352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339"/>
      <c r="AJ20" s="353">
        <f t="shared" si="2"/>
        <v>9</v>
      </c>
    </row>
    <row r="21" spans="1:36">
      <c r="A21" s="332">
        <f t="shared" si="3"/>
        <v>10</v>
      </c>
      <c r="G21" s="349" t="s">
        <v>371</v>
      </c>
      <c r="H21" s="350">
        <v>5500</v>
      </c>
      <c r="I21" s="350">
        <v>500</v>
      </c>
      <c r="J21" s="350">
        <v>12000</v>
      </c>
      <c r="K21" s="351">
        <f t="shared" ca="1" si="0"/>
        <v>40394</v>
      </c>
      <c r="L21" s="350" t="s">
        <v>359</v>
      </c>
      <c r="M21" s="50"/>
      <c r="N21" s="50"/>
      <c r="O21" s="352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339"/>
      <c r="AJ21" s="353">
        <f t="shared" si="2"/>
        <v>10</v>
      </c>
    </row>
    <row r="22" spans="1:36">
      <c r="A22" s="332">
        <f t="shared" si="3"/>
        <v>11</v>
      </c>
      <c r="G22" s="349" t="s">
        <v>372</v>
      </c>
      <c r="H22" s="350">
        <v>12000</v>
      </c>
      <c r="I22" s="350">
        <v>500</v>
      </c>
      <c r="J22" s="350">
        <v>19000</v>
      </c>
      <c r="K22" s="351">
        <f t="shared" ca="1" si="0"/>
        <v>40394</v>
      </c>
      <c r="L22" s="350" t="s">
        <v>359</v>
      </c>
      <c r="M22" s="50"/>
      <c r="O22" s="352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339"/>
      <c r="AJ22" s="353">
        <f t="shared" si="2"/>
        <v>11</v>
      </c>
    </row>
    <row r="23" spans="1:36">
      <c r="A23" s="332">
        <f t="shared" si="3"/>
        <v>12</v>
      </c>
      <c r="G23" s="349" t="s">
        <v>373</v>
      </c>
      <c r="H23" s="350">
        <v>8000</v>
      </c>
      <c r="I23" s="350">
        <v>600</v>
      </c>
      <c r="J23" s="350">
        <v>19400</v>
      </c>
      <c r="K23" s="351">
        <f t="shared" ca="1" si="0"/>
        <v>40394</v>
      </c>
      <c r="L23" s="350" t="s">
        <v>359</v>
      </c>
      <c r="M23" s="50"/>
      <c r="O23" s="352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339"/>
      <c r="AJ23" s="353">
        <f t="shared" si="2"/>
        <v>12</v>
      </c>
    </row>
    <row r="24" spans="1:36">
      <c r="A24" s="332">
        <f t="shared" si="3"/>
        <v>13</v>
      </c>
      <c r="G24" s="349" t="s">
        <v>374</v>
      </c>
      <c r="H24" s="350">
        <v>10000</v>
      </c>
      <c r="I24" s="350">
        <v>600</v>
      </c>
      <c r="J24" s="350">
        <v>18000</v>
      </c>
      <c r="K24" s="351">
        <f t="shared" ca="1" si="0"/>
        <v>40394</v>
      </c>
      <c r="L24" s="350" t="s">
        <v>359</v>
      </c>
      <c r="M24" s="50"/>
      <c r="N24" s="50"/>
      <c r="O24" s="352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339"/>
      <c r="AJ24" s="353">
        <f t="shared" si="2"/>
        <v>13</v>
      </c>
    </row>
    <row r="25" spans="1:36">
      <c r="A25" s="332">
        <f t="shared" si="3"/>
        <v>14</v>
      </c>
      <c r="G25" s="349" t="s">
        <v>375</v>
      </c>
      <c r="H25" s="350">
        <v>12000</v>
      </c>
      <c r="I25" s="350">
        <v>500</v>
      </c>
      <c r="J25" s="350">
        <v>13850</v>
      </c>
      <c r="K25" s="351">
        <f t="shared" ca="1" si="0"/>
        <v>40394</v>
      </c>
      <c r="L25" s="350" t="s">
        <v>359</v>
      </c>
      <c r="M25" s="50"/>
      <c r="N25" s="50"/>
      <c r="O25" s="352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339"/>
      <c r="AJ25" s="353">
        <f t="shared" si="2"/>
        <v>14</v>
      </c>
    </row>
    <row r="26" spans="1:36">
      <c r="A26" s="332">
        <f t="shared" si="3"/>
        <v>15</v>
      </c>
      <c r="G26" s="349" t="s">
        <v>376</v>
      </c>
      <c r="H26" s="350">
        <v>5500</v>
      </c>
      <c r="I26" s="350">
        <v>500</v>
      </c>
      <c r="J26" s="350">
        <v>15000</v>
      </c>
      <c r="K26" s="351">
        <f t="shared" ca="1" si="0"/>
        <v>40394</v>
      </c>
      <c r="L26" s="350" t="s">
        <v>359</v>
      </c>
      <c r="M26" s="50"/>
      <c r="N26" s="50"/>
      <c r="O26" s="352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339"/>
      <c r="AJ26" s="353">
        <f t="shared" si="2"/>
        <v>15</v>
      </c>
    </row>
    <row r="27" spans="1:36">
      <c r="A27" s="332">
        <f t="shared" si="3"/>
        <v>16</v>
      </c>
      <c r="G27" s="349" t="s">
        <v>377</v>
      </c>
      <c r="H27" s="350">
        <v>8000</v>
      </c>
      <c r="I27" s="350">
        <v>500</v>
      </c>
      <c r="J27" s="350">
        <v>8000</v>
      </c>
      <c r="K27" s="351">
        <f t="shared" ca="1" si="0"/>
        <v>40394</v>
      </c>
      <c r="L27" s="350" t="s">
        <v>359</v>
      </c>
      <c r="M27" s="50"/>
      <c r="N27" s="50"/>
      <c r="O27" s="352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339"/>
      <c r="AJ27" s="353">
        <f t="shared" si="2"/>
        <v>16</v>
      </c>
    </row>
    <row r="28" spans="1:36">
      <c r="A28" s="332">
        <f t="shared" si="3"/>
        <v>17</v>
      </c>
      <c r="G28" s="349" t="s">
        <v>378</v>
      </c>
      <c r="H28" s="350">
        <v>7000</v>
      </c>
      <c r="I28" s="350">
        <v>500</v>
      </c>
      <c r="J28" s="350">
        <v>7000</v>
      </c>
      <c r="K28" s="351">
        <f t="shared" ca="1" si="0"/>
        <v>40394</v>
      </c>
      <c r="L28" s="350" t="s">
        <v>362</v>
      </c>
      <c r="M28" s="50"/>
      <c r="N28" s="50"/>
      <c r="O28" s="352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339"/>
      <c r="AJ28" s="353">
        <f t="shared" si="2"/>
        <v>17</v>
      </c>
    </row>
    <row r="29" spans="1:36">
      <c r="A29" s="332">
        <f t="shared" si="3"/>
        <v>18</v>
      </c>
      <c r="G29" s="349" t="s">
        <v>379</v>
      </c>
      <c r="H29" s="350">
        <v>10000</v>
      </c>
      <c r="I29" s="350">
        <v>2000</v>
      </c>
      <c r="J29" s="350">
        <v>8900</v>
      </c>
      <c r="K29" s="351">
        <f t="shared" ca="1" si="0"/>
        <v>40394</v>
      </c>
      <c r="L29" s="350" t="s">
        <v>359</v>
      </c>
      <c r="M29" s="50"/>
      <c r="N29" s="50"/>
      <c r="O29" s="352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339"/>
      <c r="AJ29" s="353">
        <f t="shared" si="2"/>
        <v>18</v>
      </c>
    </row>
    <row r="30" spans="1:36">
      <c r="A30" s="332">
        <f t="shared" si="3"/>
        <v>19</v>
      </c>
      <c r="G30" s="349" t="s">
        <v>380</v>
      </c>
      <c r="H30" s="350">
        <v>15000</v>
      </c>
      <c r="I30" s="350">
        <v>500</v>
      </c>
      <c r="J30" s="350">
        <v>5800</v>
      </c>
      <c r="K30" s="351">
        <f t="shared" ca="1" si="0"/>
        <v>40394</v>
      </c>
      <c r="L30" s="350" t="s">
        <v>359</v>
      </c>
      <c r="M30" s="50"/>
      <c r="N30" s="50"/>
      <c r="O30" s="352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339"/>
      <c r="AJ30" s="353">
        <f t="shared" si="2"/>
        <v>19</v>
      </c>
    </row>
    <row r="31" spans="1:36">
      <c r="A31" s="332">
        <f t="shared" si="3"/>
        <v>20</v>
      </c>
      <c r="G31" s="349" t="s">
        <v>381</v>
      </c>
      <c r="H31" s="350">
        <v>5000</v>
      </c>
      <c r="I31" s="350">
        <v>500</v>
      </c>
      <c r="J31" s="350">
        <v>25150</v>
      </c>
      <c r="K31" s="351">
        <f t="shared" ca="1" si="0"/>
        <v>40394</v>
      </c>
      <c r="L31" s="350" t="s">
        <v>359</v>
      </c>
      <c r="M31" s="50"/>
      <c r="N31" s="50"/>
      <c r="O31" s="352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339"/>
      <c r="AJ31" s="353">
        <f t="shared" si="2"/>
        <v>20</v>
      </c>
    </row>
    <row r="32" spans="1:36">
      <c r="A32" s="332">
        <f t="shared" si="3"/>
        <v>21</v>
      </c>
      <c r="G32" s="349" t="s">
        <v>382</v>
      </c>
      <c r="H32" s="350">
        <v>10000</v>
      </c>
      <c r="I32" s="350">
        <v>500</v>
      </c>
      <c r="J32" s="350">
        <v>12500</v>
      </c>
      <c r="K32" s="351">
        <f t="shared" ca="1" si="0"/>
        <v>40394</v>
      </c>
      <c r="L32" s="350" t="s">
        <v>359</v>
      </c>
      <c r="M32" s="50"/>
      <c r="N32" s="50"/>
      <c r="O32" s="352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339"/>
      <c r="AJ32" s="353">
        <f t="shared" si="2"/>
        <v>21</v>
      </c>
    </row>
    <row r="33" spans="1:36">
      <c r="A33" s="332">
        <f t="shared" si="3"/>
        <v>22</v>
      </c>
      <c r="G33" s="349" t="s">
        <v>383</v>
      </c>
      <c r="H33" s="350">
        <v>6000</v>
      </c>
      <c r="I33" s="350">
        <v>500</v>
      </c>
      <c r="J33" s="350">
        <v>3850</v>
      </c>
      <c r="K33" s="351">
        <f t="shared" ca="1" si="0"/>
        <v>40394</v>
      </c>
      <c r="L33" s="350" t="s">
        <v>359</v>
      </c>
      <c r="M33" s="50"/>
      <c r="N33" s="50"/>
      <c r="O33" s="352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339"/>
      <c r="AJ33" s="353">
        <f t="shared" si="2"/>
        <v>22</v>
      </c>
    </row>
    <row r="34" spans="1:36">
      <c r="A34" s="332">
        <f t="shared" si="3"/>
        <v>23</v>
      </c>
      <c r="G34" s="349" t="s">
        <v>384</v>
      </c>
      <c r="H34" s="350">
        <v>5000</v>
      </c>
      <c r="I34" s="350">
        <v>500</v>
      </c>
      <c r="J34" s="350">
        <v>5000</v>
      </c>
      <c r="K34" s="351">
        <f t="shared" ca="1" si="0"/>
        <v>40394</v>
      </c>
      <c r="L34" s="350" t="s">
        <v>359</v>
      </c>
      <c r="M34" s="50"/>
      <c r="N34" s="50"/>
      <c r="O34" s="352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339"/>
      <c r="AJ34" s="353">
        <f t="shared" si="2"/>
        <v>23</v>
      </c>
    </row>
    <row r="35" spans="1:36">
      <c r="A35" s="332">
        <f t="shared" si="3"/>
        <v>24</v>
      </c>
      <c r="G35" s="349" t="s">
        <v>385</v>
      </c>
      <c r="H35" s="350">
        <v>7000</v>
      </c>
      <c r="I35" s="350">
        <v>700</v>
      </c>
      <c r="J35" s="350">
        <v>23999</v>
      </c>
      <c r="K35" s="351">
        <f t="shared" ca="1" si="0"/>
        <v>40394</v>
      </c>
      <c r="L35" s="350" t="s">
        <v>359</v>
      </c>
      <c r="M35" s="50"/>
      <c r="N35" s="50"/>
      <c r="O35" s="352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339"/>
      <c r="AJ35" s="353">
        <f t="shared" si="2"/>
        <v>24</v>
      </c>
    </row>
    <row r="36" spans="1:36">
      <c r="A36" s="332">
        <f t="shared" si="3"/>
        <v>25</v>
      </c>
      <c r="G36" s="349" t="s">
        <v>386</v>
      </c>
      <c r="H36" s="350">
        <v>5000</v>
      </c>
      <c r="I36" s="350">
        <v>1000</v>
      </c>
      <c r="J36" s="350">
        <v>5000</v>
      </c>
      <c r="K36" s="351">
        <f t="shared" ca="1" si="0"/>
        <v>40394</v>
      </c>
      <c r="L36" s="350" t="s">
        <v>359</v>
      </c>
      <c r="M36" s="50"/>
      <c r="N36" s="50"/>
      <c r="O36" s="352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339"/>
      <c r="AJ36" s="353">
        <f t="shared" si="2"/>
        <v>25</v>
      </c>
    </row>
    <row r="37" spans="1:36">
      <c r="A37" s="332">
        <f t="shared" si="3"/>
        <v>26</v>
      </c>
      <c r="G37" s="349" t="s">
        <v>387</v>
      </c>
      <c r="H37" s="350">
        <v>8000</v>
      </c>
      <c r="I37" s="350">
        <v>500</v>
      </c>
      <c r="J37" s="350">
        <v>7799</v>
      </c>
      <c r="K37" s="351">
        <f t="shared" ca="1" si="0"/>
        <v>40394</v>
      </c>
      <c r="L37" s="350" t="s">
        <v>359</v>
      </c>
      <c r="M37" s="50"/>
      <c r="N37" s="50"/>
      <c r="O37" s="352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339"/>
      <c r="AJ37" s="353">
        <f t="shared" si="2"/>
        <v>26</v>
      </c>
    </row>
    <row r="38" spans="1:36">
      <c r="A38" s="332">
        <f t="shared" si="3"/>
        <v>27</v>
      </c>
      <c r="G38" s="349" t="s">
        <v>388</v>
      </c>
      <c r="H38" s="350">
        <v>10000</v>
      </c>
      <c r="I38" s="350">
        <v>500</v>
      </c>
      <c r="J38" s="350">
        <v>6500</v>
      </c>
      <c r="K38" s="351">
        <f t="shared" ca="1" si="0"/>
        <v>40394</v>
      </c>
      <c r="L38" s="350" t="s">
        <v>362</v>
      </c>
      <c r="M38" s="50"/>
      <c r="N38" s="50"/>
      <c r="O38" s="352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339"/>
      <c r="AJ38" s="353">
        <f t="shared" si="2"/>
        <v>27</v>
      </c>
    </row>
    <row r="39" spans="1:36">
      <c r="A39" s="332">
        <f t="shared" si="3"/>
        <v>28</v>
      </c>
      <c r="G39" s="349" t="s">
        <v>389</v>
      </c>
      <c r="H39" s="350">
        <v>5000</v>
      </c>
      <c r="I39" s="350">
        <v>500</v>
      </c>
      <c r="J39" s="350">
        <v>15000</v>
      </c>
      <c r="K39" s="351">
        <f t="shared" ca="1" si="0"/>
        <v>40394</v>
      </c>
      <c r="L39" s="350" t="s">
        <v>359</v>
      </c>
      <c r="M39" s="50"/>
      <c r="N39" s="50"/>
      <c r="O39" s="352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339"/>
      <c r="AJ39" s="353">
        <f t="shared" si="2"/>
        <v>28</v>
      </c>
    </row>
    <row r="40" spans="1:36">
      <c r="A40" s="332">
        <f t="shared" si="3"/>
        <v>29</v>
      </c>
      <c r="G40" s="349" t="s">
        <v>390</v>
      </c>
      <c r="H40" s="350">
        <v>5000</v>
      </c>
      <c r="I40" s="350">
        <v>500</v>
      </c>
      <c r="J40" s="350">
        <v>7500</v>
      </c>
      <c r="K40" s="351">
        <f t="shared" ca="1" si="0"/>
        <v>40394</v>
      </c>
      <c r="L40" s="350" t="s">
        <v>359</v>
      </c>
      <c r="M40" s="50"/>
      <c r="N40" s="50"/>
      <c r="O40" s="352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339"/>
      <c r="AJ40" s="353">
        <f t="shared" si="2"/>
        <v>29</v>
      </c>
    </row>
    <row r="41" spans="1:36">
      <c r="A41" s="332">
        <f t="shared" si="3"/>
        <v>30</v>
      </c>
      <c r="G41" s="349" t="s">
        <v>391</v>
      </c>
      <c r="H41" s="350">
        <v>15000</v>
      </c>
      <c r="I41" s="350">
        <v>600</v>
      </c>
      <c r="J41" s="350">
        <v>12000</v>
      </c>
      <c r="K41" s="351">
        <f t="shared" ca="1" si="0"/>
        <v>40394</v>
      </c>
      <c r="L41" s="350" t="s">
        <v>359</v>
      </c>
      <c r="M41" s="50"/>
      <c r="N41" s="50"/>
      <c r="O41" s="352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339"/>
      <c r="AJ41" s="353">
        <f t="shared" si="2"/>
        <v>30</v>
      </c>
    </row>
    <row r="42" spans="1:36">
      <c r="A42" s="332">
        <f t="shared" si="3"/>
        <v>31</v>
      </c>
      <c r="G42" s="349" t="s">
        <v>392</v>
      </c>
      <c r="H42" s="350">
        <v>10000</v>
      </c>
      <c r="I42" s="350">
        <v>500</v>
      </c>
      <c r="J42" s="350">
        <v>26695</v>
      </c>
      <c r="K42" s="351">
        <f t="shared" ca="1" si="0"/>
        <v>40394</v>
      </c>
      <c r="L42" s="350" t="s">
        <v>359</v>
      </c>
      <c r="M42" s="50"/>
      <c r="N42" s="50"/>
      <c r="O42" s="352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339"/>
      <c r="AJ42" s="353">
        <f t="shared" si="2"/>
        <v>31</v>
      </c>
    </row>
    <row r="43" spans="1:36">
      <c r="A43" s="332">
        <f t="shared" si="3"/>
        <v>32</v>
      </c>
      <c r="G43" s="349" t="s">
        <v>393</v>
      </c>
      <c r="H43" s="350">
        <v>10000</v>
      </c>
      <c r="I43" s="350">
        <v>500</v>
      </c>
      <c r="J43" s="350">
        <v>23990</v>
      </c>
      <c r="K43" s="351">
        <f t="shared" ca="1" si="0"/>
        <v>40394</v>
      </c>
      <c r="L43" s="350" t="s">
        <v>359</v>
      </c>
      <c r="M43" s="50"/>
      <c r="N43" s="50"/>
      <c r="O43" s="352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339"/>
      <c r="AJ43" s="353">
        <f t="shared" si="2"/>
        <v>32</v>
      </c>
    </row>
    <row r="44" spans="1:36">
      <c r="A44" s="332">
        <f t="shared" si="3"/>
        <v>33</v>
      </c>
      <c r="G44" s="349" t="s">
        <v>394</v>
      </c>
      <c r="H44" s="350">
        <v>8000</v>
      </c>
      <c r="I44" s="359">
        <v>500</v>
      </c>
      <c r="J44" s="350">
        <v>4000</v>
      </c>
      <c r="K44" s="351">
        <f t="shared" ca="1" si="0"/>
        <v>40394</v>
      </c>
      <c r="L44" s="350" t="s">
        <v>362</v>
      </c>
      <c r="M44" s="50"/>
      <c r="N44" s="50"/>
      <c r="O44" s="352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339"/>
      <c r="AJ44" s="353">
        <f t="shared" si="2"/>
        <v>33</v>
      </c>
    </row>
    <row r="45" spans="1:36">
      <c r="A45" s="332">
        <f t="shared" si="3"/>
        <v>34</v>
      </c>
      <c r="G45" s="349" t="s">
        <v>395</v>
      </c>
      <c r="H45" s="350">
        <v>5000</v>
      </c>
      <c r="I45" s="359">
        <v>500</v>
      </c>
      <c r="J45" s="350">
        <v>5200</v>
      </c>
      <c r="K45" s="351">
        <f t="shared" ca="1" si="0"/>
        <v>40394</v>
      </c>
      <c r="L45" s="350" t="s">
        <v>359</v>
      </c>
      <c r="M45" s="50"/>
      <c r="N45" s="50"/>
      <c r="O45" s="352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339"/>
      <c r="AJ45" s="353">
        <f t="shared" si="2"/>
        <v>34</v>
      </c>
    </row>
    <row r="46" spans="1:36">
      <c r="A46" s="332">
        <f t="shared" si="3"/>
        <v>35</v>
      </c>
      <c r="G46" s="349" t="s">
        <v>396</v>
      </c>
      <c r="H46" s="350">
        <v>10000</v>
      </c>
      <c r="I46" s="359">
        <v>500</v>
      </c>
      <c r="J46" s="350">
        <v>19950</v>
      </c>
      <c r="K46" s="351">
        <f t="shared" ca="1" si="0"/>
        <v>40394</v>
      </c>
      <c r="L46" s="350" t="s">
        <v>359</v>
      </c>
      <c r="M46" s="50"/>
      <c r="N46" s="50"/>
      <c r="O46" s="352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339"/>
      <c r="AJ46" s="353">
        <f t="shared" si="2"/>
        <v>35</v>
      </c>
    </row>
    <row r="47" spans="1:36">
      <c r="A47" s="332">
        <f t="shared" si="3"/>
        <v>36</v>
      </c>
      <c r="G47" s="349" t="s">
        <v>397</v>
      </c>
      <c r="H47" s="350">
        <v>10000</v>
      </c>
      <c r="I47" s="350">
        <v>600</v>
      </c>
      <c r="J47" s="350">
        <v>21450</v>
      </c>
      <c r="K47" s="351">
        <f t="shared" ca="1" si="0"/>
        <v>40394</v>
      </c>
      <c r="L47" s="350" t="s">
        <v>359</v>
      </c>
      <c r="M47" s="50"/>
      <c r="N47" s="50"/>
      <c r="O47" s="352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339"/>
      <c r="AJ47" s="353">
        <f t="shared" si="2"/>
        <v>36</v>
      </c>
    </row>
    <row r="48" spans="1:36">
      <c r="A48" s="332">
        <f t="shared" si="3"/>
        <v>37</v>
      </c>
      <c r="G48" s="349" t="s">
        <v>398</v>
      </c>
      <c r="H48" s="350">
        <v>10000</v>
      </c>
      <c r="I48" s="350">
        <v>500</v>
      </c>
      <c r="J48" s="350">
        <v>8900</v>
      </c>
      <c r="K48" s="351">
        <f t="shared" ca="1" si="0"/>
        <v>40394</v>
      </c>
      <c r="L48" s="350" t="s">
        <v>359</v>
      </c>
      <c r="M48" s="50"/>
      <c r="N48" s="50"/>
      <c r="O48" s="352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339"/>
      <c r="AJ48" s="353">
        <f t="shared" si="2"/>
        <v>37</v>
      </c>
    </row>
    <row r="49" spans="1:36">
      <c r="A49" s="332">
        <f t="shared" si="3"/>
        <v>38</v>
      </c>
      <c r="G49" s="349" t="s">
        <v>399</v>
      </c>
      <c r="H49" s="350">
        <v>10000</v>
      </c>
      <c r="I49" s="350">
        <v>500</v>
      </c>
      <c r="J49" s="350">
        <v>17000</v>
      </c>
      <c r="K49" s="351">
        <f t="shared" ca="1" si="0"/>
        <v>40394</v>
      </c>
      <c r="L49" s="350" t="s">
        <v>359</v>
      </c>
      <c r="M49" s="50"/>
      <c r="N49" s="50"/>
      <c r="O49" s="352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339"/>
      <c r="AJ49" s="353">
        <f t="shared" si="2"/>
        <v>38</v>
      </c>
    </row>
    <row r="50" spans="1:36">
      <c r="A50" s="332">
        <f t="shared" si="3"/>
        <v>39</v>
      </c>
      <c r="G50" s="349" t="s">
        <v>400</v>
      </c>
      <c r="H50" s="350">
        <v>10000</v>
      </c>
      <c r="I50" s="350">
        <v>500</v>
      </c>
      <c r="J50" s="350">
        <v>9900</v>
      </c>
      <c r="K50" s="351">
        <f t="shared" ca="1" si="0"/>
        <v>40394</v>
      </c>
      <c r="L50" s="350" t="s">
        <v>359</v>
      </c>
      <c r="M50" s="50"/>
      <c r="N50" s="50"/>
      <c r="O50" s="352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339"/>
      <c r="AJ50" s="353">
        <f t="shared" si="2"/>
        <v>39</v>
      </c>
    </row>
    <row r="51" spans="1:36">
      <c r="A51" s="332">
        <f t="shared" si="3"/>
        <v>40</v>
      </c>
      <c r="G51" s="349" t="s">
        <v>401</v>
      </c>
      <c r="H51" s="350">
        <v>6000</v>
      </c>
      <c r="I51" s="350">
        <v>500</v>
      </c>
      <c r="J51" s="350">
        <v>4450</v>
      </c>
      <c r="K51" s="351">
        <f t="shared" ca="1" si="0"/>
        <v>40394</v>
      </c>
      <c r="L51" s="350" t="s">
        <v>359</v>
      </c>
      <c r="M51" s="50"/>
      <c r="N51" s="50"/>
      <c r="O51" s="352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339"/>
      <c r="AJ51" s="353">
        <f t="shared" si="2"/>
        <v>40</v>
      </c>
    </row>
    <row r="52" spans="1:36">
      <c r="A52" s="332">
        <f t="shared" si="3"/>
        <v>41</v>
      </c>
      <c r="G52" s="349" t="s">
        <v>402</v>
      </c>
      <c r="H52" s="350">
        <v>5000</v>
      </c>
      <c r="I52" s="350">
        <v>500</v>
      </c>
      <c r="J52" s="350">
        <v>12000</v>
      </c>
      <c r="K52" s="351">
        <f t="shared" ca="1" si="0"/>
        <v>40394</v>
      </c>
      <c r="L52" s="350" t="s">
        <v>359</v>
      </c>
      <c r="M52" s="50"/>
      <c r="N52" s="50"/>
      <c r="O52" s="352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339"/>
      <c r="AJ52" s="353">
        <f t="shared" si="2"/>
        <v>41</v>
      </c>
    </row>
    <row r="53" spans="1:36">
      <c r="A53" s="332">
        <f t="shared" si="3"/>
        <v>42</v>
      </c>
      <c r="G53" s="349" t="s">
        <v>403</v>
      </c>
      <c r="H53" s="350">
        <v>12000</v>
      </c>
      <c r="I53" s="350">
        <v>900</v>
      </c>
      <c r="J53" s="350">
        <v>3650</v>
      </c>
      <c r="K53" s="351">
        <f t="shared" ca="1" si="0"/>
        <v>40394</v>
      </c>
      <c r="L53" s="350" t="s">
        <v>362</v>
      </c>
      <c r="M53" s="50"/>
      <c r="N53" s="50"/>
      <c r="O53" s="352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339"/>
      <c r="AJ53" s="353">
        <f t="shared" si="2"/>
        <v>42</v>
      </c>
    </row>
    <row r="54" spans="1:36">
      <c r="A54" s="332">
        <f t="shared" si="3"/>
        <v>43</v>
      </c>
      <c r="G54" s="349" t="s">
        <v>404</v>
      </c>
      <c r="H54" s="350">
        <v>5000</v>
      </c>
      <c r="I54" s="350">
        <v>500</v>
      </c>
      <c r="J54" s="350">
        <v>2500</v>
      </c>
      <c r="K54" s="351">
        <f t="shared" ca="1" si="0"/>
        <v>40394</v>
      </c>
      <c r="L54" s="350" t="s">
        <v>359</v>
      </c>
      <c r="M54" s="50"/>
      <c r="N54" s="50"/>
      <c r="O54" s="352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339"/>
      <c r="AJ54" s="353">
        <f t="shared" si="2"/>
        <v>43</v>
      </c>
    </row>
    <row r="55" spans="1:36">
      <c r="A55" s="332">
        <f t="shared" si="3"/>
        <v>44</v>
      </c>
      <c r="G55" s="349" t="s">
        <v>405</v>
      </c>
      <c r="H55" s="350">
        <v>6500</v>
      </c>
      <c r="I55" s="350">
        <v>500</v>
      </c>
      <c r="J55" s="350">
        <v>6200</v>
      </c>
      <c r="K55" s="351">
        <f t="shared" ca="1" si="0"/>
        <v>40394</v>
      </c>
      <c r="L55" s="350" t="s">
        <v>359</v>
      </c>
      <c r="M55" s="50"/>
      <c r="N55" s="50"/>
      <c r="O55" s="352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339"/>
      <c r="AJ55" s="353">
        <f t="shared" si="2"/>
        <v>44</v>
      </c>
    </row>
    <row r="56" spans="1:36">
      <c r="A56" s="332">
        <f t="shared" si="3"/>
        <v>45</v>
      </c>
      <c r="G56" s="349" t="s">
        <v>406</v>
      </c>
      <c r="H56" s="350">
        <v>5000</v>
      </c>
      <c r="I56" s="350">
        <v>500</v>
      </c>
      <c r="J56" s="350">
        <v>11000</v>
      </c>
      <c r="K56" s="351">
        <f t="shared" ca="1" si="0"/>
        <v>40394</v>
      </c>
      <c r="L56" s="350" t="s">
        <v>359</v>
      </c>
      <c r="M56" s="50"/>
      <c r="N56" s="50"/>
      <c r="O56" s="352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339"/>
      <c r="AJ56" s="353">
        <f t="shared" si="2"/>
        <v>45</v>
      </c>
    </row>
    <row r="57" spans="1:36">
      <c r="A57" s="332">
        <f t="shared" si="3"/>
        <v>46</v>
      </c>
      <c r="G57" s="349" t="s">
        <v>407</v>
      </c>
      <c r="H57" s="350">
        <v>5000</v>
      </c>
      <c r="I57" s="350">
        <v>500</v>
      </c>
      <c r="J57" s="350">
        <v>2250</v>
      </c>
      <c r="K57" s="351">
        <f t="shared" ca="1" si="0"/>
        <v>40394</v>
      </c>
      <c r="L57" s="350" t="s">
        <v>362</v>
      </c>
      <c r="M57" s="50"/>
      <c r="N57" s="50"/>
      <c r="O57" s="352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339"/>
      <c r="AJ57" s="353">
        <f t="shared" si="2"/>
        <v>46</v>
      </c>
    </row>
    <row r="58" spans="1:36">
      <c r="A58" s="332">
        <f t="shared" si="3"/>
        <v>47</v>
      </c>
      <c r="G58" s="349" t="s">
        <v>408</v>
      </c>
      <c r="H58" s="350">
        <v>5000</v>
      </c>
      <c r="I58" s="350">
        <v>500</v>
      </c>
      <c r="J58" s="350">
        <v>7000</v>
      </c>
      <c r="K58" s="351">
        <f t="shared" ca="1" si="0"/>
        <v>40394</v>
      </c>
      <c r="L58" s="350" t="s">
        <v>359</v>
      </c>
      <c r="M58" s="50"/>
      <c r="N58" s="50"/>
      <c r="O58" s="352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339"/>
      <c r="AJ58" s="353">
        <f t="shared" si="2"/>
        <v>47</v>
      </c>
    </row>
    <row r="59" spans="1:36">
      <c r="A59" s="332">
        <f t="shared" si="3"/>
        <v>48</v>
      </c>
      <c r="G59" s="349" t="s">
        <v>409</v>
      </c>
      <c r="H59" s="350">
        <v>8000</v>
      </c>
      <c r="I59" s="350">
        <v>600</v>
      </c>
      <c r="J59" s="350">
        <v>11500</v>
      </c>
      <c r="K59" s="351">
        <f t="shared" ca="1" si="0"/>
        <v>40394</v>
      </c>
      <c r="L59" s="350" t="s">
        <v>359</v>
      </c>
      <c r="M59" s="50"/>
      <c r="N59" s="50"/>
      <c r="O59" s="352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339"/>
      <c r="AJ59" s="353">
        <f t="shared" si="2"/>
        <v>48</v>
      </c>
    </row>
    <row r="60" spans="1:36">
      <c r="A60" s="332">
        <f t="shared" si="3"/>
        <v>49</v>
      </c>
      <c r="G60" s="349" t="s">
        <v>410</v>
      </c>
      <c r="H60" s="350">
        <v>5000</v>
      </c>
      <c r="I60" s="350">
        <v>500</v>
      </c>
      <c r="J60" s="350">
        <v>41490</v>
      </c>
      <c r="K60" s="351">
        <f t="shared" ca="1" si="0"/>
        <v>40394</v>
      </c>
      <c r="L60" s="350" t="s">
        <v>359</v>
      </c>
      <c r="M60" s="50"/>
      <c r="N60" s="50"/>
      <c r="O60" s="352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339"/>
      <c r="AJ60" s="353">
        <f t="shared" si="2"/>
        <v>49</v>
      </c>
    </row>
    <row r="61" spans="1:36">
      <c r="A61" s="332">
        <f t="shared" si="3"/>
        <v>50</v>
      </c>
      <c r="G61" s="349" t="s">
        <v>411</v>
      </c>
      <c r="H61" s="350">
        <v>8000</v>
      </c>
      <c r="I61" s="350">
        <v>500</v>
      </c>
      <c r="J61" s="350">
        <v>8000</v>
      </c>
      <c r="K61" s="351">
        <f t="shared" ca="1" si="0"/>
        <v>40394</v>
      </c>
      <c r="L61" s="350" t="s">
        <v>359</v>
      </c>
      <c r="M61" s="50"/>
      <c r="N61" s="50"/>
      <c r="O61" s="352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339"/>
      <c r="AJ61" s="353">
        <f t="shared" si="2"/>
        <v>50</v>
      </c>
    </row>
    <row r="62" spans="1:36">
      <c r="A62" s="332">
        <f t="shared" si="3"/>
        <v>51</v>
      </c>
      <c r="G62" s="349" t="s">
        <v>412</v>
      </c>
      <c r="H62" s="350">
        <v>5000</v>
      </c>
      <c r="I62" s="350">
        <v>500</v>
      </c>
      <c r="J62" s="350">
        <v>7800</v>
      </c>
      <c r="K62" s="351">
        <f t="shared" ca="1" si="0"/>
        <v>40394</v>
      </c>
      <c r="L62" s="350" t="s">
        <v>359</v>
      </c>
      <c r="M62" s="50"/>
      <c r="N62" s="50"/>
      <c r="O62" s="352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339"/>
      <c r="AJ62" s="353">
        <f t="shared" si="2"/>
        <v>51</v>
      </c>
    </row>
    <row r="63" spans="1:36">
      <c r="A63" s="332">
        <f t="shared" si="3"/>
        <v>52</v>
      </c>
      <c r="G63" s="349" t="s">
        <v>413</v>
      </c>
      <c r="H63" s="350">
        <v>10000</v>
      </c>
      <c r="I63" s="350">
        <v>1000</v>
      </c>
      <c r="J63" s="350">
        <v>45000</v>
      </c>
      <c r="K63" s="351">
        <f t="shared" ca="1" si="0"/>
        <v>40394</v>
      </c>
      <c r="L63" s="350" t="s">
        <v>359</v>
      </c>
      <c r="M63" s="50"/>
      <c r="N63" s="50"/>
      <c r="O63" s="352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339"/>
      <c r="AJ63" s="353">
        <f t="shared" si="2"/>
        <v>52</v>
      </c>
    </row>
    <row r="64" spans="1:36">
      <c r="A64" s="332">
        <f t="shared" si="3"/>
        <v>53</v>
      </c>
      <c r="G64" s="349" t="s">
        <v>414</v>
      </c>
      <c r="H64" s="350">
        <v>5000</v>
      </c>
      <c r="I64" s="350">
        <v>500</v>
      </c>
      <c r="J64" s="350">
        <v>5900</v>
      </c>
      <c r="K64" s="351">
        <f t="shared" ca="1" si="0"/>
        <v>40394</v>
      </c>
      <c r="L64" s="350" t="s">
        <v>362</v>
      </c>
      <c r="M64" s="50"/>
      <c r="N64" s="50"/>
      <c r="O64" s="352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339"/>
      <c r="AJ64" s="353">
        <f t="shared" si="2"/>
        <v>53</v>
      </c>
    </row>
    <row r="65" spans="1:36">
      <c r="A65" s="332">
        <f t="shared" si="3"/>
        <v>54</v>
      </c>
      <c r="G65" s="349" t="s">
        <v>415</v>
      </c>
      <c r="H65" s="350">
        <v>10000</v>
      </c>
      <c r="I65" s="350">
        <v>600</v>
      </c>
      <c r="J65" s="350">
        <v>8000</v>
      </c>
      <c r="K65" s="351">
        <f t="shared" ca="1" si="0"/>
        <v>40394</v>
      </c>
      <c r="L65" s="350" t="s">
        <v>359</v>
      </c>
      <c r="M65" s="50"/>
      <c r="N65" s="50"/>
      <c r="O65" s="352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339"/>
      <c r="AJ65" s="353">
        <f t="shared" si="2"/>
        <v>54</v>
      </c>
    </row>
    <row r="66" spans="1:36">
      <c r="A66" s="332">
        <f t="shared" si="3"/>
        <v>55</v>
      </c>
      <c r="G66" s="349" t="s">
        <v>416</v>
      </c>
      <c r="H66" s="350">
        <v>15000</v>
      </c>
      <c r="I66" s="350">
        <v>500</v>
      </c>
      <c r="J66" s="350">
        <v>28200</v>
      </c>
      <c r="K66" s="351">
        <f t="shared" ca="1" si="0"/>
        <v>40394</v>
      </c>
      <c r="L66" s="350" t="s">
        <v>359</v>
      </c>
      <c r="M66" s="50"/>
      <c r="N66" s="50"/>
      <c r="O66" s="352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339"/>
      <c r="AJ66" s="353">
        <f t="shared" si="2"/>
        <v>55</v>
      </c>
    </row>
    <row r="67" spans="1:36">
      <c r="A67" s="332">
        <f t="shared" si="3"/>
        <v>56</v>
      </c>
      <c r="G67" s="349" t="s">
        <v>417</v>
      </c>
      <c r="H67" s="350">
        <v>8000</v>
      </c>
      <c r="I67" s="350">
        <v>500</v>
      </c>
      <c r="J67" s="350">
        <v>26500</v>
      </c>
      <c r="K67" s="351">
        <f t="shared" ca="1" si="0"/>
        <v>40394</v>
      </c>
      <c r="L67" s="350" t="s">
        <v>359</v>
      </c>
      <c r="M67" s="50"/>
      <c r="N67" s="50"/>
      <c r="O67" s="352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339"/>
      <c r="AJ67" s="353">
        <f t="shared" si="2"/>
        <v>56</v>
      </c>
    </row>
    <row r="68" spans="1:36">
      <c r="A68" s="332">
        <f t="shared" si="3"/>
        <v>57</v>
      </c>
      <c r="G68" s="349" t="s">
        <v>418</v>
      </c>
      <c r="H68" s="350">
        <v>9000</v>
      </c>
      <c r="I68" s="350">
        <v>500</v>
      </c>
      <c r="J68" s="350">
        <v>25000</v>
      </c>
      <c r="K68" s="351">
        <f t="shared" ca="1" si="0"/>
        <v>40394</v>
      </c>
      <c r="L68" s="350" t="s">
        <v>359</v>
      </c>
      <c r="M68" s="50"/>
      <c r="N68" s="50"/>
      <c r="O68" s="352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339"/>
      <c r="AJ68" s="353">
        <f t="shared" si="2"/>
        <v>57</v>
      </c>
    </row>
    <row r="69" spans="1:36">
      <c r="A69" s="332">
        <f t="shared" si="3"/>
        <v>58</v>
      </c>
      <c r="G69" s="349" t="s">
        <v>419</v>
      </c>
      <c r="H69" s="350">
        <v>10000</v>
      </c>
      <c r="I69" s="350">
        <v>500</v>
      </c>
      <c r="J69" s="350">
        <v>8700</v>
      </c>
      <c r="K69" s="351">
        <f t="shared" ca="1" si="0"/>
        <v>40394</v>
      </c>
      <c r="L69" s="350" t="s">
        <v>359</v>
      </c>
      <c r="M69" s="50"/>
      <c r="N69" s="50"/>
      <c r="O69" s="352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339"/>
      <c r="AJ69" s="353">
        <f t="shared" si="2"/>
        <v>58</v>
      </c>
    </row>
    <row r="70" spans="1:36">
      <c r="A70" s="332">
        <f t="shared" si="3"/>
        <v>59</v>
      </c>
      <c r="G70" s="349" t="s">
        <v>420</v>
      </c>
      <c r="H70" s="350">
        <v>9000</v>
      </c>
      <c r="I70" s="350">
        <v>500</v>
      </c>
      <c r="J70" s="350">
        <v>4600</v>
      </c>
      <c r="K70" s="351">
        <f t="shared" ca="1" si="0"/>
        <v>40394</v>
      </c>
      <c r="L70" s="350" t="s">
        <v>359</v>
      </c>
      <c r="M70" s="50"/>
      <c r="N70" s="50"/>
      <c r="O70" s="352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339"/>
      <c r="AJ70" s="353">
        <f t="shared" si="2"/>
        <v>59</v>
      </c>
    </row>
    <row r="71" spans="1:36">
      <c r="A71" s="332">
        <f t="shared" si="3"/>
        <v>60</v>
      </c>
      <c r="G71" s="349" t="s">
        <v>421</v>
      </c>
      <c r="H71" s="350">
        <v>5000</v>
      </c>
      <c r="I71" s="350">
        <v>1000</v>
      </c>
      <c r="J71" s="350">
        <v>23000</v>
      </c>
      <c r="K71" s="351">
        <f t="shared" ca="1" si="0"/>
        <v>40394</v>
      </c>
      <c r="L71" s="350" t="s">
        <v>359</v>
      </c>
      <c r="M71" s="50"/>
      <c r="N71" s="50"/>
      <c r="O71" s="352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339"/>
      <c r="AJ71" s="353">
        <f t="shared" si="2"/>
        <v>60</v>
      </c>
    </row>
    <row r="72" spans="1:36">
      <c r="A72" s="332">
        <f t="shared" si="3"/>
        <v>61</v>
      </c>
      <c r="G72" s="349" t="s">
        <v>422</v>
      </c>
      <c r="H72" s="350">
        <v>6500</v>
      </c>
      <c r="I72" s="350">
        <v>500</v>
      </c>
      <c r="J72" s="350">
        <v>38000</v>
      </c>
      <c r="K72" s="351">
        <f t="shared" ca="1" si="0"/>
        <v>40394</v>
      </c>
      <c r="L72" s="350" t="s">
        <v>359</v>
      </c>
      <c r="M72" s="50"/>
      <c r="N72" s="50"/>
      <c r="O72" s="352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339"/>
      <c r="AJ72" s="353">
        <f t="shared" si="2"/>
        <v>61</v>
      </c>
    </row>
    <row r="73" spans="1:36">
      <c r="A73" s="332">
        <f t="shared" si="3"/>
        <v>62</v>
      </c>
      <c r="G73" s="349" t="s">
        <v>423</v>
      </c>
      <c r="H73" s="350">
        <v>5000</v>
      </c>
      <c r="I73" s="350">
        <v>500</v>
      </c>
      <c r="J73" s="350">
        <v>23690</v>
      </c>
      <c r="K73" s="351">
        <f t="shared" ca="1" si="0"/>
        <v>40394</v>
      </c>
      <c r="L73" s="350" t="s">
        <v>359</v>
      </c>
      <c r="M73" s="50"/>
      <c r="N73" s="50"/>
      <c r="O73" s="352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339"/>
      <c r="AJ73" s="353">
        <f t="shared" si="2"/>
        <v>62</v>
      </c>
    </row>
    <row r="74" spans="1:36">
      <c r="A74" s="332">
        <f t="shared" si="3"/>
        <v>63</v>
      </c>
      <c r="G74" s="349" t="s">
        <v>424</v>
      </c>
      <c r="H74" s="350">
        <v>10000</v>
      </c>
      <c r="I74" s="350">
        <v>500</v>
      </c>
      <c r="J74" s="350">
        <v>7800</v>
      </c>
      <c r="K74" s="351">
        <f t="shared" ca="1" si="0"/>
        <v>40394</v>
      </c>
      <c r="L74" s="350" t="s">
        <v>359</v>
      </c>
      <c r="M74" s="50"/>
      <c r="N74" s="50"/>
      <c r="O74" s="352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339"/>
      <c r="AJ74" s="353">
        <f t="shared" si="2"/>
        <v>63</v>
      </c>
    </row>
    <row r="75" spans="1:36">
      <c r="A75" s="332">
        <f t="shared" si="3"/>
        <v>64</v>
      </c>
      <c r="G75" s="349" t="s">
        <v>425</v>
      </c>
      <c r="H75" s="350">
        <v>8000</v>
      </c>
      <c r="I75" s="350">
        <v>500</v>
      </c>
      <c r="J75" s="350">
        <v>25000</v>
      </c>
      <c r="K75" s="351">
        <f t="shared" ca="1" si="0"/>
        <v>40394</v>
      </c>
      <c r="L75" s="350" t="s">
        <v>362</v>
      </c>
      <c r="M75" s="50"/>
      <c r="N75" s="50"/>
      <c r="O75" s="352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339"/>
      <c r="AJ75" s="353">
        <f t="shared" si="2"/>
        <v>64</v>
      </c>
    </row>
    <row r="76" spans="1:36">
      <c r="A76" s="332">
        <f t="shared" si="3"/>
        <v>65</v>
      </c>
      <c r="G76" s="349" t="s">
        <v>426</v>
      </c>
      <c r="H76" s="350">
        <v>8000</v>
      </c>
      <c r="I76" s="350">
        <v>500</v>
      </c>
      <c r="J76" s="350">
        <v>12000</v>
      </c>
      <c r="K76" s="351">
        <f t="shared" ca="1" si="0"/>
        <v>40394</v>
      </c>
      <c r="L76" s="350" t="s">
        <v>362</v>
      </c>
      <c r="M76" s="50"/>
      <c r="N76" s="50"/>
      <c r="O76" s="352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339"/>
      <c r="AJ76" s="353">
        <f t="shared" si="2"/>
        <v>65</v>
      </c>
    </row>
    <row r="77" spans="1:36">
      <c r="A77" s="332">
        <f t="shared" si="3"/>
        <v>66</v>
      </c>
      <c r="G77" s="349" t="s">
        <v>427</v>
      </c>
      <c r="H77" s="350">
        <v>10000</v>
      </c>
      <c r="I77" s="350">
        <v>500</v>
      </c>
      <c r="J77" s="350">
        <v>7000</v>
      </c>
      <c r="K77" s="351">
        <f t="shared" ref="K77:K140" ca="1" si="4">TODAY()</f>
        <v>40394</v>
      </c>
      <c r="L77" s="350" t="s">
        <v>359</v>
      </c>
      <c r="M77" s="50"/>
      <c r="N77" s="50"/>
      <c r="O77" s="352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339"/>
      <c r="AJ77" s="353">
        <f t="shared" si="2"/>
        <v>66</v>
      </c>
    </row>
    <row r="78" spans="1:36">
      <c r="A78" s="332">
        <f t="shared" si="3"/>
        <v>67</v>
      </c>
      <c r="G78" s="349" t="s">
        <v>428</v>
      </c>
      <c r="H78" s="350">
        <v>5000</v>
      </c>
      <c r="I78" s="350">
        <v>500</v>
      </c>
      <c r="J78" s="350">
        <v>12000</v>
      </c>
      <c r="K78" s="351">
        <f t="shared" ca="1" si="4"/>
        <v>40394</v>
      </c>
      <c r="L78" s="350" t="s">
        <v>359</v>
      </c>
      <c r="M78" s="50"/>
      <c r="N78" s="50"/>
      <c r="O78" s="352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339"/>
      <c r="AJ78" s="353">
        <f t="shared" ref="AJ78:AJ141" si="5">AJ77+1</f>
        <v>67</v>
      </c>
    </row>
    <row r="79" spans="1:36">
      <c r="A79" s="332">
        <f t="shared" si="3"/>
        <v>68</v>
      </c>
      <c r="G79" s="349" t="s">
        <v>429</v>
      </c>
      <c r="H79" s="350">
        <v>5000</v>
      </c>
      <c r="I79" s="350">
        <v>500</v>
      </c>
      <c r="J79" s="350">
        <v>18000</v>
      </c>
      <c r="K79" s="351">
        <f t="shared" ca="1" si="4"/>
        <v>40394</v>
      </c>
      <c r="L79" s="350" t="s">
        <v>359</v>
      </c>
      <c r="M79" s="50"/>
      <c r="N79" s="50"/>
      <c r="O79" s="352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339"/>
      <c r="AJ79" s="353">
        <f t="shared" si="5"/>
        <v>68</v>
      </c>
    </row>
    <row r="80" spans="1:36">
      <c r="A80" s="332">
        <f t="shared" si="3"/>
        <v>69</v>
      </c>
      <c r="G80" s="349" t="s">
        <v>430</v>
      </c>
      <c r="H80" s="350">
        <v>5000</v>
      </c>
      <c r="I80" s="350">
        <v>1100</v>
      </c>
      <c r="J80" s="350">
        <v>18900</v>
      </c>
      <c r="K80" s="351">
        <f t="shared" ca="1" si="4"/>
        <v>40394</v>
      </c>
      <c r="L80" s="350" t="s">
        <v>359</v>
      </c>
      <c r="M80" s="50"/>
      <c r="N80" s="50"/>
      <c r="O80" s="352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339"/>
      <c r="AJ80" s="353">
        <f t="shared" si="5"/>
        <v>69</v>
      </c>
    </row>
    <row r="81" spans="1:36">
      <c r="A81" s="332">
        <f t="shared" ref="A81:A144" si="6">1+A80</f>
        <v>70</v>
      </c>
      <c r="G81" s="349" t="s">
        <v>431</v>
      </c>
      <c r="H81" s="350">
        <v>10000</v>
      </c>
      <c r="I81" s="350">
        <v>2000</v>
      </c>
      <c r="J81" s="350">
        <v>31500</v>
      </c>
      <c r="K81" s="351">
        <f t="shared" ca="1" si="4"/>
        <v>40394</v>
      </c>
      <c r="L81" s="350" t="s">
        <v>362</v>
      </c>
      <c r="M81" s="50"/>
      <c r="N81" s="50"/>
      <c r="O81" s="352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339"/>
      <c r="AJ81" s="353">
        <f t="shared" si="5"/>
        <v>70</v>
      </c>
    </row>
    <row r="82" spans="1:36">
      <c r="A82" s="332">
        <f t="shared" si="6"/>
        <v>71</v>
      </c>
      <c r="G82" s="349" t="s">
        <v>432</v>
      </c>
      <c r="H82" s="350">
        <v>5000</v>
      </c>
      <c r="I82" s="350">
        <v>1000</v>
      </c>
      <c r="J82" s="350">
        <v>40000</v>
      </c>
      <c r="K82" s="351">
        <f t="shared" ca="1" si="4"/>
        <v>40394</v>
      </c>
      <c r="L82" s="350" t="s">
        <v>359</v>
      </c>
      <c r="M82" s="50"/>
      <c r="N82" s="50"/>
      <c r="O82" s="352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339"/>
      <c r="AJ82" s="353">
        <f t="shared" si="5"/>
        <v>71</v>
      </c>
    </row>
    <row r="83" spans="1:36">
      <c r="A83" s="332">
        <f t="shared" si="6"/>
        <v>72</v>
      </c>
      <c r="G83" s="349" t="s">
        <v>433</v>
      </c>
      <c r="H83" s="350">
        <v>17000</v>
      </c>
      <c r="I83" s="350">
        <v>500</v>
      </c>
      <c r="J83" s="350">
        <v>13000</v>
      </c>
      <c r="K83" s="351">
        <f t="shared" ca="1" si="4"/>
        <v>40394</v>
      </c>
      <c r="L83" s="350" t="s">
        <v>359</v>
      </c>
      <c r="M83" s="50"/>
      <c r="N83" s="50"/>
      <c r="O83" s="352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339"/>
      <c r="AJ83" s="353">
        <f t="shared" si="5"/>
        <v>72</v>
      </c>
    </row>
    <row r="84" spans="1:36">
      <c r="A84" s="332">
        <f t="shared" si="6"/>
        <v>73</v>
      </c>
      <c r="G84" s="349" t="s">
        <v>434</v>
      </c>
      <c r="H84" s="350">
        <v>5000</v>
      </c>
      <c r="I84" s="350">
        <v>500</v>
      </c>
      <c r="J84" s="350">
        <v>17750</v>
      </c>
      <c r="K84" s="351">
        <f t="shared" ca="1" si="4"/>
        <v>40394</v>
      </c>
      <c r="L84" s="350" t="s">
        <v>359</v>
      </c>
      <c r="M84" s="50"/>
      <c r="N84" s="50"/>
      <c r="O84" s="352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339"/>
      <c r="AJ84" s="353">
        <f t="shared" si="5"/>
        <v>73</v>
      </c>
    </row>
    <row r="85" spans="1:36">
      <c r="A85" s="332">
        <f t="shared" si="6"/>
        <v>74</v>
      </c>
      <c r="G85" s="349" t="s">
        <v>435</v>
      </c>
      <c r="H85" s="350">
        <v>10000</v>
      </c>
      <c r="I85" s="350">
        <v>600</v>
      </c>
      <c r="J85" s="350">
        <v>8150</v>
      </c>
      <c r="K85" s="351">
        <f t="shared" ca="1" si="4"/>
        <v>40394</v>
      </c>
      <c r="L85" s="350" t="s">
        <v>359</v>
      </c>
      <c r="M85" s="50"/>
      <c r="N85" s="50"/>
      <c r="O85" s="352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339"/>
      <c r="AJ85" s="353">
        <f t="shared" si="5"/>
        <v>74</v>
      </c>
    </row>
    <row r="86" spans="1:36">
      <c r="A86" s="332">
        <f t="shared" si="6"/>
        <v>75</v>
      </c>
      <c r="G86" s="349" t="s">
        <v>436</v>
      </c>
      <c r="H86" s="350">
        <v>13000</v>
      </c>
      <c r="I86" s="350">
        <v>500</v>
      </c>
      <c r="J86" s="350">
        <v>27000</v>
      </c>
      <c r="K86" s="351">
        <f t="shared" ca="1" si="4"/>
        <v>40394</v>
      </c>
      <c r="L86" s="350" t="s">
        <v>359</v>
      </c>
      <c r="M86" s="50"/>
      <c r="N86" s="50"/>
      <c r="O86" s="352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339"/>
      <c r="AJ86" s="353">
        <f t="shared" si="5"/>
        <v>75</v>
      </c>
    </row>
    <row r="87" spans="1:36">
      <c r="A87" s="332">
        <f t="shared" si="6"/>
        <v>76</v>
      </c>
      <c r="G87" s="349" t="s">
        <v>437</v>
      </c>
      <c r="H87" s="350">
        <v>5000</v>
      </c>
      <c r="I87" s="350">
        <v>500</v>
      </c>
      <c r="J87" s="350">
        <v>18379</v>
      </c>
      <c r="K87" s="351">
        <f t="shared" ca="1" si="4"/>
        <v>40394</v>
      </c>
      <c r="L87" s="350" t="s">
        <v>359</v>
      </c>
      <c r="M87" s="50"/>
      <c r="N87" s="50"/>
      <c r="O87" s="352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339"/>
      <c r="AJ87" s="353">
        <f t="shared" si="5"/>
        <v>76</v>
      </c>
    </row>
    <row r="88" spans="1:36">
      <c r="A88" s="332">
        <f t="shared" si="6"/>
        <v>77</v>
      </c>
      <c r="G88" s="349" t="s">
        <v>438</v>
      </c>
      <c r="H88" s="350">
        <v>5000</v>
      </c>
      <c r="I88" s="350">
        <v>500</v>
      </c>
      <c r="J88" s="350">
        <v>5000</v>
      </c>
      <c r="K88" s="351">
        <f t="shared" ca="1" si="4"/>
        <v>40394</v>
      </c>
      <c r="L88" s="350" t="s">
        <v>359</v>
      </c>
      <c r="M88" s="50"/>
      <c r="N88" s="50"/>
      <c r="O88" s="352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339"/>
      <c r="AJ88" s="353">
        <f t="shared" si="5"/>
        <v>77</v>
      </c>
    </row>
    <row r="89" spans="1:36">
      <c r="A89" s="332">
        <f t="shared" si="6"/>
        <v>78</v>
      </c>
      <c r="G89" s="349" t="s">
        <v>439</v>
      </c>
      <c r="H89" s="350">
        <v>5000</v>
      </c>
      <c r="I89" s="350">
        <v>600</v>
      </c>
      <c r="J89" s="350">
        <v>22300</v>
      </c>
      <c r="K89" s="351">
        <f t="shared" ca="1" si="4"/>
        <v>40394</v>
      </c>
      <c r="L89" s="350" t="s">
        <v>359</v>
      </c>
      <c r="M89" s="50"/>
      <c r="N89" s="50"/>
      <c r="O89" s="352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339"/>
      <c r="AJ89" s="353">
        <f t="shared" si="5"/>
        <v>78</v>
      </c>
    </row>
    <row r="90" spans="1:36">
      <c r="A90" s="332">
        <f t="shared" si="6"/>
        <v>79</v>
      </c>
      <c r="G90" s="349" t="s">
        <v>440</v>
      </c>
      <c r="H90" s="350">
        <v>6000</v>
      </c>
      <c r="I90" s="350">
        <v>500</v>
      </c>
      <c r="J90" s="350">
        <v>5000</v>
      </c>
      <c r="K90" s="351">
        <f t="shared" ca="1" si="4"/>
        <v>40394</v>
      </c>
      <c r="L90" s="350" t="s">
        <v>359</v>
      </c>
      <c r="M90" s="50"/>
      <c r="N90" s="50"/>
      <c r="O90" s="352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339"/>
      <c r="AJ90" s="353">
        <f t="shared" si="5"/>
        <v>79</v>
      </c>
    </row>
    <row r="91" spans="1:36">
      <c r="A91" s="332">
        <f t="shared" si="6"/>
        <v>80</v>
      </c>
      <c r="G91" s="349" t="s">
        <v>441</v>
      </c>
      <c r="H91" s="350">
        <v>5000</v>
      </c>
      <c r="I91" s="350">
        <v>500</v>
      </c>
      <c r="J91" s="350">
        <v>36000</v>
      </c>
      <c r="K91" s="351">
        <f t="shared" ca="1" si="4"/>
        <v>40394</v>
      </c>
      <c r="L91" s="350" t="s">
        <v>359</v>
      </c>
      <c r="M91" s="50"/>
      <c r="N91" s="50"/>
      <c r="O91" s="352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339"/>
      <c r="AJ91" s="353">
        <f t="shared" si="5"/>
        <v>80</v>
      </c>
    </row>
    <row r="92" spans="1:36">
      <c r="A92" s="332">
        <f t="shared" si="6"/>
        <v>81</v>
      </c>
      <c r="G92" s="349" t="s">
        <v>442</v>
      </c>
      <c r="H92" s="350">
        <v>10000</v>
      </c>
      <c r="I92" s="350">
        <v>500</v>
      </c>
      <c r="J92" s="350">
        <v>24000</v>
      </c>
      <c r="K92" s="351">
        <f t="shared" ca="1" si="4"/>
        <v>40394</v>
      </c>
      <c r="L92" s="350" t="s">
        <v>359</v>
      </c>
      <c r="M92" s="50"/>
      <c r="N92" s="50"/>
      <c r="O92" s="352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339"/>
      <c r="AJ92" s="353">
        <f t="shared" si="5"/>
        <v>81</v>
      </c>
    </row>
    <row r="93" spans="1:36">
      <c r="A93" s="332">
        <f t="shared" si="6"/>
        <v>82</v>
      </c>
      <c r="G93" s="349" t="s">
        <v>443</v>
      </c>
      <c r="H93" s="350">
        <v>12000</v>
      </c>
      <c r="I93" s="350">
        <v>500</v>
      </c>
      <c r="J93" s="350">
        <v>23550</v>
      </c>
      <c r="K93" s="351">
        <f t="shared" ca="1" si="4"/>
        <v>40394</v>
      </c>
      <c r="L93" s="350" t="s">
        <v>362</v>
      </c>
      <c r="M93" s="50"/>
      <c r="N93" s="50"/>
      <c r="O93" s="352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339"/>
      <c r="AJ93" s="353">
        <f t="shared" si="5"/>
        <v>82</v>
      </c>
    </row>
    <row r="94" spans="1:36">
      <c r="A94" s="332">
        <f t="shared" si="6"/>
        <v>83</v>
      </c>
      <c r="G94" s="349" t="s">
        <v>444</v>
      </c>
      <c r="H94" s="350">
        <v>5000</v>
      </c>
      <c r="I94" s="350">
        <v>500</v>
      </c>
      <c r="J94" s="350">
        <v>7500</v>
      </c>
      <c r="K94" s="351">
        <f t="shared" ca="1" si="4"/>
        <v>40394</v>
      </c>
      <c r="L94" s="350" t="s">
        <v>359</v>
      </c>
      <c r="M94" s="50"/>
      <c r="N94" s="50"/>
      <c r="O94" s="352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339"/>
      <c r="AJ94" s="353">
        <f t="shared" si="5"/>
        <v>83</v>
      </c>
    </row>
    <row r="95" spans="1:36">
      <c r="A95" s="332">
        <f t="shared" si="6"/>
        <v>84</v>
      </c>
      <c r="G95" s="349" t="s">
        <v>445</v>
      </c>
      <c r="H95" s="350">
        <v>11000</v>
      </c>
      <c r="I95" s="350">
        <v>500</v>
      </c>
      <c r="J95" s="350">
        <v>20000</v>
      </c>
      <c r="K95" s="351">
        <f t="shared" ca="1" si="4"/>
        <v>40394</v>
      </c>
      <c r="L95" s="350" t="s">
        <v>359</v>
      </c>
      <c r="M95" s="50"/>
      <c r="N95" s="50"/>
      <c r="O95" s="352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339"/>
      <c r="AJ95" s="353">
        <f t="shared" si="5"/>
        <v>84</v>
      </c>
    </row>
    <row r="96" spans="1:36">
      <c r="A96" s="332">
        <f t="shared" si="6"/>
        <v>85</v>
      </c>
      <c r="G96" s="349" t="s">
        <v>446</v>
      </c>
      <c r="H96" s="350">
        <v>5000</v>
      </c>
      <c r="I96" s="350">
        <v>500</v>
      </c>
      <c r="J96" s="350">
        <v>7300</v>
      </c>
      <c r="K96" s="351">
        <f t="shared" ca="1" si="4"/>
        <v>40394</v>
      </c>
      <c r="L96" s="350" t="s">
        <v>359</v>
      </c>
      <c r="M96" s="50"/>
      <c r="N96" s="50"/>
      <c r="O96" s="352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339"/>
      <c r="AJ96" s="353">
        <f t="shared" si="5"/>
        <v>85</v>
      </c>
    </row>
    <row r="97" spans="1:36">
      <c r="A97" s="332">
        <f t="shared" si="6"/>
        <v>86</v>
      </c>
      <c r="G97" s="349" t="s">
        <v>447</v>
      </c>
      <c r="H97" s="350">
        <v>5000</v>
      </c>
      <c r="I97" s="350">
        <v>500</v>
      </c>
      <c r="J97" s="350">
        <v>10000</v>
      </c>
      <c r="K97" s="351">
        <f t="shared" ca="1" si="4"/>
        <v>40394</v>
      </c>
      <c r="L97" s="350" t="s">
        <v>359</v>
      </c>
      <c r="M97" s="50"/>
      <c r="N97" s="50"/>
      <c r="O97" s="352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339"/>
      <c r="AJ97" s="353">
        <f t="shared" si="5"/>
        <v>86</v>
      </c>
    </row>
    <row r="98" spans="1:36">
      <c r="A98" s="332">
        <f t="shared" si="6"/>
        <v>87</v>
      </c>
      <c r="G98" s="349" t="s">
        <v>448</v>
      </c>
      <c r="H98" s="350">
        <v>5000</v>
      </c>
      <c r="I98" s="350">
        <v>600</v>
      </c>
      <c r="J98" s="350">
        <v>18440</v>
      </c>
      <c r="K98" s="351">
        <f t="shared" ca="1" si="4"/>
        <v>40394</v>
      </c>
      <c r="L98" s="350" t="s">
        <v>359</v>
      </c>
      <c r="M98" s="50"/>
      <c r="N98" s="50"/>
      <c r="O98" s="352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339"/>
      <c r="AJ98" s="353">
        <f t="shared" si="5"/>
        <v>87</v>
      </c>
    </row>
    <row r="99" spans="1:36">
      <c r="A99" s="332">
        <f t="shared" si="6"/>
        <v>88</v>
      </c>
      <c r="G99" s="349" t="s">
        <v>449</v>
      </c>
      <c r="H99" s="350">
        <v>5000</v>
      </c>
      <c r="I99" s="350">
        <v>700</v>
      </c>
      <c r="J99" s="350">
        <v>10100</v>
      </c>
      <c r="K99" s="351">
        <f t="shared" ca="1" si="4"/>
        <v>40394</v>
      </c>
      <c r="L99" s="350" t="s">
        <v>359</v>
      </c>
      <c r="M99" s="50"/>
      <c r="N99" s="50"/>
      <c r="O99" s="352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339"/>
      <c r="AJ99" s="353">
        <f t="shared" si="5"/>
        <v>88</v>
      </c>
    </row>
    <row r="100" spans="1:36">
      <c r="A100" s="332">
        <f t="shared" si="6"/>
        <v>89</v>
      </c>
      <c r="G100" s="349" t="s">
        <v>450</v>
      </c>
      <c r="H100" s="350">
        <v>5000</v>
      </c>
      <c r="I100" s="350">
        <v>800</v>
      </c>
      <c r="J100" s="350">
        <v>7900</v>
      </c>
      <c r="K100" s="351">
        <f t="shared" ca="1" si="4"/>
        <v>40394</v>
      </c>
      <c r="L100" s="350" t="s">
        <v>362</v>
      </c>
      <c r="M100" s="50"/>
      <c r="N100" s="50"/>
      <c r="O100" s="352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339"/>
      <c r="AJ100" s="353">
        <f t="shared" si="5"/>
        <v>89</v>
      </c>
    </row>
    <row r="101" spans="1:36">
      <c r="A101" s="332">
        <f t="shared" si="6"/>
        <v>90</v>
      </c>
      <c r="G101" s="349" t="s">
        <v>451</v>
      </c>
      <c r="H101" s="350">
        <v>7500</v>
      </c>
      <c r="I101" s="350">
        <v>600</v>
      </c>
      <c r="J101" s="350">
        <v>40000</v>
      </c>
      <c r="K101" s="351">
        <f t="shared" ca="1" si="4"/>
        <v>40394</v>
      </c>
      <c r="L101" s="350" t="s">
        <v>359</v>
      </c>
      <c r="M101" s="50"/>
      <c r="N101" s="50"/>
      <c r="O101" s="352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339"/>
      <c r="AJ101" s="353">
        <f t="shared" si="5"/>
        <v>90</v>
      </c>
    </row>
    <row r="102" spans="1:36">
      <c r="A102" s="332">
        <f t="shared" si="6"/>
        <v>91</v>
      </c>
      <c r="G102" s="349" t="s">
        <v>452</v>
      </c>
      <c r="H102" s="350">
        <v>5000</v>
      </c>
      <c r="I102" s="350">
        <v>600</v>
      </c>
      <c r="J102" s="350">
        <v>5500</v>
      </c>
      <c r="K102" s="351">
        <f t="shared" ca="1" si="4"/>
        <v>40394</v>
      </c>
      <c r="L102" s="350" t="s">
        <v>359</v>
      </c>
      <c r="M102" s="50"/>
      <c r="N102" s="50"/>
      <c r="O102" s="352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339"/>
      <c r="AJ102" s="353">
        <f t="shared" si="5"/>
        <v>91</v>
      </c>
    </row>
    <row r="103" spans="1:36">
      <c r="A103" s="332">
        <f t="shared" si="6"/>
        <v>92</v>
      </c>
      <c r="G103" s="349" t="s">
        <v>453</v>
      </c>
      <c r="H103" s="350">
        <v>5000</v>
      </c>
      <c r="I103" s="350">
        <v>500</v>
      </c>
      <c r="J103" s="350">
        <v>5200</v>
      </c>
      <c r="K103" s="351">
        <f t="shared" ca="1" si="4"/>
        <v>40394</v>
      </c>
      <c r="L103" s="350" t="s">
        <v>359</v>
      </c>
      <c r="M103" s="50"/>
      <c r="N103" s="50"/>
      <c r="O103" s="352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339"/>
      <c r="AJ103" s="353">
        <f t="shared" si="5"/>
        <v>92</v>
      </c>
    </row>
    <row r="104" spans="1:36">
      <c r="A104" s="332">
        <f t="shared" si="6"/>
        <v>93</v>
      </c>
      <c r="G104" s="349" t="s">
        <v>454</v>
      </c>
      <c r="H104" s="350">
        <v>5000</v>
      </c>
      <c r="I104" s="350">
        <v>600</v>
      </c>
      <c r="J104" s="350">
        <v>17150</v>
      </c>
      <c r="K104" s="351">
        <f t="shared" ca="1" si="4"/>
        <v>40394</v>
      </c>
      <c r="L104" s="350" t="s">
        <v>359</v>
      </c>
      <c r="M104" s="50"/>
      <c r="N104" s="50"/>
      <c r="O104" s="352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339"/>
      <c r="AJ104" s="353">
        <f t="shared" si="5"/>
        <v>93</v>
      </c>
    </row>
    <row r="105" spans="1:36">
      <c r="A105" s="332">
        <f t="shared" si="6"/>
        <v>94</v>
      </c>
      <c r="G105" s="349" t="s">
        <v>455</v>
      </c>
      <c r="H105" s="350">
        <v>5000</v>
      </c>
      <c r="I105" s="350">
        <v>600</v>
      </c>
      <c r="J105" s="350">
        <v>10000</v>
      </c>
      <c r="K105" s="351">
        <f t="shared" ca="1" si="4"/>
        <v>40394</v>
      </c>
      <c r="L105" s="350" t="s">
        <v>362</v>
      </c>
      <c r="M105" s="50"/>
      <c r="N105" s="50"/>
      <c r="O105" s="352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339"/>
      <c r="AJ105" s="353">
        <f t="shared" si="5"/>
        <v>94</v>
      </c>
    </row>
    <row r="106" spans="1:36">
      <c r="A106" s="332">
        <f t="shared" si="6"/>
        <v>95</v>
      </c>
      <c r="G106" s="349" t="s">
        <v>456</v>
      </c>
      <c r="H106" s="350">
        <v>5000</v>
      </c>
      <c r="I106" s="350">
        <v>600</v>
      </c>
      <c r="J106" s="350">
        <v>15000</v>
      </c>
      <c r="K106" s="351">
        <f t="shared" ca="1" si="4"/>
        <v>40394</v>
      </c>
      <c r="L106" s="350" t="s">
        <v>362</v>
      </c>
      <c r="M106" s="50"/>
      <c r="N106" s="50"/>
      <c r="O106" s="352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339"/>
      <c r="AJ106" s="353">
        <f t="shared" si="5"/>
        <v>95</v>
      </c>
    </row>
    <row r="107" spans="1:36">
      <c r="A107" s="332">
        <f t="shared" si="6"/>
        <v>96</v>
      </c>
      <c r="G107" s="349" t="s">
        <v>457</v>
      </c>
      <c r="H107" s="350">
        <v>5000</v>
      </c>
      <c r="I107" s="350">
        <v>600</v>
      </c>
      <c r="J107" s="350">
        <v>7065</v>
      </c>
      <c r="K107" s="351">
        <f t="shared" ca="1" si="4"/>
        <v>40394</v>
      </c>
      <c r="L107" s="350" t="s">
        <v>359</v>
      </c>
      <c r="M107" s="50"/>
      <c r="N107" s="50"/>
      <c r="O107" s="352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339"/>
      <c r="AJ107" s="353">
        <f t="shared" si="5"/>
        <v>96</v>
      </c>
    </row>
    <row r="108" spans="1:36">
      <c r="A108" s="332">
        <f t="shared" si="6"/>
        <v>97</v>
      </c>
      <c r="G108" s="349" t="s">
        <v>458</v>
      </c>
      <c r="H108" s="350">
        <v>5000</v>
      </c>
      <c r="I108" s="350">
        <v>600</v>
      </c>
      <c r="J108" s="350">
        <v>50000</v>
      </c>
      <c r="K108" s="351">
        <f t="shared" ca="1" si="4"/>
        <v>40394</v>
      </c>
      <c r="L108" s="350" t="s">
        <v>362</v>
      </c>
      <c r="M108" s="50"/>
      <c r="N108" s="50"/>
      <c r="O108" s="352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339"/>
      <c r="AJ108" s="353">
        <f t="shared" si="5"/>
        <v>97</v>
      </c>
    </row>
    <row r="109" spans="1:36">
      <c r="A109" s="332">
        <f t="shared" si="6"/>
        <v>98</v>
      </c>
      <c r="G109" s="349" t="s">
        <v>459</v>
      </c>
      <c r="H109" s="350">
        <v>10000</v>
      </c>
      <c r="I109" s="350">
        <v>600</v>
      </c>
      <c r="J109" s="350">
        <v>9000</v>
      </c>
      <c r="K109" s="351">
        <f t="shared" ca="1" si="4"/>
        <v>40394</v>
      </c>
      <c r="L109" s="350" t="s">
        <v>362</v>
      </c>
      <c r="M109" s="50"/>
      <c r="N109" s="50"/>
      <c r="O109" s="352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339"/>
      <c r="AJ109" s="353">
        <f t="shared" si="5"/>
        <v>98</v>
      </c>
    </row>
    <row r="110" spans="1:36">
      <c r="A110" s="332">
        <f t="shared" si="6"/>
        <v>99</v>
      </c>
      <c r="G110" s="349" t="s">
        <v>460</v>
      </c>
      <c r="H110" s="350">
        <v>8000</v>
      </c>
      <c r="I110" s="350">
        <v>500</v>
      </c>
      <c r="J110" s="350">
        <v>4250</v>
      </c>
      <c r="K110" s="351">
        <f t="shared" ca="1" si="4"/>
        <v>40394</v>
      </c>
      <c r="L110" s="350" t="s">
        <v>359</v>
      </c>
      <c r="M110" s="50"/>
      <c r="N110" s="50"/>
      <c r="O110" s="352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339"/>
      <c r="AJ110" s="353">
        <f t="shared" si="5"/>
        <v>99</v>
      </c>
    </row>
    <row r="111" spans="1:36">
      <c r="A111" s="332">
        <f t="shared" si="6"/>
        <v>100</v>
      </c>
      <c r="G111" s="349" t="s">
        <v>461</v>
      </c>
      <c r="H111" s="350">
        <v>5000</v>
      </c>
      <c r="I111" s="350">
        <v>600</v>
      </c>
      <c r="J111" s="350">
        <v>2500</v>
      </c>
      <c r="K111" s="351">
        <f t="shared" ca="1" si="4"/>
        <v>40394</v>
      </c>
      <c r="L111" s="350" t="s">
        <v>362</v>
      </c>
      <c r="M111" s="50"/>
      <c r="N111" s="50"/>
      <c r="O111" s="352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339"/>
      <c r="AJ111" s="353">
        <f t="shared" si="5"/>
        <v>100</v>
      </c>
    </row>
    <row r="112" spans="1:36">
      <c r="A112" s="332">
        <f t="shared" si="6"/>
        <v>101</v>
      </c>
      <c r="G112" s="349" t="s">
        <v>462</v>
      </c>
      <c r="H112" s="350">
        <v>10000</v>
      </c>
      <c r="I112" s="350">
        <v>600</v>
      </c>
      <c r="J112" s="350">
        <v>27500</v>
      </c>
      <c r="K112" s="351">
        <f t="shared" ca="1" si="4"/>
        <v>40394</v>
      </c>
      <c r="L112" s="350" t="s">
        <v>362</v>
      </c>
      <c r="M112" s="50"/>
      <c r="N112" s="50"/>
      <c r="O112" s="352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339"/>
      <c r="AJ112" s="353">
        <f t="shared" si="5"/>
        <v>101</v>
      </c>
    </row>
    <row r="113" spans="1:36">
      <c r="A113" s="332">
        <f t="shared" si="6"/>
        <v>102</v>
      </c>
      <c r="G113" s="349" t="s">
        <v>463</v>
      </c>
      <c r="H113" s="350">
        <v>10000</v>
      </c>
      <c r="I113" s="350">
        <v>600</v>
      </c>
      <c r="J113" s="350">
        <v>22495</v>
      </c>
      <c r="K113" s="351">
        <f t="shared" ca="1" si="4"/>
        <v>40394</v>
      </c>
      <c r="L113" s="350" t="s">
        <v>362</v>
      </c>
      <c r="M113" s="50"/>
      <c r="N113" s="50"/>
      <c r="O113" s="352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339"/>
      <c r="AJ113" s="353">
        <f t="shared" si="5"/>
        <v>102</v>
      </c>
    </row>
    <row r="114" spans="1:36">
      <c r="A114" s="332">
        <f t="shared" si="6"/>
        <v>103</v>
      </c>
      <c r="G114" s="349" t="s">
        <v>464</v>
      </c>
      <c r="H114" s="350">
        <v>7000</v>
      </c>
      <c r="I114" s="350">
        <v>600</v>
      </c>
      <c r="J114" s="350">
        <v>4000</v>
      </c>
      <c r="K114" s="351">
        <f t="shared" ca="1" si="4"/>
        <v>40394</v>
      </c>
      <c r="L114" s="350" t="s">
        <v>362</v>
      </c>
      <c r="M114" s="50"/>
      <c r="N114" s="50"/>
      <c r="O114" s="352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339"/>
      <c r="AJ114" s="353">
        <f t="shared" si="5"/>
        <v>103</v>
      </c>
    </row>
    <row r="115" spans="1:36">
      <c r="A115" s="332">
        <f t="shared" si="6"/>
        <v>104</v>
      </c>
      <c r="G115" s="349" t="s">
        <v>465</v>
      </c>
      <c r="H115" s="350">
        <v>7000</v>
      </c>
      <c r="I115" s="350">
        <v>600</v>
      </c>
      <c r="J115" s="350">
        <v>4000</v>
      </c>
      <c r="K115" s="351">
        <f t="shared" ca="1" si="4"/>
        <v>40394</v>
      </c>
      <c r="L115" s="350" t="s">
        <v>359</v>
      </c>
      <c r="M115" s="50"/>
      <c r="N115" s="50"/>
      <c r="O115" s="352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339"/>
      <c r="AJ115" s="353">
        <f t="shared" si="5"/>
        <v>104</v>
      </c>
    </row>
    <row r="116" spans="1:36">
      <c r="A116" s="332">
        <f t="shared" si="6"/>
        <v>105</v>
      </c>
      <c r="G116" s="349" t="s">
        <v>466</v>
      </c>
      <c r="H116" s="350">
        <v>5000</v>
      </c>
      <c r="I116" s="350">
        <v>600</v>
      </c>
      <c r="J116" s="350">
        <v>4700</v>
      </c>
      <c r="K116" s="351">
        <f t="shared" ca="1" si="4"/>
        <v>40394</v>
      </c>
      <c r="L116" s="350" t="s">
        <v>362</v>
      </c>
      <c r="M116" s="50"/>
      <c r="N116" s="50"/>
      <c r="O116" s="352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339"/>
      <c r="AJ116" s="353">
        <f t="shared" si="5"/>
        <v>105</v>
      </c>
    </row>
    <row r="117" spans="1:36">
      <c r="A117" s="332">
        <f t="shared" si="6"/>
        <v>106</v>
      </c>
      <c r="G117" s="349" t="s">
        <v>467</v>
      </c>
      <c r="H117" s="350">
        <v>5000</v>
      </c>
      <c r="I117" s="350">
        <v>600</v>
      </c>
      <c r="J117" s="350">
        <v>18900</v>
      </c>
      <c r="K117" s="351">
        <f t="shared" ca="1" si="4"/>
        <v>40394</v>
      </c>
      <c r="L117" s="350" t="s">
        <v>362</v>
      </c>
      <c r="M117" s="50"/>
      <c r="N117" s="50"/>
      <c r="O117" s="352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339"/>
      <c r="AJ117" s="353">
        <f t="shared" si="5"/>
        <v>106</v>
      </c>
    </row>
    <row r="118" spans="1:36">
      <c r="A118" s="332">
        <f t="shared" si="6"/>
        <v>107</v>
      </c>
      <c r="G118" s="349" t="s">
        <v>468</v>
      </c>
      <c r="H118" s="350">
        <v>5000</v>
      </c>
      <c r="I118" s="350">
        <v>600</v>
      </c>
      <c r="J118" s="350">
        <v>12500</v>
      </c>
      <c r="K118" s="351">
        <f t="shared" ca="1" si="4"/>
        <v>40394</v>
      </c>
      <c r="L118" s="350" t="s">
        <v>362</v>
      </c>
      <c r="M118" s="50"/>
      <c r="N118" s="50"/>
      <c r="O118" s="352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339"/>
      <c r="AJ118" s="353">
        <f t="shared" si="5"/>
        <v>107</v>
      </c>
    </row>
    <row r="119" spans="1:36">
      <c r="A119" s="332">
        <f t="shared" si="6"/>
        <v>108</v>
      </c>
      <c r="G119" s="349" t="s">
        <v>469</v>
      </c>
      <c r="H119" s="350">
        <v>5000</v>
      </c>
      <c r="I119" s="350">
        <v>500</v>
      </c>
      <c r="J119" s="350">
        <v>9060</v>
      </c>
      <c r="K119" s="351">
        <f t="shared" ca="1" si="4"/>
        <v>40394</v>
      </c>
      <c r="L119" s="350" t="s">
        <v>362</v>
      </c>
      <c r="M119" s="50"/>
      <c r="N119" s="50"/>
      <c r="O119" s="352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339"/>
      <c r="AJ119" s="353">
        <f t="shared" si="5"/>
        <v>108</v>
      </c>
    </row>
    <row r="120" spans="1:36">
      <c r="A120" s="332">
        <f t="shared" si="6"/>
        <v>109</v>
      </c>
      <c r="G120" s="349" t="s">
        <v>470</v>
      </c>
      <c r="H120" s="350">
        <v>7000</v>
      </c>
      <c r="I120" s="350">
        <v>600</v>
      </c>
      <c r="J120" s="350">
        <v>3450</v>
      </c>
      <c r="K120" s="351">
        <f t="shared" ca="1" si="4"/>
        <v>40394</v>
      </c>
      <c r="L120" s="350" t="s">
        <v>362</v>
      </c>
      <c r="M120" s="50"/>
      <c r="N120" s="50"/>
      <c r="O120" s="352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339"/>
      <c r="AJ120" s="353">
        <f t="shared" si="5"/>
        <v>109</v>
      </c>
    </row>
    <row r="121" spans="1:36">
      <c r="A121" s="332">
        <f t="shared" si="6"/>
        <v>110</v>
      </c>
      <c r="G121" s="349" t="s">
        <v>471</v>
      </c>
      <c r="H121" s="350">
        <v>5000</v>
      </c>
      <c r="I121" s="350">
        <v>1000</v>
      </c>
      <c r="J121" s="350">
        <v>14150</v>
      </c>
      <c r="K121" s="351">
        <f t="shared" ca="1" si="4"/>
        <v>40394</v>
      </c>
      <c r="L121" s="350" t="s">
        <v>362</v>
      </c>
      <c r="M121" s="50"/>
      <c r="N121" s="50"/>
      <c r="O121" s="352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339"/>
      <c r="AJ121" s="353">
        <f t="shared" si="5"/>
        <v>110</v>
      </c>
    </row>
    <row r="122" spans="1:36">
      <c r="A122" s="332">
        <f t="shared" si="6"/>
        <v>111</v>
      </c>
      <c r="G122" s="349" t="s">
        <v>472</v>
      </c>
      <c r="H122" s="350">
        <v>10000</v>
      </c>
      <c r="I122" s="350">
        <v>600</v>
      </c>
      <c r="J122" s="350">
        <v>3000</v>
      </c>
      <c r="K122" s="351">
        <f t="shared" ca="1" si="4"/>
        <v>40394</v>
      </c>
      <c r="L122" s="350" t="s">
        <v>362</v>
      </c>
      <c r="M122" s="50"/>
      <c r="N122" s="50"/>
      <c r="O122" s="352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339"/>
      <c r="AJ122" s="353">
        <f t="shared" si="5"/>
        <v>111</v>
      </c>
    </row>
    <row r="123" spans="1:36">
      <c r="A123" s="332">
        <f t="shared" si="6"/>
        <v>112</v>
      </c>
      <c r="G123" s="349" t="s">
        <v>473</v>
      </c>
      <c r="H123" s="350">
        <v>5000</v>
      </c>
      <c r="I123" s="350">
        <v>600</v>
      </c>
      <c r="J123" s="350">
        <v>20000</v>
      </c>
      <c r="K123" s="351">
        <f t="shared" ca="1" si="4"/>
        <v>40394</v>
      </c>
      <c r="L123" s="350" t="s">
        <v>362</v>
      </c>
      <c r="M123" s="50"/>
      <c r="N123" s="50"/>
      <c r="O123" s="352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339"/>
      <c r="AJ123" s="353">
        <f t="shared" si="5"/>
        <v>112</v>
      </c>
    </row>
    <row r="124" spans="1:36">
      <c r="A124" s="332">
        <f t="shared" si="6"/>
        <v>113</v>
      </c>
      <c r="G124" s="349" t="s">
        <v>474</v>
      </c>
      <c r="H124" s="350">
        <v>5000</v>
      </c>
      <c r="I124" s="350">
        <v>600</v>
      </c>
      <c r="J124" s="350">
        <v>7700</v>
      </c>
      <c r="K124" s="351">
        <f t="shared" ca="1" si="4"/>
        <v>40394</v>
      </c>
      <c r="L124" s="350" t="s">
        <v>362</v>
      </c>
      <c r="M124" s="50"/>
      <c r="N124" s="50"/>
      <c r="O124" s="352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339"/>
      <c r="AJ124" s="353">
        <f t="shared" si="5"/>
        <v>113</v>
      </c>
    </row>
    <row r="125" spans="1:36">
      <c r="A125" s="332">
        <f t="shared" si="6"/>
        <v>114</v>
      </c>
      <c r="G125" s="349" t="s">
        <v>475</v>
      </c>
      <c r="H125" s="350">
        <v>5000</v>
      </c>
      <c r="I125" s="350">
        <v>600</v>
      </c>
      <c r="J125" s="350">
        <v>4000</v>
      </c>
      <c r="K125" s="351">
        <f t="shared" ca="1" si="4"/>
        <v>40394</v>
      </c>
      <c r="L125" s="350" t="s">
        <v>362</v>
      </c>
      <c r="M125" s="50"/>
      <c r="N125" s="50"/>
      <c r="O125" s="352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339"/>
      <c r="AJ125" s="353">
        <f t="shared" si="5"/>
        <v>114</v>
      </c>
    </row>
    <row r="126" spans="1:36">
      <c r="A126" s="332">
        <f t="shared" si="6"/>
        <v>115</v>
      </c>
      <c r="G126" s="349" t="s">
        <v>476</v>
      </c>
      <c r="H126" s="350">
        <v>5000</v>
      </c>
      <c r="I126" s="350">
        <v>500</v>
      </c>
      <c r="J126" s="350">
        <v>21300</v>
      </c>
      <c r="K126" s="351">
        <f t="shared" ca="1" si="4"/>
        <v>40394</v>
      </c>
      <c r="L126" s="350" t="s">
        <v>362</v>
      </c>
      <c r="M126" s="50"/>
      <c r="N126" s="50"/>
      <c r="O126" s="352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339"/>
      <c r="AJ126" s="353">
        <f t="shared" si="5"/>
        <v>115</v>
      </c>
    </row>
    <row r="127" spans="1:36">
      <c r="A127" s="332">
        <f t="shared" si="6"/>
        <v>116</v>
      </c>
      <c r="G127" s="349" t="s">
        <v>477</v>
      </c>
      <c r="H127" s="350">
        <v>10000</v>
      </c>
      <c r="I127" s="350">
        <v>700</v>
      </c>
      <c r="J127" s="350">
        <v>46990</v>
      </c>
      <c r="K127" s="351">
        <f t="shared" ca="1" si="4"/>
        <v>40394</v>
      </c>
      <c r="L127" s="350" t="s">
        <v>359</v>
      </c>
      <c r="M127" s="50"/>
      <c r="N127" s="50"/>
      <c r="O127" s="352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339"/>
      <c r="AJ127" s="353">
        <f t="shared" si="5"/>
        <v>116</v>
      </c>
    </row>
    <row r="128" spans="1:36">
      <c r="A128" s="332">
        <f t="shared" si="6"/>
        <v>117</v>
      </c>
      <c r="G128" s="349" t="s">
        <v>478</v>
      </c>
      <c r="H128" s="350">
        <v>5000</v>
      </c>
      <c r="I128" s="350">
        <v>600</v>
      </c>
      <c r="J128" s="350">
        <v>11700</v>
      </c>
      <c r="K128" s="351">
        <f t="shared" ca="1" si="4"/>
        <v>40394</v>
      </c>
      <c r="L128" s="350" t="s">
        <v>362</v>
      </c>
      <c r="M128" s="50"/>
      <c r="N128" s="50"/>
      <c r="O128" s="352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339"/>
      <c r="AJ128" s="353">
        <f t="shared" si="5"/>
        <v>117</v>
      </c>
    </row>
    <row r="129" spans="1:36">
      <c r="A129" s="332">
        <f t="shared" si="6"/>
        <v>118</v>
      </c>
      <c r="G129" s="349" t="s">
        <v>479</v>
      </c>
      <c r="H129" s="350">
        <v>6000</v>
      </c>
      <c r="I129" s="350">
        <v>600</v>
      </c>
      <c r="J129" s="350">
        <v>17000</v>
      </c>
      <c r="K129" s="351">
        <f t="shared" ca="1" si="4"/>
        <v>40394</v>
      </c>
      <c r="L129" s="350" t="s">
        <v>362</v>
      </c>
      <c r="M129" s="50"/>
      <c r="N129" s="50"/>
      <c r="O129" s="352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339"/>
      <c r="AJ129" s="353">
        <f t="shared" si="5"/>
        <v>118</v>
      </c>
    </row>
    <row r="130" spans="1:36">
      <c r="A130" s="332">
        <f t="shared" si="6"/>
        <v>119</v>
      </c>
      <c r="G130" s="349" t="s">
        <v>480</v>
      </c>
      <c r="H130" s="350">
        <v>5000</v>
      </c>
      <c r="I130" s="350">
        <v>500</v>
      </c>
      <c r="J130" s="350">
        <v>4450</v>
      </c>
      <c r="K130" s="351">
        <f t="shared" ca="1" si="4"/>
        <v>40394</v>
      </c>
      <c r="L130" s="350" t="s">
        <v>359</v>
      </c>
      <c r="M130" s="50"/>
      <c r="N130" s="50"/>
      <c r="O130" s="352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339"/>
      <c r="AJ130" s="353">
        <f t="shared" si="5"/>
        <v>119</v>
      </c>
    </row>
    <row r="131" spans="1:36">
      <c r="A131" s="332">
        <f t="shared" si="6"/>
        <v>120</v>
      </c>
      <c r="G131" s="349" t="s">
        <v>481</v>
      </c>
      <c r="H131" s="350">
        <v>8000</v>
      </c>
      <c r="I131" s="350">
        <v>600</v>
      </c>
      <c r="J131" s="350">
        <v>29000</v>
      </c>
      <c r="K131" s="351">
        <f t="shared" ca="1" si="4"/>
        <v>40394</v>
      </c>
      <c r="L131" s="350" t="s">
        <v>362</v>
      </c>
      <c r="M131" s="50"/>
      <c r="N131" s="50"/>
      <c r="O131" s="352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339"/>
      <c r="AJ131" s="353">
        <f t="shared" si="5"/>
        <v>120</v>
      </c>
    </row>
    <row r="132" spans="1:36">
      <c r="A132" s="332">
        <f t="shared" si="6"/>
        <v>121</v>
      </c>
      <c r="G132" s="349" t="s">
        <v>482</v>
      </c>
      <c r="H132" s="350">
        <v>5000</v>
      </c>
      <c r="I132" s="350">
        <v>600</v>
      </c>
      <c r="J132" s="350">
        <v>5450</v>
      </c>
      <c r="K132" s="351">
        <f t="shared" ca="1" si="4"/>
        <v>40394</v>
      </c>
      <c r="L132" s="350" t="s">
        <v>362</v>
      </c>
      <c r="M132" s="50"/>
      <c r="N132" s="50"/>
      <c r="O132" s="352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339"/>
      <c r="AJ132" s="353">
        <f t="shared" si="5"/>
        <v>121</v>
      </c>
    </row>
    <row r="133" spans="1:36">
      <c r="A133" s="332">
        <f t="shared" si="6"/>
        <v>122</v>
      </c>
      <c r="G133" s="349" t="s">
        <v>483</v>
      </c>
      <c r="H133" s="350">
        <v>5000</v>
      </c>
      <c r="I133" s="350">
        <v>1500</v>
      </c>
      <c r="J133" s="350">
        <v>15000</v>
      </c>
      <c r="K133" s="351">
        <f t="shared" ca="1" si="4"/>
        <v>40394</v>
      </c>
      <c r="L133" s="350" t="s">
        <v>359</v>
      </c>
      <c r="M133" s="50"/>
      <c r="N133" s="50"/>
      <c r="O133" s="352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339"/>
      <c r="AJ133" s="353">
        <f t="shared" si="5"/>
        <v>122</v>
      </c>
    </row>
    <row r="134" spans="1:36">
      <c r="A134" s="332">
        <f t="shared" si="6"/>
        <v>123</v>
      </c>
      <c r="G134" s="349" t="s">
        <v>484</v>
      </c>
      <c r="H134" s="350">
        <v>5000</v>
      </c>
      <c r="I134" s="350">
        <v>500</v>
      </c>
      <c r="J134" s="350">
        <v>23750</v>
      </c>
      <c r="K134" s="351">
        <f t="shared" ca="1" si="4"/>
        <v>40394</v>
      </c>
      <c r="L134" s="350" t="s">
        <v>359</v>
      </c>
      <c r="M134" s="50"/>
      <c r="N134" s="50"/>
      <c r="O134" s="352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339"/>
      <c r="AJ134" s="353">
        <f t="shared" si="5"/>
        <v>123</v>
      </c>
    </row>
    <row r="135" spans="1:36">
      <c r="A135" s="332">
        <f t="shared" si="6"/>
        <v>124</v>
      </c>
      <c r="G135" s="349" t="s">
        <v>485</v>
      </c>
      <c r="H135" s="350">
        <v>9000</v>
      </c>
      <c r="I135" s="350">
        <v>600</v>
      </c>
      <c r="J135" s="350">
        <v>12000</v>
      </c>
      <c r="K135" s="351">
        <f t="shared" ca="1" si="4"/>
        <v>40394</v>
      </c>
      <c r="L135" s="350" t="s">
        <v>362</v>
      </c>
      <c r="M135" s="50"/>
      <c r="N135" s="50"/>
      <c r="O135" s="352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339"/>
      <c r="AJ135" s="353">
        <f t="shared" si="5"/>
        <v>124</v>
      </c>
    </row>
    <row r="136" spans="1:36">
      <c r="A136" s="332">
        <f t="shared" si="6"/>
        <v>125</v>
      </c>
      <c r="G136" s="349" t="s">
        <v>486</v>
      </c>
      <c r="H136" s="350">
        <v>5000</v>
      </c>
      <c r="I136" s="350">
        <v>1000</v>
      </c>
      <c r="J136" s="350">
        <v>18900</v>
      </c>
      <c r="K136" s="351">
        <f t="shared" ca="1" si="4"/>
        <v>40394</v>
      </c>
      <c r="L136" s="350" t="s">
        <v>359</v>
      </c>
      <c r="M136" s="50"/>
      <c r="N136" s="50"/>
      <c r="O136" s="352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339"/>
      <c r="AJ136" s="353">
        <f t="shared" si="5"/>
        <v>125</v>
      </c>
    </row>
    <row r="137" spans="1:36">
      <c r="A137" s="332">
        <f t="shared" si="6"/>
        <v>126</v>
      </c>
      <c r="G137" s="349" t="s">
        <v>487</v>
      </c>
      <c r="H137" s="350">
        <v>5000</v>
      </c>
      <c r="I137" s="350">
        <v>500</v>
      </c>
      <c r="J137" s="350">
        <v>2255</v>
      </c>
      <c r="K137" s="351">
        <f t="shared" ca="1" si="4"/>
        <v>40394</v>
      </c>
      <c r="L137" s="350" t="s">
        <v>362</v>
      </c>
      <c r="M137" s="50"/>
      <c r="N137" s="50"/>
      <c r="O137" s="352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339"/>
      <c r="AJ137" s="353">
        <f t="shared" si="5"/>
        <v>126</v>
      </c>
    </row>
    <row r="138" spans="1:36">
      <c r="A138" s="332">
        <f t="shared" si="6"/>
        <v>127</v>
      </c>
      <c r="G138" s="349" t="s">
        <v>488</v>
      </c>
      <c r="H138" s="350">
        <v>10000</v>
      </c>
      <c r="I138" s="350">
        <v>600</v>
      </c>
      <c r="J138" s="350">
        <v>21000</v>
      </c>
      <c r="K138" s="351">
        <f t="shared" ca="1" si="4"/>
        <v>40394</v>
      </c>
      <c r="L138" s="350" t="s">
        <v>362</v>
      </c>
      <c r="M138" s="50"/>
      <c r="N138" s="50"/>
      <c r="O138" s="352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339"/>
      <c r="AJ138" s="353">
        <f t="shared" si="5"/>
        <v>127</v>
      </c>
    </row>
    <row r="139" spans="1:36">
      <c r="A139" s="332">
        <f t="shared" si="6"/>
        <v>128</v>
      </c>
      <c r="G139" s="349" t="s">
        <v>489</v>
      </c>
      <c r="H139" s="350">
        <v>5000</v>
      </c>
      <c r="I139" s="350">
        <v>500</v>
      </c>
      <c r="J139" s="350">
        <v>4500</v>
      </c>
      <c r="K139" s="351">
        <f t="shared" ca="1" si="4"/>
        <v>40394</v>
      </c>
      <c r="L139" s="350" t="s">
        <v>359</v>
      </c>
      <c r="M139" s="50"/>
      <c r="N139" s="50"/>
      <c r="O139" s="352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339"/>
      <c r="AJ139" s="353">
        <f t="shared" si="5"/>
        <v>128</v>
      </c>
    </row>
    <row r="140" spans="1:36">
      <c r="A140" s="332">
        <f t="shared" si="6"/>
        <v>129</v>
      </c>
      <c r="G140" s="349" t="s">
        <v>490</v>
      </c>
      <c r="H140" s="350">
        <v>12000</v>
      </c>
      <c r="I140" s="350">
        <v>600</v>
      </c>
      <c r="J140" s="350">
        <v>14250</v>
      </c>
      <c r="K140" s="351">
        <f t="shared" ca="1" si="4"/>
        <v>40394</v>
      </c>
      <c r="L140" s="350" t="s">
        <v>359</v>
      </c>
      <c r="M140" s="50"/>
      <c r="N140" s="50"/>
      <c r="O140" s="352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339"/>
      <c r="AJ140" s="353">
        <f t="shared" si="5"/>
        <v>129</v>
      </c>
    </row>
    <row r="141" spans="1:36">
      <c r="A141" s="332">
        <f t="shared" si="6"/>
        <v>130</v>
      </c>
      <c r="G141" s="349" t="s">
        <v>491</v>
      </c>
      <c r="H141" s="350">
        <v>5000</v>
      </c>
      <c r="I141" s="350">
        <v>600</v>
      </c>
      <c r="J141" s="350">
        <v>8800</v>
      </c>
      <c r="K141" s="351">
        <f t="shared" ref="K141:K204" ca="1" si="7">TODAY()</f>
        <v>40394</v>
      </c>
      <c r="L141" s="350" t="s">
        <v>362</v>
      </c>
      <c r="M141" s="50"/>
      <c r="N141" s="50"/>
      <c r="O141" s="352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339"/>
      <c r="AJ141" s="353">
        <f t="shared" si="5"/>
        <v>130</v>
      </c>
    </row>
    <row r="142" spans="1:36">
      <c r="A142" s="332">
        <f t="shared" si="6"/>
        <v>131</v>
      </c>
      <c r="G142" s="349" t="s">
        <v>492</v>
      </c>
      <c r="H142" s="350">
        <v>5000</v>
      </c>
      <c r="I142" s="350">
        <v>500</v>
      </c>
      <c r="J142" s="350">
        <v>14450</v>
      </c>
      <c r="K142" s="351">
        <f t="shared" ca="1" si="7"/>
        <v>40394</v>
      </c>
      <c r="L142" s="350" t="s">
        <v>359</v>
      </c>
      <c r="M142" s="50"/>
      <c r="N142" s="50"/>
      <c r="O142" s="352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339"/>
      <c r="AJ142" s="353">
        <f t="shared" ref="AJ142:AJ205" si="8">AJ141+1</f>
        <v>131</v>
      </c>
    </row>
    <row r="143" spans="1:36">
      <c r="A143" s="332">
        <f t="shared" si="6"/>
        <v>132</v>
      </c>
      <c r="G143" s="349" t="s">
        <v>493</v>
      </c>
      <c r="H143" s="350">
        <v>5000</v>
      </c>
      <c r="I143" s="350">
        <v>500</v>
      </c>
      <c r="J143" s="350">
        <v>15000</v>
      </c>
      <c r="K143" s="351">
        <f t="shared" ca="1" si="7"/>
        <v>40394</v>
      </c>
      <c r="L143" s="350" t="s">
        <v>359</v>
      </c>
      <c r="M143" s="50"/>
      <c r="N143" s="50"/>
      <c r="O143" s="352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339"/>
      <c r="AJ143" s="353">
        <f t="shared" si="8"/>
        <v>132</v>
      </c>
    </row>
    <row r="144" spans="1:36">
      <c r="A144" s="332">
        <f t="shared" si="6"/>
        <v>133</v>
      </c>
      <c r="G144" s="349" t="s">
        <v>494</v>
      </c>
      <c r="H144" s="350">
        <v>21000</v>
      </c>
      <c r="I144" s="350">
        <v>500</v>
      </c>
      <c r="J144" s="350">
        <v>57000</v>
      </c>
      <c r="K144" s="351">
        <f t="shared" ca="1" si="7"/>
        <v>40394</v>
      </c>
      <c r="L144" s="350" t="s">
        <v>362</v>
      </c>
      <c r="M144" s="50"/>
      <c r="N144" s="50"/>
      <c r="O144" s="352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339"/>
      <c r="AJ144" s="353">
        <f t="shared" si="8"/>
        <v>133</v>
      </c>
    </row>
    <row r="145" spans="1:36">
      <c r="A145" s="332">
        <f t="shared" ref="A145:A208" si="9">1+A144</f>
        <v>134</v>
      </c>
      <c r="G145" s="349" t="s">
        <v>495</v>
      </c>
      <c r="H145" s="350">
        <v>6000</v>
      </c>
      <c r="I145" s="350">
        <v>500</v>
      </c>
      <c r="J145" s="350">
        <v>9470</v>
      </c>
      <c r="K145" s="351">
        <f t="shared" ca="1" si="7"/>
        <v>40394</v>
      </c>
      <c r="L145" s="350" t="s">
        <v>359</v>
      </c>
      <c r="M145" s="50"/>
      <c r="N145" s="50"/>
      <c r="O145" s="352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339"/>
      <c r="AJ145" s="353">
        <f t="shared" si="8"/>
        <v>134</v>
      </c>
    </row>
    <row r="146" spans="1:36">
      <c r="A146" s="332">
        <f t="shared" si="9"/>
        <v>135</v>
      </c>
      <c r="G146" s="349" t="s">
        <v>496</v>
      </c>
      <c r="H146" s="350">
        <v>5000</v>
      </c>
      <c r="I146" s="350">
        <v>500</v>
      </c>
      <c r="J146" s="350">
        <v>4500</v>
      </c>
      <c r="K146" s="351">
        <f t="shared" ca="1" si="7"/>
        <v>40394</v>
      </c>
      <c r="L146" s="350" t="s">
        <v>359</v>
      </c>
      <c r="M146" s="50"/>
      <c r="N146" s="50"/>
      <c r="O146" s="352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339"/>
      <c r="AJ146" s="353">
        <f t="shared" si="8"/>
        <v>135</v>
      </c>
    </row>
    <row r="147" spans="1:36">
      <c r="A147" s="332">
        <f t="shared" si="9"/>
        <v>136</v>
      </c>
      <c r="G147" s="349" t="s">
        <v>497</v>
      </c>
      <c r="H147" s="350">
        <v>10000</v>
      </c>
      <c r="I147" s="350">
        <v>2000</v>
      </c>
      <c r="J147" s="350">
        <v>27000</v>
      </c>
      <c r="K147" s="351">
        <f t="shared" ca="1" si="7"/>
        <v>40394</v>
      </c>
      <c r="L147" s="350" t="s">
        <v>359</v>
      </c>
      <c r="M147" s="50"/>
      <c r="N147" s="50"/>
      <c r="O147" s="352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339"/>
      <c r="AJ147" s="353">
        <f t="shared" si="8"/>
        <v>136</v>
      </c>
    </row>
    <row r="148" spans="1:36">
      <c r="A148" s="332">
        <f t="shared" si="9"/>
        <v>137</v>
      </c>
      <c r="G148" s="349" t="s">
        <v>498</v>
      </c>
      <c r="H148" s="350">
        <v>5000</v>
      </c>
      <c r="I148" s="350">
        <v>500</v>
      </c>
      <c r="J148" s="350">
        <v>10950</v>
      </c>
      <c r="K148" s="351">
        <f t="shared" ca="1" si="7"/>
        <v>40394</v>
      </c>
      <c r="L148" s="350" t="s">
        <v>359</v>
      </c>
      <c r="M148" s="50"/>
      <c r="N148" s="50"/>
      <c r="O148" s="352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339"/>
      <c r="AJ148" s="353">
        <f t="shared" si="8"/>
        <v>137</v>
      </c>
    </row>
    <row r="149" spans="1:36">
      <c r="A149" s="332">
        <f t="shared" si="9"/>
        <v>138</v>
      </c>
      <c r="G149" s="349" t="s">
        <v>499</v>
      </c>
      <c r="H149" s="350">
        <v>5000</v>
      </c>
      <c r="I149" s="350">
        <v>1000</v>
      </c>
      <c r="J149" s="350">
        <v>12000</v>
      </c>
      <c r="K149" s="351">
        <f t="shared" ca="1" si="7"/>
        <v>40394</v>
      </c>
      <c r="L149" s="350" t="s">
        <v>359</v>
      </c>
      <c r="M149" s="50"/>
      <c r="N149" s="50"/>
      <c r="O149" s="352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339"/>
      <c r="AJ149" s="353">
        <f t="shared" si="8"/>
        <v>138</v>
      </c>
    </row>
    <row r="150" spans="1:36">
      <c r="A150" s="332">
        <f t="shared" si="9"/>
        <v>139</v>
      </c>
      <c r="G150" s="349" t="s">
        <v>500</v>
      </c>
      <c r="H150" s="350">
        <v>7000</v>
      </c>
      <c r="I150" s="350">
        <v>600</v>
      </c>
      <c r="J150" s="350">
        <v>9600</v>
      </c>
      <c r="K150" s="351">
        <f t="shared" ca="1" si="7"/>
        <v>40394</v>
      </c>
      <c r="L150" s="350" t="s">
        <v>362</v>
      </c>
      <c r="M150" s="50"/>
      <c r="N150" s="50"/>
      <c r="O150" s="352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339"/>
      <c r="AJ150" s="353">
        <f t="shared" si="8"/>
        <v>139</v>
      </c>
    </row>
    <row r="151" spans="1:36">
      <c r="A151" s="332">
        <f t="shared" si="9"/>
        <v>140</v>
      </c>
      <c r="G151" s="349" t="s">
        <v>501</v>
      </c>
      <c r="H151" s="350">
        <v>5000</v>
      </c>
      <c r="I151" s="350">
        <v>500</v>
      </c>
      <c r="J151" s="350">
        <v>5500</v>
      </c>
      <c r="K151" s="351">
        <f t="shared" ca="1" si="7"/>
        <v>40394</v>
      </c>
      <c r="L151" s="350" t="s">
        <v>359</v>
      </c>
      <c r="M151" s="50"/>
      <c r="N151" s="50"/>
      <c r="O151" s="352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339"/>
      <c r="AJ151" s="353">
        <f t="shared" si="8"/>
        <v>140</v>
      </c>
    </row>
    <row r="152" spans="1:36">
      <c r="A152" s="332">
        <f t="shared" si="9"/>
        <v>141</v>
      </c>
      <c r="G152" s="349" t="s">
        <v>502</v>
      </c>
      <c r="H152" s="350">
        <v>5000</v>
      </c>
      <c r="I152" s="350">
        <v>700</v>
      </c>
      <c r="J152" s="350">
        <v>2150</v>
      </c>
      <c r="K152" s="351">
        <f t="shared" ca="1" si="7"/>
        <v>40394</v>
      </c>
      <c r="L152" s="350" t="s">
        <v>359</v>
      </c>
      <c r="M152" s="50"/>
      <c r="N152" s="50"/>
      <c r="O152" s="352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339"/>
      <c r="AJ152" s="353">
        <f t="shared" si="8"/>
        <v>141</v>
      </c>
    </row>
    <row r="153" spans="1:36">
      <c r="A153" s="332">
        <f t="shared" si="9"/>
        <v>142</v>
      </c>
      <c r="G153" s="349" t="s">
        <v>503</v>
      </c>
      <c r="H153" s="350">
        <v>12500</v>
      </c>
      <c r="I153" s="350">
        <v>500</v>
      </c>
      <c r="J153" s="350">
        <v>21000</v>
      </c>
      <c r="K153" s="351">
        <f t="shared" ca="1" si="7"/>
        <v>40394</v>
      </c>
      <c r="L153" s="350" t="s">
        <v>359</v>
      </c>
      <c r="M153" s="50"/>
      <c r="N153" s="50"/>
      <c r="O153" s="352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339"/>
      <c r="AJ153" s="353">
        <f t="shared" si="8"/>
        <v>142</v>
      </c>
    </row>
    <row r="154" spans="1:36">
      <c r="A154" s="332">
        <f t="shared" si="9"/>
        <v>143</v>
      </c>
      <c r="G154" s="349" t="s">
        <v>504</v>
      </c>
      <c r="H154" s="350">
        <v>8000</v>
      </c>
      <c r="I154" s="350">
        <v>500</v>
      </c>
      <c r="J154" s="350">
        <v>18000</v>
      </c>
      <c r="K154" s="351">
        <f t="shared" ca="1" si="7"/>
        <v>40394</v>
      </c>
      <c r="L154" s="350" t="s">
        <v>359</v>
      </c>
      <c r="M154" s="50"/>
      <c r="N154" s="50"/>
      <c r="O154" s="352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339"/>
      <c r="AJ154" s="353">
        <f t="shared" si="8"/>
        <v>143</v>
      </c>
    </row>
    <row r="155" spans="1:36">
      <c r="A155" s="332">
        <f t="shared" si="9"/>
        <v>144</v>
      </c>
      <c r="G155" s="349" t="s">
        <v>505</v>
      </c>
      <c r="H155" s="350">
        <v>7000</v>
      </c>
      <c r="I155" s="350">
        <v>600</v>
      </c>
      <c r="J155" s="350">
        <v>19140</v>
      </c>
      <c r="K155" s="351">
        <f t="shared" ca="1" si="7"/>
        <v>40394</v>
      </c>
      <c r="L155" s="350" t="s">
        <v>362</v>
      </c>
      <c r="M155" s="50"/>
      <c r="N155" s="50"/>
      <c r="O155" s="352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339"/>
      <c r="AJ155" s="353">
        <f t="shared" si="8"/>
        <v>144</v>
      </c>
    </row>
    <row r="156" spans="1:36">
      <c r="A156" s="332">
        <f t="shared" si="9"/>
        <v>145</v>
      </c>
      <c r="G156" s="349" t="s">
        <v>506</v>
      </c>
      <c r="H156" s="350">
        <v>5000</v>
      </c>
      <c r="I156" s="350">
        <v>600</v>
      </c>
      <c r="J156" s="350">
        <v>33250</v>
      </c>
      <c r="K156" s="351">
        <f t="shared" ca="1" si="7"/>
        <v>40394</v>
      </c>
      <c r="L156" s="350" t="s">
        <v>362</v>
      </c>
      <c r="M156" s="50"/>
      <c r="N156" s="50"/>
      <c r="O156" s="352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339"/>
      <c r="AJ156" s="353">
        <f t="shared" si="8"/>
        <v>145</v>
      </c>
    </row>
    <row r="157" spans="1:36">
      <c r="A157" s="332">
        <f t="shared" si="9"/>
        <v>146</v>
      </c>
      <c r="G157" s="349" t="s">
        <v>507</v>
      </c>
      <c r="H157" s="350">
        <v>5000</v>
      </c>
      <c r="I157" s="350">
        <v>600</v>
      </c>
      <c r="J157" s="350">
        <v>6500</v>
      </c>
      <c r="K157" s="351">
        <f t="shared" ca="1" si="7"/>
        <v>40394</v>
      </c>
      <c r="L157" s="350" t="s">
        <v>362</v>
      </c>
      <c r="M157" s="50"/>
      <c r="N157" s="50"/>
      <c r="O157" s="352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339"/>
      <c r="AJ157" s="353">
        <f t="shared" si="8"/>
        <v>146</v>
      </c>
    </row>
    <row r="158" spans="1:36">
      <c r="A158" s="332">
        <f t="shared" si="9"/>
        <v>147</v>
      </c>
      <c r="G158" s="349" t="s">
        <v>508</v>
      </c>
      <c r="H158" s="350">
        <v>5000</v>
      </c>
      <c r="I158" s="350">
        <v>600</v>
      </c>
      <c r="J158" s="350">
        <v>10000</v>
      </c>
      <c r="K158" s="351">
        <f t="shared" ca="1" si="7"/>
        <v>40394</v>
      </c>
      <c r="L158" s="350" t="s">
        <v>362</v>
      </c>
      <c r="M158" s="50"/>
      <c r="N158" s="50"/>
      <c r="O158" s="352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339"/>
      <c r="AJ158" s="353">
        <f t="shared" si="8"/>
        <v>147</v>
      </c>
    </row>
    <row r="159" spans="1:36">
      <c r="A159" s="332">
        <f t="shared" si="9"/>
        <v>148</v>
      </c>
      <c r="G159" s="349" t="s">
        <v>509</v>
      </c>
      <c r="H159" s="350">
        <v>10000</v>
      </c>
      <c r="I159" s="350">
        <v>600</v>
      </c>
      <c r="J159" s="350">
        <v>21000</v>
      </c>
      <c r="K159" s="351">
        <f t="shared" ca="1" si="7"/>
        <v>40394</v>
      </c>
      <c r="L159" s="350" t="s">
        <v>362</v>
      </c>
      <c r="M159" s="50"/>
      <c r="N159" s="50"/>
      <c r="O159" s="352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339"/>
      <c r="AJ159" s="353">
        <f t="shared" si="8"/>
        <v>148</v>
      </c>
    </row>
    <row r="160" spans="1:36">
      <c r="A160" s="332">
        <f t="shared" si="9"/>
        <v>149</v>
      </c>
      <c r="G160" s="349" t="s">
        <v>510</v>
      </c>
      <c r="H160" s="350">
        <v>5000</v>
      </c>
      <c r="I160" s="350">
        <v>600</v>
      </c>
      <c r="J160" s="350">
        <v>18160</v>
      </c>
      <c r="K160" s="351">
        <f t="shared" ca="1" si="7"/>
        <v>40394</v>
      </c>
      <c r="L160" s="350" t="s">
        <v>362</v>
      </c>
      <c r="M160" s="50"/>
      <c r="N160" s="50"/>
      <c r="O160" s="352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339"/>
      <c r="AJ160" s="353">
        <f t="shared" si="8"/>
        <v>149</v>
      </c>
    </row>
    <row r="161" spans="1:36">
      <c r="A161" s="332">
        <f t="shared" si="9"/>
        <v>150</v>
      </c>
      <c r="G161" s="349" t="s">
        <v>511</v>
      </c>
      <c r="H161" s="350">
        <v>5000</v>
      </c>
      <c r="I161" s="350">
        <v>600</v>
      </c>
      <c r="J161" s="350">
        <v>5000</v>
      </c>
      <c r="K161" s="351">
        <f t="shared" ca="1" si="7"/>
        <v>40394</v>
      </c>
      <c r="L161" s="350" t="s">
        <v>362</v>
      </c>
      <c r="M161" s="50"/>
      <c r="N161" s="50"/>
      <c r="O161" s="352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339"/>
      <c r="AJ161" s="353">
        <f t="shared" si="8"/>
        <v>150</v>
      </c>
    </row>
    <row r="162" spans="1:36">
      <c r="A162" s="332">
        <f t="shared" si="9"/>
        <v>151</v>
      </c>
      <c r="G162" s="349" t="s">
        <v>512</v>
      </c>
      <c r="H162" s="350">
        <v>7000</v>
      </c>
      <c r="I162" s="350">
        <v>600</v>
      </c>
      <c r="J162" s="350">
        <v>4300</v>
      </c>
      <c r="K162" s="351">
        <f t="shared" ca="1" si="7"/>
        <v>40394</v>
      </c>
      <c r="L162" s="350" t="s">
        <v>362</v>
      </c>
      <c r="M162" s="50"/>
      <c r="N162" s="50"/>
      <c r="O162" s="352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339"/>
      <c r="AJ162" s="353">
        <f t="shared" si="8"/>
        <v>151</v>
      </c>
    </row>
    <row r="163" spans="1:36">
      <c r="A163" s="332">
        <f t="shared" si="9"/>
        <v>152</v>
      </c>
      <c r="G163" s="349" t="s">
        <v>513</v>
      </c>
      <c r="H163" s="350">
        <v>10000</v>
      </c>
      <c r="I163" s="350">
        <v>600</v>
      </c>
      <c r="J163" s="350">
        <v>13000</v>
      </c>
      <c r="K163" s="351">
        <f t="shared" ca="1" si="7"/>
        <v>40394</v>
      </c>
      <c r="L163" s="350" t="s">
        <v>362</v>
      </c>
      <c r="M163" s="50"/>
      <c r="N163" s="50"/>
      <c r="O163" s="352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339"/>
      <c r="AJ163" s="353">
        <f t="shared" si="8"/>
        <v>152</v>
      </c>
    </row>
    <row r="164" spans="1:36">
      <c r="A164" s="332">
        <f t="shared" si="9"/>
        <v>153</v>
      </c>
      <c r="G164" s="349" t="s">
        <v>514</v>
      </c>
      <c r="H164" s="350">
        <v>10000</v>
      </c>
      <c r="I164" s="350">
        <v>500</v>
      </c>
      <c r="J164" s="350">
        <v>21000</v>
      </c>
      <c r="K164" s="351">
        <f t="shared" ca="1" si="7"/>
        <v>40394</v>
      </c>
      <c r="L164" s="350" t="s">
        <v>359</v>
      </c>
      <c r="M164" s="50"/>
      <c r="N164" s="50"/>
      <c r="O164" s="352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339"/>
      <c r="AJ164" s="353">
        <f t="shared" si="8"/>
        <v>153</v>
      </c>
    </row>
    <row r="165" spans="1:36">
      <c r="A165" s="332">
        <f t="shared" si="9"/>
        <v>154</v>
      </c>
      <c r="G165" s="349" t="s">
        <v>515</v>
      </c>
      <c r="H165" s="350">
        <v>15000</v>
      </c>
      <c r="I165" s="350">
        <v>600</v>
      </c>
      <c r="J165" s="350">
        <v>7000</v>
      </c>
      <c r="K165" s="351">
        <f t="shared" ca="1" si="7"/>
        <v>40394</v>
      </c>
      <c r="L165" s="350" t="s">
        <v>362</v>
      </c>
      <c r="M165" s="50"/>
      <c r="N165" s="50"/>
      <c r="O165" s="352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339"/>
      <c r="AJ165" s="353">
        <f t="shared" si="8"/>
        <v>154</v>
      </c>
    </row>
    <row r="166" spans="1:36">
      <c r="A166" s="332">
        <f t="shared" si="9"/>
        <v>155</v>
      </c>
      <c r="G166" s="349" t="s">
        <v>516</v>
      </c>
      <c r="H166" s="350">
        <v>7000</v>
      </c>
      <c r="I166" s="350">
        <v>600</v>
      </c>
      <c r="J166" s="350">
        <v>21100</v>
      </c>
      <c r="K166" s="351">
        <f t="shared" ca="1" si="7"/>
        <v>40394</v>
      </c>
      <c r="L166" s="350" t="s">
        <v>362</v>
      </c>
      <c r="M166" s="50"/>
      <c r="N166" s="50"/>
      <c r="O166" s="352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339"/>
      <c r="AJ166" s="353">
        <f t="shared" si="8"/>
        <v>155</v>
      </c>
    </row>
    <row r="167" spans="1:36">
      <c r="A167" s="332">
        <f t="shared" si="9"/>
        <v>156</v>
      </c>
      <c r="G167" s="349" t="s">
        <v>517</v>
      </c>
      <c r="H167" s="350">
        <v>10000</v>
      </c>
      <c r="I167" s="350">
        <v>600</v>
      </c>
      <c r="J167" s="350">
        <v>24000</v>
      </c>
      <c r="K167" s="351">
        <f t="shared" ca="1" si="7"/>
        <v>40394</v>
      </c>
      <c r="L167" s="350" t="s">
        <v>362</v>
      </c>
      <c r="M167" s="50"/>
      <c r="N167" s="50"/>
      <c r="O167" s="352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339"/>
      <c r="AJ167" s="353">
        <f t="shared" si="8"/>
        <v>156</v>
      </c>
    </row>
    <row r="168" spans="1:36">
      <c r="A168" s="332">
        <f t="shared" si="9"/>
        <v>157</v>
      </c>
      <c r="G168" s="349" t="s">
        <v>518</v>
      </c>
      <c r="H168" s="350">
        <v>5000</v>
      </c>
      <c r="I168" s="350">
        <v>600</v>
      </c>
      <c r="J168" s="350">
        <v>18800</v>
      </c>
      <c r="K168" s="351">
        <f t="shared" ca="1" si="7"/>
        <v>40394</v>
      </c>
      <c r="L168" s="350" t="s">
        <v>362</v>
      </c>
      <c r="M168" s="50"/>
      <c r="N168" s="50"/>
      <c r="O168" s="352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339"/>
      <c r="AJ168" s="353">
        <f t="shared" si="8"/>
        <v>157</v>
      </c>
    </row>
    <row r="169" spans="1:36">
      <c r="A169" s="332">
        <f t="shared" si="9"/>
        <v>158</v>
      </c>
      <c r="G169" s="349" t="s">
        <v>519</v>
      </c>
      <c r="H169" s="350">
        <v>6735</v>
      </c>
      <c r="I169" s="350">
        <v>600</v>
      </c>
      <c r="J169" s="350">
        <v>8550</v>
      </c>
      <c r="K169" s="351">
        <f t="shared" ca="1" si="7"/>
        <v>40394</v>
      </c>
      <c r="L169" s="350" t="s">
        <v>359</v>
      </c>
      <c r="M169" s="50"/>
      <c r="N169" s="50"/>
      <c r="O169" s="352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339"/>
      <c r="AJ169" s="353">
        <f t="shared" si="8"/>
        <v>158</v>
      </c>
    </row>
    <row r="170" spans="1:36">
      <c r="A170" s="332">
        <f t="shared" si="9"/>
        <v>159</v>
      </c>
      <c r="G170" s="349" t="s">
        <v>520</v>
      </c>
      <c r="H170" s="350">
        <v>5000</v>
      </c>
      <c r="I170" s="350">
        <v>600</v>
      </c>
      <c r="J170" s="350">
        <v>11800</v>
      </c>
      <c r="K170" s="351">
        <f t="shared" ca="1" si="7"/>
        <v>40394</v>
      </c>
      <c r="L170" s="350" t="s">
        <v>362</v>
      </c>
      <c r="M170" s="50"/>
      <c r="N170" s="50"/>
      <c r="O170" s="352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339"/>
      <c r="AJ170" s="353">
        <f t="shared" si="8"/>
        <v>159</v>
      </c>
    </row>
    <row r="171" spans="1:36">
      <c r="A171" s="332">
        <f t="shared" si="9"/>
        <v>160</v>
      </c>
      <c r="G171" s="349" t="s">
        <v>521</v>
      </c>
      <c r="H171" s="350">
        <v>8000</v>
      </c>
      <c r="I171" s="350">
        <v>600</v>
      </c>
      <c r="J171" s="350">
        <v>12350</v>
      </c>
      <c r="K171" s="351">
        <f t="shared" ca="1" si="7"/>
        <v>40394</v>
      </c>
      <c r="L171" s="350" t="s">
        <v>362</v>
      </c>
      <c r="M171" s="50"/>
      <c r="N171" s="50"/>
      <c r="O171" s="352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339"/>
      <c r="AJ171" s="353">
        <f t="shared" si="8"/>
        <v>160</v>
      </c>
    </row>
    <row r="172" spans="1:36">
      <c r="A172" s="332">
        <f t="shared" si="9"/>
        <v>161</v>
      </c>
      <c r="G172" s="349" t="s">
        <v>522</v>
      </c>
      <c r="H172" s="350">
        <v>5000</v>
      </c>
      <c r="I172" s="350">
        <v>500</v>
      </c>
      <c r="J172" s="350">
        <v>5650</v>
      </c>
      <c r="K172" s="351">
        <f t="shared" ca="1" si="7"/>
        <v>40394</v>
      </c>
      <c r="L172" s="350" t="s">
        <v>359</v>
      </c>
      <c r="M172" s="50"/>
      <c r="N172" s="50"/>
      <c r="O172" s="352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339"/>
      <c r="AJ172" s="353">
        <f t="shared" si="8"/>
        <v>161</v>
      </c>
    </row>
    <row r="173" spans="1:36">
      <c r="A173" s="332">
        <f t="shared" si="9"/>
        <v>162</v>
      </c>
      <c r="G173" s="349" t="s">
        <v>523</v>
      </c>
      <c r="H173" s="350">
        <v>7000</v>
      </c>
      <c r="I173" s="350">
        <v>600</v>
      </c>
      <c r="J173" s="350">
        <v>19650</v>
      </c>
      <c r="K173" s="351">
        <f t="shared" ca="1" si="7"/>
        <v>40394</v>
      </c>
      <c r="L173" s="350" t="s">
        <v>359</v>
      </c>
      <c r="M173" s="50"/>
      <c r="N173" s="50"/>
      <c r="O173" s="352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339"/>
      <c r="AJ173" s="353">
        <f t="shared" si="8"/>
        <v>162</v>
      </c>
    </row>
    <row r="174" spans="1:36">
      <c r="A174" s="332">
        <f t="shared" si="9"/>
        <v>163</v>
      </c>
      <c r="G174" s="349" t="s">
        <v>524</v>
      </c>
      <c r="H174" s="350">
        <v>5000</v>
      </c>
      <c r="I174" s="350">
        <v>600</v>
      </c>
      <c r="J174" s="350">
        <v>8500</v>
      </c>
      <c r="K174" s="351">
        <f t="shared" ca="1" si="7"/>
        <v>40394</v>
      </c>
      <c r="L174" s="350" t="s">
        <v>362</v>
      </c>
      <c r="M174" s="50"/>
      <c r="N174" s="50"/>
      <c r="O174" s="352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339"/>
      <c r="AJ174" s="353">
        <f t="shared" si="8"/>
        <v>163</v>
      </c>
    </row>
    <row r="175" spans="1:36">
      <c r="A175" s="332">
        <f t="shared" si="9"/>
        <v>164</v>
      </c>
      <c r="G175" s="349" t="s">
        <v>525</v>
      </c>
      <c r="H175" s="350">
        <v>10000</v>
      </c>
      <c r="I175" s="350">
        <v>600</v>
      </c>
      <c r="J175" s="350">
        <v>13000</v>
      </c>
      <c r="K175" s="351">
        <f t="shared" ca="1" si="7"/>
        <v>40394</v>
      </c>
      <c r="L175" s="350" t="s">
        <v>362</v>
      </c>
      <c r="M175" s="50"/>
      <c r="N175" s="50"/>
      <c r="O175" s="352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339"/>
      <c r="AJ175" s="353">
        <f t="shared" si="8"/>
        <v>164</v>
      </c>
    </row>
    <row r="176" spans="1:36">
      <c r="A176" s="332">
        <f t="shared" si="9"/>
        <v>165</v>
      </c>
      <c r="G176" s="349" t="s">
        <v>526</v>
      </c>
      <c r="H176" s="350">
        <v>10000</v>
      </c>
      <c r="I176" s="350">
        <v>500</v>
      </c>
      <c r="J176" s="350">
        <v>8300</v>
      </c>
      <c r="K176" s="351">
        <f t="shared" ca="1" si="7"/>
        <v>40394</v>
      </c>
      <c r="L176" s="350" t="s">
        <v>359</v>
      </c>
      <c r="M176" s="50"/>
      <c r="N176" s="50"/>
      <c r="O176" s="352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339"/>
      <c r="AJ176" s="353">
        <f t="shared" si="8"/>
        <v>165</v>
      </c>
    </row>
    <row r="177" spans="1:36">
      <c r="A177" s="332">
        <f t="shared" si="9"/>
        <v>166</v>
      </c>
      <c r="G177" s="349" t="s">
        <v>527</v>
      </c>
      <c r="H177" s="350">
        <v>5000</v>
      </c>
      <c r="I177" s="350">
        <v>600</v>
      </c>
      <c r="J177" s="350">
        <v>7000</v>
      </c>
      <c r="K177" s="351">
        <f t="shared" ca="1" si="7"/>
        <v>40394</v>
      </c>
      <c r="L177" s="350" t="s">
        <v>362</v>
      </c>
      <c r="M177" s="50"/>
      <c r="N177" s="50"/>
      <c r="O177" s="352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339"/>
      <c r="AJ177" s="353">
        <f t="shared" si="8"/>
        <v>166</v>
      </c>
    </row>
    <row r="178" spans="1:36">
      <c r="A178" s="332">
        <f t="shared" si="9"/>
        <v>167</v>
      </c>
      <c r="G178" s="349" t="s">
        <v>528</v>
      </c>
      <c r="H178" s="350">
        <v>15000</v>
      </c>
      <c r="I178" s="350">
        <v>600</v>
      </c>
      <c r="J178" s="350">
        <v>26000</v>
      </c>
      <c r="K178" s="351">
        <f t="shared" ca="1" si="7"/>
        <v>40394</v>
      </c>
      <c r="L178" s="350" t="s">
        <v>362</v>
      </c>
      <c r="M178" s="50"/>
      <c r="N178" s="50"/>
      <c r="O178" s="352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339"/>
      <c r="AJ178" s="353">
        <f t="shared" si="8"/>
        <v>167</v>
      </c>
    </row>
    <row r="179" spans="1:36">
      <c r="A179" s="332">
        <f t="shared" si="9"/>
        <v>168</v>
      </c>
      <c r="G179" s="349" t="s">
        <v>529</v>
      </c>
      <c r="H179" s="350">
        <v>5000</v>
      </c>
      <c r="I179" s="350">
        <v>600</v>
      </c>
      <c r="J179" s="350">
        <v>3590</v>
      </c>
      <c r="K179" s="351">
        <f t="shared" ca="1" si="7"/>
        <v>40394</v>
      </c>
      <c r="L179" s="350" t="s">
        <v>362</v>
      </c>
      <c r="M179" s="50"/>
      <c r="N179" s="50"/>
      <c r="O179" s="352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339"/>
      <c r="AJ179" s="353">
        <f t="shared" si="8"/>
        <v>168</v>
      </c>
    </row>
    <row r="180" spans="1:36">
      <c r="A180" s="332">
        <f t="shared" si="9"/>
        <v>169</v>
      </c>
      <c r="G180" s="349" t="s">
        <v>530</v>
      </c>
      <c r="H180" s="350">
        <v>5000</v>
      </c>
      <c r="I180" s="350">
        <v>600</v>
      </c>
      <c r="J180" s="350">
        <v>5500</v>
      </c>
      <c r="K180" s="351">
        <f t="shared" ca="1" si="7"/>
        <v>40394</v>
      </c>
      <c r="L180" s="350" t="s">
        <v>362</v>
      </c>
      <c r="M180" s="50"/>
      <c r="N180" s="50"/>
      <c r="O180" s="352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339"/>
      <c r="AJ180" s="353">
        <f t="shared" si="8"/>
        <v>169</v>
      </c>
    </row>
    <row r="181" spans="1:36">
      <c r="A181" s="332">
        <f t="shared" si="9"/>
        <v>170</v>
      </c>
      <c r="G181" s="349" t="s">
        <v>531</v>
      </c>
      <c r="H181" s="350">
        <v>10000</v>
      </c>
      <c r="I181" s="350">
        <v>600</v>
      </c>
      <c r="J181" s="350">
        <v>13000</v>
      </c>
      <c r="K181" s="351">
        <f t="shared" ca="1" si="7"/>
        <v>40394</v>
      </c>
      <c r="L181" s="350" t="s">
        <v>362</v>
      </c>
      <c r="M181" s="50"/>
      <c r="N181" s="50"/>
      <c r="O181" s="352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339"/>
      <c r="AJ181" s="353">
        <f t="shared" si="8"/>
        <v>170</v>
      </c>
    </row>
    <row r="182" spans="1:36">
      <c r="A182" s="332">
        <f t="shared" si="9"/>
        <v>171</v>
      </c>
      <c r="G182" s="349" t="s">
        <v>532</v>
      </c>
      <c r="H182" s="350">
        <v>5000</v>
      </c>
      <c r="I182" s="350">
        <v>600</v>
      </c>
      <c r="J182" s="350">
        <v>13700</v>
      </c>
      <c r="K182" s="351">
        <f t="shared" ca="1" si="7"/>
        <v>40394</v>
      </c>
      <c r="L182" s="350" t="s">
        <v>362</v>
      </c>
      <c r="M182" s="50"/>
      <c r="N182" s="50"/>
      <c r="O182" s="352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339"/>
      <c r="AJ182" s="353">
        <f t="shared" si="8"/>
        <v>171</v>
      </c>
    </row>
    <row r="183" spans="1:36">
      <c r="A183" s="332">
        <f t="shared" si="9"/>
        <v>172</v>
      </c>
      <c r="G183" s="349" t="s">
        <v>533</v>
      </c>
      <c r="H183" s="350">
        <v>10000</v>
      </c>
      <c r="I183" s="350">
        <v>600</v>
      </c>
      <c r="J183" s="350">
        <v>16120</v>
      </c>
      <c r="K183" s="351">
        <f t="shared" ca="1" si="7"/>
        <v>40394</v>
      </c>
      <c r="L183" s="350" t="s">
        <v>362</v>
      </c>
      <c r="M183" s="50"/>
      <c r="N183" s="50"/>
      <c r="O183" s="352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339"/>
      <c r="AJ183" s="353">
        <f t="shared" si="8"/>
        <v>172</v>
      </c>
    </row>
    <row r="184" spans="1:36">
      <c r="A184" s="332">
        <f t="shared" si="9"/>
        <v>173</v>
      </c>
      <c r="G184" s="349" t="s">
        <v>534</v>
      </c>
      <c r="H184" s="350">
        <v>9400</v>
      </c>
      <c r="I184" s="350">
        <v>2000</v>
      </c>
      <c r="J184" s="350">
        <v>9300</v>
      </c>
      <c r="K184" s="351">
        <f t="shared" ca="1" si="7"/>
        <v>40394</v>
      </c>
      <c r="L184" s="350" t="s">
        <v>359</v>
      </c>
      <c r="M184" s="50"/>
      <c r="N184" s="50"/>
      <c r="O184" s="352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339"/>
      <c r="AJ184" s="353">
        <f t="shared" si="8"/>
        <v>173</v>
      </c>
    </row>
    <row r="185" spans="1:36">
      <c r="A185" s="332">
        <f t="shared" si="9"/>
        <v>174</v>
      </c>
      <c r="G185" s="349" t="s">
        <v>535</v>
      </c>
      <c r="H185" s="350">
        <v>5000</v>
      </c>
      <c r="I185" s="350">
        <v>500</v>
      </c>
      <c r="J185" s="350">
        <v>12450</v>
      </c>
      <c r="K185" s="351">
        <f t="shared" ca="1" si="7"/>
        <v>40394</v>
      </c>
      <c r="L185" s="350" t="s">
        <v>359</v>
      </c>
      <c r="M185" s="50"/>
      <c r="N185" s="50"/>
      <c r="O185" s="352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339"/>
      <c r="AJ185" s="353">
        <f t="shared" si="8"/>
        <v>174</v>
      </c>
    </row>
    <row r="186" spans="1:36">
      <c r="A186" s="332">
        <f t="shared" si="9"/>
        <v>175</v>
      </c>
      <c r="G186" s="349" t="s">
        <v>536</v>
      </c>
      <c r="H186" s="350">
        <v>5000</v>
      </c>
      <c r="I186" s="350">
        <v>600</v>
      </c>
      <c r="J186" s="350">
        <v>13100</v>
      </c>
      <c r="K186" s="351">
        <f t="shared" ca="1" si="7"/>
        <v>40394</v>
      </c>
      <c r="L186" s="350" t="s">
        <v>362</v>
      </c>
      <c r="M186" s="50"/>
      <c r="N186" s="50"/>
      <c r="O186" s="352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339"/>
      <c r="AJ186" s="353">
        <f t="shared" si="8"/>
        <v>175</v>
      </c>
    </row>
    <row r="187" spans="1:36">
      <c r="A187" s="332">
        <f t="shared" si="9"/>
        <v>176</v>
      </c>
      <c r="G187" s="349" t="s">
        <v>537</v>
      </c>
      <c r="H187" s="350">
        <v>5000</v>
      </c>
      <c r="I187" s="350">
        <v>600</v>
      </c>
      <c r="J187" s="350">
        <v>8050</v>
      </c>
      <c r="K187" s="351">
        <f t="shared" ca="1" si="7"/>
        <v>40394</v>
      </c>
      <c r="L187" s="350" t="s">
        <v>362</v>
      </c>
      <c r="M187" s="50"/>
      <c r="N187" s="50"/>
      <c r="O187" s="352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339"/>
      <c r="AJ187" s="353">
        <f t="shared" si="8"/>
        <v>176</v>
      </c>
    </row>
    <row r="188" spans="1:36">
      <c r="A188" s="332">
        <f t="shared" si="9"/>
        <v>177</v>
      </c>
      <c r="G188" s="349" t="s">
        <v>538</v>
      </c>
      <c r="H188" s="350">
        <v>5000</v>
      </c>
      <c r="I188" s="350">
        <v>500</v>
      </c>
      <c r="J188" s="350">
        <v>15000</v>
      </c>
      <c r="K188" s="351">
        <f t="shared" ca="1" si="7"/>
        <v>40394</v>
      </c>
      <c r="L188" s="350" t="s">
        <v>359</v>
      </c>
      <c r="M188" s="50"/>
      <c r="N188" s="50"/>
      <c r="O188" s="352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339"/>
      <c r="AJ188" s="353">
        <f t="shared" si="8"/>
        <v>177</v>
      </c>
    </row>
    <row r="189" spans="1:36">
      <c r="A189" s="332">
        <f t="shared" si="9"/>
        <v>178</v>
      </c>
      <c r="G189" s="349" t="s">
        <v>539</v>
      </c>
      <c r="H189" s="350">
        <v>5000</v>
      </c>
      <c r="I189" s="350">
        <v>600</v>
      </c>
      <c r="J189" s="350">
        <v>6050</v>
      </c>
      <c r="K189" s="351">
        <f t="shared" ca="1" si="7"/>
        <v>40394</v>
      </c>
      <c r="L189" s="350" t="s">
        <v>362</v>
      </c>
      <c r="M189" s="50"/>
      <c r="N189" s="50"/>
      <c r="O189" s="352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339"/>
      <c r="AJ189" s="353">
        <f t="shared" si="8"/>
        <v>178</v>
      </c>
    </row>
    <row r="190" spans="1:36">
      <c r="A190" s="332">
        <f t="shared" si="9"/>
        <v>179</v>
      </c>
      <c r="G190" s="349" t="s">
        <v>540</v>
      </c>
      <c r="H190" s="350">
        <v>5000</v>
      </c>
      <c r="I190" s="350">
        <v>600</v>
      </c>
      <c r="J190" s="350">
        <v>3600</v>
      </c>
      <c r="K190" s="351">
        <f t="shared" ca="1" si="7"/>
        <v>40394</v>
      </c>
      <c r="L190" s="350" t="s">
        <v>362</v>
      </c>
      <c r="M190" s="50"/>
      <c r="N190" s="50"/>
      <c r="O190" s="352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339"/>
      <c r="AJ190" s="353">
        <f t="shared" si="8"/>
        <v>179</v>
      </c>
    </row>
    <row r="191" spans="1:36">
      <c r="A191" s="332">
        <f t="shared" si="9"/>
        <v>180</v>
      </c>
      <c r="G191" s="349" t="s">
        <v>541</v>
      </c>
      <c r="H191" s="350">
        <v>13000</v>
      </c>
      <c r="I191" s="350">
        <v>600</v>
      </c>
      <c r="J191" s="350">
        <v>11500</v>
      </c>
      <c r="K191" s="351">
        <f t="shared" ca="1" si="7"/>
        <v>40394</v>
      </c>
      <c r="L191" s="350" t="s">
        <v>362</v>
      </c>
      <c r="M191" s="50"/>
      <c r="N191" s="50"/>
      <c r="O191" s="352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339"/>
      <c r="AJ191" s="353">
        <f t="shared" si="8"/>
        <v>180</v>
      </c>
    </row>
    <row r="192" spans="1:36">
      <c r="A192" s="332">
        <f t="shared" si="9"/>
        <v>181</v>
      </c>
      <c r="G192" s="349" t="s">
        <v>542</v>
      </c>
      <c r="H192" s="350">
        <v>10000</v>
      </c>
      <c r="I192" s="350">
        <v>600</v>
      </c>
      <c r="J192" s="350">
        <v>20600</v>
      </c>
      <c r="K192" s="351">
        <f t="shared" ca="1" si="7"/>
        <v>40394</v>
      </c>
      <c r="L192" s="350" t="s">
        <v>362</v>
      </c>
      <c r="M192" s="50"/>
      <c r="N192" s="50"/>
      <c r="O192" s="352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339"/>
      <c r="AJ192" s="353">
        <f t="shared" si="8"/>
        <v>181</v>
      </c>
    </row>
    <row r="193" spans="1:36">
      <c r="A193" s="332">
        <f t="shared" si="9"/>
        <v>182</v>
      </c>
      <c r="G193" s="349" t="s">
        <v>543</v>
      </c>
      <c r="H193" s="350">
        <v>5000</v>
      </c>
      <c r="I193" s="350">
        <v>600</v>
      </c>
      <c r="J193" s="350">
        <v>2860</v>
      </c>
      <c r="K193" s="351">
        <f t="shared" ca="1" si="7"/>
        <v>40394</v>
      </c>
      <c r="L193" s="350" t="s">
        <v>362</v>
      </c>
      <c r="M193" s="50"/>
      <c r="N193" s="50"/>
      <c r="O193" s="352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339"/>
      <c r="AJ193" s="353">
        <f t="shared" si="8"/>
        <v>182</v>
      </c>
    </row>
    <row r="194" spans="1:36">
      <c r="A194" s="332">
        <f t="shared" si="9"/>
        <v>183</v>
      </c>
      <c r="G194" s="349" t="s">
        <v>544</v>
      </c>
      <c r="H194" s="350">
        <v>5000</v>
      </c>
      <c r="I194" s="350">
        <v>600</v>
      </c>
      <c r="J194" s="350">
        <v>4700</v>
      </c>
      <c r="K194" s="351">
        <f t="shared" ca="1" si="7"/>
        <v>40394</v>
      </c>
      <c r="L194" s="350" t="s">
        <v>362</v>
      </c>
      <c r="M194" s="50"/>
      <c r="N194" s="50"/>
      <c r="O194" s="352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339"/>
      <c r="AJ194" s="353">
        <f t="shared" si="8"/>
        <v>183</v>
      </c>
    </row>
    <row r="195" spans="1:36">
      <c r="A195" s="332">
        <f t="shared" si="9"/>
        <v>184</v>
      </c>
      <c r="G195" s="349" t="s">
        <v>545</v>
      </c>
      <c r="H195" s="350">
        <v>5000</v>
      </c>
      <c r="I195" s="350">
        <v>500</v>
      </c>
      <c r="J195" s="350">
        <v>4400</v>
      </c>
      <c r="K195" s="351">
        <f t="shared" ca="1" si="7"/>
        <v>40394</v>
      </c>
      <c r="L195" s="350" t="s">
        <v>362</v>
      </c>
      <c r="M195" s="50"/>
      <c r="N195" s="50"/>
      <c r="O195" s="352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339"/>
      <c r="AJ195" s="353">
        <f t="shared" si="8"/>
        <v>184</v>
      </c>
    </row>
    <row r="196" spans="1:36">
      <c r="A196" s="332">
        <f t="shared" si="9"/>
        <v>185</v>
      </c>
      <c r="G196" s="349" t="s">
        <v>546</v>
      </c>
      <c r="H196" s="350">
        <v>6500</v>
      </c>
      <c r="I196" s="350">
        <v>600</v>
      </c>
      <c r="J196" s="350">
        <v>13800</v>
      </c>
      <c r="K196" s="351">
        <f t="shared" ca="1" si="7"/>
        <v>40394</v>
      </c>
      <c r="L196" s="350" t="s">
        <v>359</v>
      </c>
      <c r="M196" s="50"/>
      <c r="N196" s="50"/>
      <c r="O196" s="352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339"/>
      <c r="AJ196" s="353">
        <f t="shared" si="8"/>
        <v>185</v>
      </c>
    </row>
    <row r="197" spans="1:36">
      <c r="A197" s="332">
        <f t="shared" si="9"/>
        <v>186</v>
      </c>
      <c r="G197" s="349" t="s">
        <v>547</v>
      </c>
      <c r="H197" s="350">
        <v>5000</v>
      </c>
      <c r="I197" s="350">
        <v>600</v>
      </c>
      <c r="J197" s="350">
        <v>3510</v>
      </c>
      <c r="K197" s="351">
        <f t="shared" ca="1" si="7"/>
        <v>40394</v>
      </c>
      <c r="L197" s="350" t="s">
        <v>362</v>
      </c>
      <c r="M197" s="50"/>
      <c r="N197" s="50"/>
      <c r="O197" s="352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339"/>
      <c r="AJ197" s="353">
        <f t="shared" si="8"/>
        <v>186</v>
      </c>
    </row>
    <row r="198" spans="1:36">
      <c r="A198" s="332">
        <f t="shared" si="9"/>
        <v>187</v>
      </c>
      <c r="G198" s="349" t="s">
        <v>548</v>
      </c>
      <c r="H198" s="350">
        <v>6000</v>
      </c>
      <c r="I198" s="350">
        <v>500</v>
      </c>
      <c r="J198" s="350">
        <v>15690</v>
      </c>
      <c r="K198" s="351">
        <f t="shared" ca="1" si="7"/>
        <v>40394</v>
      </c>
      <c r="L198" s="350" t="s">
        <v>359</v>
      </c>
      <c r="M198" s="50"/>
      <c r="N198" s="50"/>
      <c r="O198" s="352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339"/>
      <c r="AJ198" s="353">
        <f t="shared" si="8"/>
        <v>187</v>
      </c>
    </row>
    <row r="199" spans="1:36">
      <c r="A199" s="332">
        <f t="shared" si="9"/>
        <v>188</v>
      </c>
      <c r="G199" s="349" t="s">
        <v>549</v>
      </c>
      <c r="H199" s="350">
        <v>5000</v>
      </c>
      <c r="I199" s="350">
        <v>500</v>
      </c>
      <c r="J199" s="350">
        <v>4000</v>
      </c>
      <c r="K199" s="351">
        <f t="shared" ca="1" si="7"/>
        <v>40394</v>
      </c>
      <c r="L199" s="350" t="s">
        <v>359</v>
      </c>
      <c r="M199" s="50"/>
      <c r="N199" s="50"/>
      <c r="O199" s="352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339"/>
      <c r="AJ199" s="353">
        <f t="shared" si="8"/>
        <v>188</v>
      </c>
    </row>
    <row r="200" spans="1:36">
      <c r="A200" s="332">
        <f t="shared" si="9"/>
        <v>189</v>
      </c>
      <c r="G200" s="349" t="s">
        <v>550</v>
      </c>
      <c r="H200" s="350">
        <v>8000</v>
      </c>
      <c r="I200" s="350">
        <v>600</v>
      </c>
      <c r="J200" s="350">
        <v>37170</v>
      </c>
      <c r="K200" s="351">
        <f t="shared" ca="1" si="7"/>
        <v>40394</v>
      </c>
      <c r="L200" s="350" t="s">
        <v>362</v>
      </c>
      <c r="M200" s="50"/>
      <c r="N200" s="50"/>
      <c r="O200" s="352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339"/>
      <c r="AJ200" s="353">
        <f t="shared" si="8"/>
        <v>189</v>
      </c>
    </row>
    <row r="201" spans="1:36">
      <c r="A201" s="332">
        <f t="shared" si="9"/>
        <v>190</v>
      </c>
      <c r="G201" s="349" t="s">
        <v>551</v>
      </c>
      <c r="H201" s="350">
        <v>7500</v>
      </c>
      <c r="I201" s="350">
        <v>500</v>
      </c>
      <c r="J201" s="350">
        <v>32602</v>
      </c>
      <c r="K201" s="351">
        <f t="shared" ca="1" si="7"/>
        <v>40394</v>
      </c>
      <c r="L201" s="350" t="s">
        <v>359</v>
      </c>
      <c r="M201" s="50"/>
      <c r="N201" s="50"/>
      <c r="O201" s="352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339"/>
      <c r="AJ201" s="353">
        <f t="shared" si="8"/>
        <v>190</v>
      </c>
    </row>
    <row r="202" spans="1:36">
      <c r="A202" s="332">
        <f t="shared" si="9"/>
        <v>191</v>
      </c>
      <c r="G202" s="349" t="s">
        <v>552</v>
      </c>
      <c r="H202" s="350">
        <v>5000</v>
      </c>
      <c r="I202" s="350">
        <v>500</v>
      </c>
      <c r="J202" s="350">
        <v>60000</v>
      </c>
      <c r="K202" s="351">
        <f t="shared" ca="1" si="7"/>
        <v>40394</v>
      </c>
      <c r="L202" s="350" t="s">
        <v>359</v>
      </c>
      <c r="M202" s="50"/>
      <c r="N202" s="50"/>
      <c r="O202" s="352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339"/>
      <c r="AJ202" s="353">
        <f t="shared" si="8"/>
        <v>191</v>
      </c>
    </row>
    <row r="203" spans="1:36">
      <c r="A203" s="332">
        <f t="shared" si="9"/>
        <v>192</v>
      </c>
      <c r="G203" s="349" t="s">
        <v>553</v>
      </c>
      <c r="H203" s="350">
        <v>8500</v>
      </c>
      <c r="I203" s="350">
        <v>600</v>
      </c>
      <c r="J203" s="350">
        <v>6500</v>
      </c>
      <c r="K203" s="351">
        <f t="shared" ca="1" si="7"/>
        <v>40394</v>
      </c>
      <c r="L203" s="350" t="s">
        <v>362</v>
      </c>
      <c r="M203" s="50"/>
      <c r="N203" s="50"/>
      <c r="O203" s="352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339"/>
      <c r="AJ203" s="353">
        <f t="shared" si="8"/>
        <v>192</v>
      </c>
    </row>
    <row r="204" spans="1:36">
      <c r="A204" s="332">
        <f t="shared" si="9"/>
        <v>193</v>
      </c>
      <c r="G204" s="349" t="s">
        <v>554</v>
      </c>
      <c r="H204" s="350">
        <v>5000</v>
      </c>
      <c r="I204" s="350">
        <v>600</v>
      </c>
      <c r="J204" s="350">
        <v>4485</v>
      </c>
      <c r="K204" s="351">
        <f t="shared" ca="1" si="7"/>
        <v>40394</v>
      </c>
      <c r="L204" s="350" t="s">
        <v>362</v>
      </c>
      <c r="M204" s="50"/>
      <c r="N204" s="50"/>
      <c r="O204" s="352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339"/>
      <c r="AJ204" s="353">
        <f t="shared" si="8"/>
        <v>193</v>
      </c>
    </row>
    <row r="205" spans="1:36">
      <c r="A205" s="332">
        <f t="shared" si="9"/>
        <v>194</v>
      </c>
      <c r="G205" s="349" t="s">
        <v>555</v>
      </c>
      <c r="H205" s="350">
        <v>5000</v>
      </c>
      <c r="I205" s="350">
        <v>600</v>
      </c>
      <c r="J205" s="350">
        <v>10000</v>
      </c>
      <c r="K205" s="351">
        <f t="shared" ref="K205:K268" ca="1" si="10">TODAY()</f>
        <v>40394</v>
      </c>
      <c r="L205" s="350" t="s">
        <v>362</v>
      </c>
      <c r="M205" s="50"/>
      <c r="N205" s="50"/>
      <c r="O205" s="352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339"/>
      <c r="AJ205" s="353">
        <f t="shared" si="8"/>
        <v>194</v>
      </c>
    </row>
    <row r="206" spans="1:36">
      <c r="A206" s="332">
        <f t="shared" si="9"/>
        <v>195</v>
      </c>
      <c r="G206" s="349" t="s">
        <v>556</v>
      </c>
      <c r="H206" s="350">
        <v>6500</v>
      </c>
      <c r="I206" s="350">
        <v>700</v>
      </c>
      <c r="J206" s="350">
        <v>6000</v>
      </c>
      <c r="K206" s="351">
        <f t="shared" ca="1" si="10"/>
        <v>40394</v>
      </c>
      <c r="L206" s="350" t="s">
        <v>359</v>
      </c>
      <c r="M206" s="50"/>
      <c r="N206" s="50"/>
      <c r="O206" s="352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339"/>
      <c r="AJ206" s="353">
        <f t="shared" ref="AJ206:AJ269" si="11">AJ205+1</f>
        <v>195</v>
      </c>
    </row>
    <row r="207" spans="1:36">
      <c r="A207" s="332">
        <f t="shared" si="9"/>
        <v>196</v>
      </c>
      <c r="G207" s="349" t="s">
        <v>557</v>
      </c>
      <c r="H207" s="350">
        <v>7000</v>
      </c>
      <c r="I207" s="350">
        <v>600</v>
      </c>
      <c r="J207" s="350">
        <v>15750</v>
      </c>
      <c r="K207" s="351">
        <f t="shared" ca="1" si="10"/>
        <v>40394</v>
      </c>
      <c r="L207" s="350" t="s">
        <v>362</v>
      </c>
      <c r="M207" s="50"/>
      <c r="N207" s="50"/>
      <c r="O207" s="352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339"/>
      <c r="AJ207" s="353">
        <f t="shared" si="11"/>
        <v>196</v>
      </c>
    </row>
    <row r="208" spans="1:36">
      <c r="A208" s="332">
        <f t="shared" si="9"/>
        <v>197</v>
      </c>
      <c r="G208" s="349" t="s">
        <v>558</v>
      </c>
      <c r="H208" s="350">
        <v>5000</v>
      </c>
      <c r="I208" s="350">
        <v>600</v>
      </c>
      <c r="J208" s="350">
        <v>4615</v>
      </c>
      <c r="K208" s="351">
        <f t="shared" ca="1" si="10"/>
        <v>40394</v>
      </c>
      <c r="L208" s="350" t="s">
        <v>362</v>
      </c>
      <c r="M208" s="50"/>
      <c r="N208" s="50"/>
      <c r="O208" s="352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339"/>
      <c r="AJ208" s="353">
        <f t="shared" si="11"/>
        <v>197</v>
      </c>
    </row>
    <row r="209" spans="1:36">
      <c r="A209" s="332">
        <f t="shared" ref="A209:A272" si="12">1+A208</f>
        <v>198</v>
      </c>
      <c r="G209" s="349" t="s">
        <v>559</v>
      </c>
      <c r="H209" s="350">
        <v>6500</v>
      </c>
      <c r="I209" s="350">
        <v>500</v>
      </c>
      <c r="J209" s="350">
        <v>6850</v>
      </c>
      <c r="K209" s="351">
        <f t="shared" ca="1" si="10"/>
        <v>40394</v>
      </c>
      <c r="L209" s="350" t="s">
        <v>359</v>
      </c>
      <c r="M209" s="50"/>
      <c r="N209" s="50"/>
      <c r="O209" s="352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339"/>
      <c r="AJ209" s="353">
        <f t="shared" si="11"/>
        <v>198</v>
      </c>
    </row>
    <row r="210" spans="1:36">
      <c r="A210" s="332">
        <f t="shared" si="12"/>
        <v>199</v>
      </c>
      <c r="G210" s="349" t="s">
        <v>560</v>
      </c>
      <c r="H210" s="350">
        <v>5000</v>
      </c>
      <c r="I210" s="350">
        <v>500</v>
      </c>
      <c r="J210" s="350">
        <v>6600</v>
      </c>
      <c r="K210" s="351">
        <f t="shared" ca="1" si="10"/>
        <v>40394</v>
      </c>
      <c r="L210" s="350" t="s">
        <v>359</v>
      </c>
      <c r="M210" s="50"/>
      <c r="N210" s="50"/>
      <c r="O210" s="352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339"/>
      <c r="AJ210" s="353">
        <f t="shared" si="11"/>
        <v>199</v>
      </c>
    </row>
    <row r="211" spans="1:36">
      <c r="A211" s="332">
        <f t="shared" si="12"/>
        <v>200</v>
      </c>
      <c r="G211" s="349" t="s">
        <v>561</v>
      </c>
      <c r="H211" s="350">
        <v>5000</v>
      </c>
      <c r="I211" s="350">
        <v>600</v>
      </c>
      <c r="J211" s="350">
        <v>7000</v>
      </c>
      <c r="K211" s="351">
        <f t="shared" ca="1" si="10"/>
        <v>40394</v>
      </c>
      <c r="L211" s="350" t="s">
        <v>362</v>
      </c>
      <c r="M211" s="50"/>
      <c r="N211" s="50"/>
      <c r="O211" s="352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339"/>
      <c r="AJ211" s="353">
        <f t="shared" si="11"/>
        <v>200</v>
      </c>
    </row>
    <row r="212" spans="1:36">
      <c r="A212" s="332">
        <f t="shared" si="12"/>
        <v>201</v>
      </c>
      <c r="G212" s="349" t="s">
        <v>562</v>
      </c>
      <c r="H212" s="350">
        <v>10000</v>
      </c>
      <c r="I212" s="350">
        <v>600</v>
      </c>
      <c r="J212" s="350">
        <v>15500</v>
      </c>
      <c r="K212" s="351">
        <f t="shared" ca="1" si="10"/>
        <v>40394</v>
      </c>
      <c r="L212" s="350" t="s">
        <v>362</v>
      </c>
      <c r="M212" s="50"/>
      <c r="N212" s="50"/>
      <c r="O212" s="352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339"/>
      <c r="AJ212" s="353">
        <f t="shared" si="11"/>
        <v>201</v>
      </c>
    </row>
    <row r="213" spans="1:36">
      <c r="A213" s="332">
        <f t="shared" si="12"/>
        <v>202</v>
      </c>
      <c r="G213" s="349" t="s">
        <v>563</v>
      </c>
      <c r="H213" s="350">
        <v>12000</v>
      </c>
      <c r="I213" s="350">
        <v>600</v>
      </c>
      <c r="J213" s="350">
        <v>21000</v>
      </c>
      <c r="K213" s="351">
        <f t="shared" ca="1" si="10"/>
        <v>40394</v>
      </c>
      <c r="L213" s="350" t="s">
        <v>362</v>
      </c>
      <c r="M213" s="50"/>
      <c r="N213" s="50"/>
      <c r="O213" s="352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339"/>
      <c r="AJ213" s="353">
        <f t="shared" si="11"/>
        <v>202</v>
      </c>
    </row>
    <row r="214" spans="1:36">
      <c r="A214" s="332">
        <f t="shared" si="12"/>
        <v>203</v>
      </c>
      <c r="G214" s="349" t="s">
        <v>564</v>
      </c>
      <c r="H214" s="350">
        <v>5000</v>
      </c>
      <c r="I214" s="350">
        <v>600</v>
      </c>
      <c r="J214" s="350">
        <v>6350</v>
      </c>
      <c r="K214" s="351">
        <f t="shared" ca="1" si="10"/>
        <v>40394</v>
      </c>
      <c r="L214" s="350" t="s">
        <v>359</v>
      </c>
      <c r="M214" s="50"/>
      <c r="N214" s="50"/>
      <c r="O214" s="352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339"/>
      <c r="AJ214" s="353">
        <f t="shared" si="11"/>
        <v>203</v>
      </c>
    </row>
    <row r="215" spans="1:36">
      <c r="A215" s="332">
        <f t="shared" si="12"/>
        <v>204</v>
      </c>
      <c r="G215" s="349" t="s">
        <v>565</v>
      </c>
      <c r="H215" s="350">
        <v>5000</v>
      </c>
      <c r="I215" s="350">
        <v>600</v>
      </c>
      <c r="J215" s="350">
        <v>14500</v>
      </c>
      <c r="K215" s="351">
        <f t="shared" ca="1" si="10"/>
        <v>40394</v>
      </c>
      <c r="L215" s="350" t="s">
        <v>362</v>
      </c>
      <c r="M215" s="50"/>
      <c r="N215" s="50"/>
      <c r="O215" s="352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339"/>
      <c r="AJ215" s="353">
        <f t="shared" si="11"/>
        <v>204</v>
      </c>
    </row>
    <row r="216" spans="1:36">
      <c r="A216" s="332">
        <f t="shared" si="12"/>
        <v>205</v>
      </c>
      <c r="G216" s="349" t="s">
        <v>566</v>
      </c>
      <c r="H216" s="350">
        <v>10000</v>
      </c>
      <c r="I216" s="350">
        <v>600</v>
      </c>
      <c r="J216" s="350">
        <v>10000</v>
      </c>
      <c r="K216" s="351">
        <f t="shared" ca="1" si="10"/>
        <v>40394</v>
      </c>
      <c r="L216" s="350" t="s">
        <v>362</v>
      </c>
      <c r="M216" s="50"/>
      <c r="N216" s="50"/>
      <c r="O216" s="352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339"/>
      <c r="AJ216" s="353">
        <f t="shared" si="11"/>
        <v>205</v>
      </c>
    </row>
    <row r="217" spans="1:36">
      <c r="A217" s="332">
        <f t="shared" si="12"/>
        <v>206</v>
      </c>
      <c r="G217" s="349" t="s">
        <v>567</v>
      </c>
      <c r="H217" s="350">
        <v>5000</v>
      </c>
      <c r="I217" s="350">
        <v>600</v>
      </c>
      <c r="J217" s="350">
        <v>2000</v>
      </c>
      <c r="K217" s="351">
        <f t="shared" ca="1" si="10"/>
        <v>40394</v>
      </c>
      <c r="L217" s="350" t="s">
        <v>362</v>
      </c>
      <c r="M217" s="50"/>
      <c r="N217" s="50"/>
      <c r="O217" s="352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339"/>
      <c r="AJ217" s="353">
        <f t="shared" si="11"/>
        <v>206</v>
      </c>
    </row>
    <row r="218" spans="1:36">
      <c r="A218" s="332">
        <f t="shared" si="12"/>
        <v>207</v>
      </c>
      <c r="G218" s="349" t="s">
        <v>568</v>
      </c>
      <c r="H218" s="350">
        <v>5000</v>
      </c>
      <c r="I218" s="350">
        <v>600</v>
      </c>
      <c r="J218" s="350">
        <v>29900</v>
      </c>
      <c r="K218" s="351">
        <f t="shared" ca="1" si="10"/>
        <v>40394</v>
      </c>
      <c r="L218" s="350" t="s">
        <v>362</v>
      </c>
      <c r="M218" s="50"/>
      <c r="N218" s="50"/>
      <c r="O218" s="352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339"/>
      <c r="AJ218" s="353">
        <f t="shared" si="11"/>
        <v>207</v>
      </c>
    </row>
    <row r="219" spans="1:36">
      <c r="A219" s="332">
        <f t="shared" si="12"/>
        <v>208</v>
      </c>
      <c r="G219" s="349" t="s">
        <v>569</v>
      </c>
      <c r="H219" s="350">
        <v>5000</v>
      </c>
      <c r="I219" s="350">
        <v>600</v>
      </c>
      <c r="J219" s="350">
        <v>16600</v>
      </c>
      <c r="K219" s="351">
        <f t="shared" ca="1" si="10"/>
        <v>40394</v>
      </c>
      <c r="L219" s="350" t="s">
        <v>362</v>
      </c>
      <c r="M219" s="50"/>
      <c r="N219" s="50"/>
      <c r="O219" s="352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339"/>
      <c r="AJ219" s="353">
        <f t="shared" si="11"/>
        <v>208</v>
      </c>
    </row>
    <row r="220" spans="1:36">
      <c r="A220" s="332">
        <f t="shared" si="12"/>
        <v>209</v>
      </c>
      <c r="G220" s="349" t="s">
        <v>570</v>
      </c>
      <c r="H220" s="350">
        <v>5000</v>
      </c>
      <c r="I220" s="350">
        <v>600</v>
      </c>
      <c r="J220" s="350">
        <v>28500</v>
      </c>
      <c r="K220" s="351">
        <f t="shared" ca="1" si="10"/>
        <v>40394</v>
      </c>
      <c r="L220" s="350" t="s">
        <v>359</v>
      </c>
      <c r="M220" s="50"/>
      <c r="N220" s="50"/>
      <c r="O220" s="352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339"/>
      <c r="AJ220" s="353">
        <f t="shared" si="11"/>
        <v>209</v>
      </c>
    </row>
    <row r="221" spans="1:36">
      <c r="A221" s="332">
        <f t="shared" si="12"/>
        <v>210</v>
      </c>
      <c r="G221" s="349" t="s">
        <v>571</v>
      </c>
      <c r="H221" s="350">
        <v>5000</v>
      </c>
      <c r="I221" s="350">
        <v>600</v>
      </c>
      <c r="J221" s="350">
        <v>8000</v>
      </c>
      <c r="K221" s="351">
        <f t="shared" ca="1" si="10"/>
        <v>40394</v>
      </c>
      <c r="L221" s="350" t="s">
        <v>362</v>
      </c>
      <c r="M221" s="50"/>
      <c r="N221" s="50"/>
      <c r="O221" s="352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339"/>
      <c r="AJ221" s="353">
        <f t="shared" si="11"/>
        <v>210</v>
      </c>
    </row>
    <row r="222" spans="1:36">
      <c r="A222" s="332">
        <f t="shared" si="12"/>
        <v>211</v>
      </c>
      <c r="G222" s="349" t="s">
        <v>572</v>
      </c>
      <c r="H222" s="350">
        <v>7500</v>
      </c>
      <c r="I222" s="350">
        <v>600</v>
      </c>
      <c r="J222" s="350">
        <v>18200</v>
      </c>
      <c r="K222" s="351">
        <f t="shared" ca="1" si="10"/>
        <v>40394</v>
      </c>
      <c r="L222" s="350" t="s">
        <v>362</v>
      </c>
      <c r="M222" s="50"/>
      <c r="N222" s="50"/>
      <c r="O222" s="352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339"/>
      <c r="AJ222" s="353">
        <f t="shared" si="11"/>
        <v>211</v>
      </c>
    </row>
    <row r="223" spans="1:36">
      <c r="A223" s="332">
        <f t="shared" si="12"/>
        <v>212</v>
      </c>
      <c r="G223" s="349" t="s">
        <v>573</v>
      </c>
      <c r="H223" s="350">
        <v>7000</v>
      </c>
      <c r="I223" s="350">
        <v>500</v>
      </c>
      <c r="J223" s="350">
        <v>9500</v>
      </c>
      <c r="K223" s="351">
        <f t="shared" ca="1" si="10"/>
        <v>40394</v>
      </c>
      <c r="L223" s="350" t="s">
        <v>359</v>
      </c>
      <c r="M223" s="50"/>
      <c r="N223" s="50"/>
      <c r="O223" s="352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339"/>
      <c r="AJ223" s="353">
        <f t="shared" si="11"/>
        <v>212</v>
      </c>
    </row>
    <row r="224" spans="1:36">
      <c r="A224" s="332">
        <f t="shared" si="12"/>
        <v>213</v>
      </c>
      <c r="G224" s="349" t="s">
        <v>574</v>
      </c>
      <c r="H224" s="350">
        <v>10000</v>
      </c>
      <c r="I224" s="350">
        <v>600</v>
      </c>
      <c r="J224" s="350">
        <v>6000</v>
      </c>
      <c r="K224" s="351">
        <f t="shared" ca="1" si="10"/>
        <v>40394</v>
      </c>
      <c r="L224" s="350" t="s">
        <v>359</v>
      </c>
      <c r="M224" s="50"/>
      <c r="N224" s="50"/>
      <c r="O224" s="352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339"/>
      <c r="AJ224" s="353">
        <f t="shared" si="11"/>
        <v>213</v>
      </c>
    </row>
    <row r="225" spans="1:36">
      <c r="A225" s="332">
        <f t="shared" si="12"/>
        <v>214</v>
      </c>
      <c r="G225" s="349" t="s">
        <v>575</v>
      </c>
      <c r="H225" s="350">
        <v>20000</v>
      </c>
      <c r="I225" s="350">
        <v>500</v>
      </c>
      <c r="J225" s="350">
        <v>20880</v>
      </c>
      <c r="K225" s="351">
        <f t="shared" ca="1" si="10"/>
        <v>40394</v>
      </c>
      <c r="L225" s="350" t="s">
        <v>359</v>
      </c>
      <c r="M225" s="50"/>
      <c r="N225" s="50"/>
      <c r="O225" s="352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339"/>
      <c r="AJ225" s="353">
        <f t="shared" si="11"/>
        <v>214</v>
      </c>
    </row>
    <row r="226" spans="1:36">
      <c r="A226" s="332">
        <f t="shared" si="12"/>
        <v>215</v>
      </c>
      <c r="G226" s="349" t="s">
        <v>576</v>
      </c>
      <c r="H226" s="350">
        <v>5000</v>
      </c>
      <c r="I226" s="350">
        <v>600</v>
      </c>
      <c r="J226" s="350">
        <v>21742</v>
      </c>
      <c r="K226" s="351">
        <f t="shared" ca="1" si="10"/>
        <v>40394</v>
      </c>
      <c r="L226" s="350" t="s">
        <v>362</v>
      </c>
      <c r="M226" s="50"/>
      <c r="N226" s="50"/>
      <c r="O226" s="352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339"/>
      <c r="AJ226" s="353">
        <f t="shared" si="11"/>
        <v>215</v>
      </c>
    </row>
    <row r="227" spans="1:36">
      <c r="A227" s="332">
        <f t="shared" si="12"/>
        <v>216</v>
      </c>
      <c r="G227" s="349" t="s">
        <v>577</v>
      </c>
      <c r="H227" s="350">
        <v>5000</v>
      </c>
      <c r="I227" s="350">
        <v>1000</v>
      </c>
      <c r="J227" s="350">
        <v>7500</v>
      </c>
      <c r="K227" s="351">
        <f t="shared" ca="1" si="10"/>
        <v>40394</v>
      </c>
      <c r="L227" s="350" t="s">
        <v>362</v>
      </c>
      <c r="M227" s="50"/>
      <c r="N227" s="50"/>
      <c r="O227" s="352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339"/>
      <c r="AJ227" s="353">
        <f t="shared" si="11"/>
        <v>216</v>
      </c>
    </row>
    <row r="228" spans="1:36">
      <c r="A228" s="332">
        <f t="shared" si="12"/>
        <v>217</v>
      </c>
      <c r="G228" s="349" t="s">
        <v>578</v>
      </c>
      <c r="H228" s="350">
        <v>5900</v>
      </c>
      <c r="I228" s="350">
        <v>1000</v>
      </c>
      <c r="J228" s="350">
        <v>27810</v>
      </c>
      <c r="K228" s="351">
        <f t="shared" ca="1" si="10"/>
        <v>40394</v>
      </c>
      <c r="L228" s="350" t="s">
        <v>359</v>
      </c>
      <c r="M228" s="50"/>
      <c r="N228" s="50"/>
      <c r="O228" s="352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339"/>
      <c r="AJ228" s="353">
        <f t="shared" si="11"/>
        <v>217</v>
      </c>
    </row>
    <row r="229" spans="1:36">
      <c r="A229" s="332">
        <f t="shared" si="12"/>
        <v>218</v>
      </c>
      <c r="G229" s="349" t="s">
        <v>579</v>
      </c>
      <c r="H229" s="350">
        <v>6000</v>
      </c>
      <c r="I229" s="350">
        <v>500</v>
      </c>
      <c r="J229" s="350">
        <v>20000</v>
      </c>
      <c r="K229" s="351">
        <f t="shared" ca="1" si="10"/>
        <v>40394</v>
      </c>
      <c r="L229" s="350" t="s">
        <v>359</v>
      </c>
      <c r="M229" s="50"/>
      <c r="N229" s="50"/>
      <c r="O229" s="352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339"/>
      <c r="AJ229" s="353">
        <f t="shared" si="11"/>
        <v>218</v>
      </c>
    </row>
    <row r="230" spans="1:36">
      <c r="A230" s="332">
        <f t="shared" si="12"/>
        <v>219</v>
      </c>
      <c r="G230" s="349" t="s">
        <v>580</v>
      </c>
      <c r="H230" s="350">
        <v>16000</v>
      </c>
      <c r="I230" s="350">
        <v>1000</v>
      </c>
      <c r="J230" s="350">
        <v>25000</v>
      </c>
      <c r="K230" s="351">
        <f t="shared" ca="1" si="10"/>
        <v>40394</v>
      </c>
      <c r="L230" s="350" t="s">
        <v>359</v>
      </c>
      <c r="M230" s="50"/>
      <c r="N230" s="50"/>
      <c r="O230" s="352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339"/>
      <c r="AJ230" s="353">
        <f t="shared" si="11"/>
        <v>219</v>
      </c>
    </row>
    <row r="231" spans="1:36">
      <c r="A231" s="332">
        <f t="shared" si="12"/>
        <v>220</v>
      </c>
      <c r="G231" s="349" t="s">
        <v>581</v>
      </c>
      <c r="H231" s="350">
        <v>5000</v>
      </c>
      <c r="I231" s="350">
        <v>600</v>
      </c>
      <c r="J231" s="350">
        <v>11375</v>
      </c>
      <c r="K231" s="351">
        <f t="shared" ca="1" si="10"/>
        <v>40394</v>
      </c>
      <c r="L231" s="350" t="s">
        <v>362</v>
      </c>
      <c r="M231" s="50"/>
      <c r="N231" s="50"/>
      <c r="O231" s="352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339"/>
      <c r="AJ231" s="353">
        <f t="shared" si="11"/>
        <v>220</v>
      </c>
    </row>
    <row r="232" spans="1:36">
      <c r="A232" s="332">
        <f t="shared" si="12"/>
        <v>221</v>
      </c>
      <c r="G232" s="349" t="s">
        <v>582</v>
      </c>
      <c r="H232" s="350">
        <v>6000</v>
      </c>
      <c r="I232" s="350">
        <v>500</v>
      </c>
      <c r="J232" s="350">
        <v>28000</v>
      </c>
      <c r="K232" s="351">
        <f t="shared" ca="1" si="10"/>
        <v>40394</v>
      </c>
      <c r="L232" s="350" t="s">
        <v>362</v>
      </c>
      <c r="M232" s="50"/>
      <c r="N232" s="50"/>
      <c r="O232" s="352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339"/>
      <c r="AJ232" s="353">
        <f t="shared" si="11"/>
        <v>221</v>
      </c>
    </row>
    <row r="233" spans="1:36">
      <c r="A233" s="332">
        <f t="shared" si="12"/>
        <v>222</v>
      </c>
      <c r="G233" s="349" t="s">
        <v>583</v>
      </c>
      <c r="H233" s="350">
        <v>10000</v>
      </c>
      <c r="I233" s="350">
        <v>500</v>
      </c>
      <c r="J233" s="350">
        <v>14150</v>
      </c>
      <c r="K233" s="351">
        <f t="shared" ca="1" si="10"/>
        <v>40394</v>
      </c>
      <c r="L233" s="350" t="s">
        <v>359</v>
      </c>
      <c r="M233" s="50"/>
      <c r="N233" s="50"/>
      <c r="O233" s="352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339"/>
      <c r="AJ233" s="353">
        <f t="shared" si="11"/>
        <v>222</v>
      </c>
    </row>
    <row r="234" spans="1:36">
      <c r="A234" s="332">
        <f t="shared" si="12"/>
        <v>223</v>
      </c>
      <c r="G234" s="349" t="s">
        <v>584</v>
      </c>
      <c r="H234" s="350">
        <v>5000</v>
      </c>
      <c r="I234" s="350">
        <v>1000</v>
      </c>
      <c r="J234" s="350">
        <v>15000</v>
      </c>
      <c r="K234" s="351">
        <f t="shared" ca="1" si="10"/>
        <v>40394</v>
      </c>
      <c r="L234" s="350" t="s">
        <v>359</v>
      </c>
      <c r="M234" s="50"/>
      <c r="N234" s="50"/>
      <c r="O234" s="352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339"/>
      <c r="AJ234" s="353">
        <f t="shared" si="11"/>
        <v>223</v>
      </c>
    </row>
    <row r="235" spans="1:36">
      <c r="A235" s="332">
        <f t="shared" si="12"/>
        <v>224</v>
      </c>
      <c r="G235" s="349" t="s">
        <v>585</v>
      </c>
      <c r="H235" s="350">
        <v>10000</v>
      </c>
      <c r="I235" s="350">
        <v>600</v>
      </c>
      <c r="J235" s="350">
        <v>13500</v>
      </c>
      <c r="K235" s="351">
        <f t="shared" ca="1" si="10"/>
        <v>40394</v>
      </c>
      <c r="L235" s="350" t="s">
        <v>362</v>
      </c>
      <c r="M235" s="50"/>
      <c r="N235" s="50"/>
      <c r="O235" s="352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339"/>
      <c r="AJ235" s="353">
        <f t="shared" si="11"/>
        <v>224</v>
      </c>
    </row>
    <row r="236" spans="1:36">
      <c r="A236" s="332">
        <f t="shared" si="12"/>
        <v>225</v>
      </c>
      <c r="G236" s="349" t="s">
        <v>586</v>
      </c>
      <c r="H236" s="350">
        <v>5000</v>
      </c>
      <c r="I236" s="350">
        <v>600</v>
      </c>
      <c r="J236" s="350">
        <v>26000</v>
      </c>
      <c r="K236" s="351">
        <f t="shared" ca="1" si="10"/>
        <v>40394</v>
      </c>
      <c r="L236" s="350" t="s">
        <v>362</v>
      </c>
      <c r="M236" s="50"/>
      <c r="N236" s="50"/>
      <c r="O236" s="352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339"/>
      <c r="AJ236" s="353">
        <f t="shared" si="11"/>
        <v>225</v>
      </c>
    </row>
    <row r="237" spans="1:36">
      <c r="A237" s="332">
        <f t="shared" si="12"/>
        <v>226</v>
      </c>
      <c r="G237" s="349" t="s">
        <v>587</v>
      </c>
      <c r="H237" s="350">
        <v>5000</v>
      </c>
      <c r="I237" s="350">
        <v>600</v>
      </c>
      <c r="J237" s="350">
        <v>5000</v>
      </c>
      <c r="K237" s="351">
        <f t="shared" ca="1" si="10"/>
        <v>40394</v>
      </c>
      <c r="L237" s="350" t="s">
        <v>359</v>
      </c>
      <c r="M237" s="50"/>
      <c r="N237" s="50"/>
      <c r="O237" s="352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339"/>
      <c r="AJ237" s="353">
        <f t="shared" si="11"/>
        <v>226</v>
      </c>
    </row>
    <row r="238" spans="1:36">
      <c r="A238" s="332">
        <f t="shared" si="12"/>
        <v>227</v>
      </c>
      <c r="G238" s="349" t="s">
        <v>588</v>
      </c>
      <c r="H238" s="350">
        <v>10000</v>
      </c>
      <c r="I238" s="350">
        <v>600</v>
      </c>
      <c r="J238" s="350">
        <v>3650</v>
      </c>
      <c r="K238" s="351">
        <f t="shared" ca="1" si="10"/>
        <v>40394</v>
      </c>
      <c r="L238" s="350" t="s">
        <v>362</v>
      </c>
      <c r="M238" s="50"/>
      <c r="N238" s="50"/>
      <c r="O238" s="352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339"/>
      <c r="AJ238" s="353">
        <f t="shared" si="11"/>
        <v>227</v>
      </c>
    </row>
    <row r="239" spans="1:36">
      <c r="A239" s="332">
        <f t="shared" si="12"/>
        <v>228</v>
      </c>
      <c r="G239" s="349" t="s">
        <v>589</v>
      </c>
      <c r="H239" s="350">
        <v>5000</v>
      </c>
      <c r="I239" s="350">
        <v>600</v>
      </c>
      <c r="J239" s="350">
        <v>10855</v>
      </c>
      <c r="K239" s="351">
        <f t="shared" ca="1" si="10"/>
        <v>40394</v>
      </c>
      <c r="L239" s="350" t="s">
        <v>359</v>
      </c>
      <c r="M239" s="50"/>
      <c r="N239" s="50"/>
      <c r="O239" s="352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339"/>
      <c r="AJ239" s="353">
        <f t="shared" si="11"/>
        <v>228</v>
      </c>
    </row>
    <row r="240" spans="1:36">
      <c r="A240" s="332">
        <f t="shared" si="12"/>
        <v>229</v>
      </c>
      <c r="G240" s="349" t="s">
        <v>590</v>
      </c>
      <c r="H240" s="350">
        <v>5000</v>
      </c>
      <c r="I240" s="350">
        <v>500</v>
      </c>
      <c r="J240" s="350">
        <v>5000</v>
      </c>
      <c r="K240" s="351">
        <f t="shared" ca="1" si="10"/>
        <v>40394</v>
      </c>
      <c r="L240" s="350" t="s">
        <v>359</v>
      </c>
      <c r="M240" s="50"/>
      <c r="N240" s="50"/>
      <c r="O240" s="352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339"/>
      <c r="AJ240" s="353">
        <f t="shared" si="11"/>
        <v>229</v>
      </c>
    </row>
    <row r="241" spans="1:36">
      <c r="A241" s="332">
        <f t="shared" si="12"/>
        <v>230</v>
      </c>
      <c r="G241" s="349" t="s">
        <v>591</v>
      </c>
      <c r="H241" s="350">
        <v>5000</v>
      </c>
      <c r="I241" s="350">
        <v>600</v>
      </c>
      <c r="J241" s="350">
        <v>4000</v>
      </c>
      <c r="K241" s="351">
        <f t="shared" ca="1" si="10"/>
        <v>40394</v>
      </c>
      <c r="L241" s="350" t="s">
        <v>362</v>
      </c>
      <c r="M241" s="50"/>
      <c r="N241" s="50"/>
      <c r="O241" s="352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339"/>
      <c r="AJ241" s="353">
        <f t="shared" si="11"/>
        <v>230</v>
      </c>
    </row>
    <row r="242" spans="1:36">
      <c r="A242" s="332">
        <f t="shared" si="12"/>
        <v>231</v>
      </c>
      <c r="G242" s="349" t="s">
        <v>592</v>
      </c>
      <c r="H242" s="350">
        <v>10000</v>
      </c>
      <c r="I242" s="350">
        <v>600</v>
      </c>
      <c r="J242" s="350">
        <v>23000</v>
      </c>
      <c r="K242" s="351">
        <f t="shared" ca="1" si="10"/>
        <v>40394</v>
      </c>
      <c r="L242" s="350" t="s">
        <v>362</v>
      </c>
      <c r="M242" s="50"/>
      <c r="N242" s="50"/>
      <c r="O242" s="352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339"/>
      <c r="AJ242" s="353">
        <f t="shared" si="11"/>
        <v>231</v>
      </c>
    </row>
    <row r="243" spans="1:36">
      <c r="A243" s="332">
        <f t="shared" si="12"/>
        <v>232</v>
      </c>
      <c r="G243" s="349" t="s">
        <v>593</v>
      </c>
      <c r="H243" s="350">
        <v>8000</v>
      </c>
      <c r="I243" s="350">
        <v>2000</v>
      </c>
      <c r="J243" s="350">
        <v>34000</v>
      </c>
      <c r="K243" s="351">
        <f t="shared" ca="1" si="10"/>
        <v>40394</v>
      </c>
      <c r="L243" s="350" t="s">
        <v>359</v>
      </c>
      <c r="M243" s="50"/>
      <c r="N243" s="50"/>
      <c r="O243" s="352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339"/>
      <c r="AJ243" s="353">
        <f t="shared" si="11"/>
        <v>232</v>
      </c>
    </row>
    <row r="244" spans="1:36">
      <c r="A244" s="332">
        <f t="shared" si="12"/>
        <v>233</v>
      </c>
      <c r="G244" s="349" t="s">
        <v>594</v>
      </c>
      <c r="H244" s="350">
        <v>8000</v>
      </c>
      <c r="I244" s="350">
        <v>600</v>
      </c>
      <c r="J244" s="350">
        <v>17200</v>
      </c>
      <c r="K244" s="351">
        <f t="shared" ca="1" si="10"/>
        <v>40394</v>
      </c>
      <c r="L244" s="350" t="s">
        <v>359</v>
      </c>
      <c r="M244" s="50"/>
      <c r="N244" s="50"/>
      <c r="O244" s="352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339"/>
      <c r="AJ244" s="353">
        <f t="shared" si="11"/>
        <v>233</v>
      </c>
    </row>
    <row r="245" spans="1:36">
      <c r="A245" s="332">
        <f t="shared" si="12"/>
        <v>234</v>
      </c>
      <c r="G245" s="349" t="s">
        <v>595</v>
      </c>
      <c r="H245" s="350">
        <v>10000</v>
      </c>
      <c r="I245" s="350">
        <v>600</v>
      </c>
      <c r="J245" s="350">
        <v>6760</v>
      </c>
      <c r="K245" s="351">
        <f t="shared" ca="1" si="10"/>
        <v>40394</v>
      </c>
      <c r="L245" s="350" t="s">
        <v>362</v>
      </c>
      <c r="M245" s="50"/>
      <c r="N245" s="50"/>
      <c r="O245" s="352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339"/>
      <c r="AJ245" s="353">
        <f t="shared" si="11"/>
        <v>234</v>
      </c>
    </row>
    <row r="246" spans="1:36">
      <c r="A246" s="332">
        <f t="shared" si="12"/>
        <v>235</v>
      </c>
      <c r="G246" s="349" t="s">
        <v>596</v>
      </c>
      <c r="H246" s="350">
        <v>5000</v>
      </c>
      <c r="I246" s="350">
        <v>500</v>
      </c>
      <c r="J246" s="350">
        <v>12000</v>
      </c>
      <c r="K246" s="351">
        <f t="shared" ca="1" si="10"/>
        <v>40394</v>
      </c>
      <c r="L246" s="350" t="s">
        <v>362</v>
      </c>
      <c r="M246" s="50"/>
      <c r="N246" s="50"/>
      <c r="O246" s="352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339"/>
      <c r="AJ246" s="353">
        <f t="shared" si="11"/>
        <v>235</v>
      </c>
    </row>
    <row r="247" spans="1:36">
      <c r="A247" s="332">
        <f t="shared" si="12"/>
        <v>236</v>
      </c>
      <c r="G247" s="349" t="s">
        <v>597</v>
      </c>
      <c r="H247" s="350">
        <v>8000</v>
      </c>
      <c r="I247" s="350">
        <v>500</v>
      </c>
      <c r="J247" s="350">
        <v>17000</v>
      </c>
      <c r="K247" s="351">
        <f t="shared" ca="1" si="10"/>
        <v>40394</v>
      </c>
      <c r="L247" s="350" t="s">
        <v>359</v>
      </c>
      <c r="M247" s="50"/>
      <c r="N247" s="50"/>
      <c r="O247" s="352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339"/>
      <c r="AJ247" s="353">
        <f t="shared" si="11"/>
        <v>236</v>
      </c>
    </row>
    <row r="248" spans="1:36">
      <c r="A248" s="332">
        <f t="shared" si="12"/>
        <v>237</v>
      </c>
      <c r="G248" s="349" t="s">
        <v>598</v>
      </c>
      <c r="H248" s="350">
        <v>10000</v>
      </c>
      <c r="I248" s="350">
        <v>500</v>
      </c>
      <c r="J248" s="350">
        <v>9000</v>
      </c>
      <c r="K248" s="351">
        <f t="shared" ca="1" si="10"/>
        <v>40394</v>
      </c>
      <c r="L248" s="350" t="s">
        <v>359</v>
      </c>
      <c r="M248" s="50"/>
      <c r="N248" s="50"/>
      <c r="O248" s="352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339"/>
      <c r="AJ248" s="353">
        <f t="shared" si="11"/>
        <v>237</v>
      </c>
    </row>
    <row r="249" spans="1:36">
      <c r="A249" s="332">
        <f t="shared" si="12"/>
        <v>238</v>
      </c>
      <c r="G249" s="349" t="s">
        <v>599</v>
      </c>
      <c r="H249" s="350">
        <v>7000</v>
      </c>
      <c r="I249" s="350">
        <v>600</v>
      </c>
      <c r="J249" s="350">
        <v>10300</v>
      </c>
      <c r="K249" s="351">
        <f t="shared" ca="1" si="10"/>
        <v>40394</v>
      </c>
      <c r="L249" s="350" t="s">
        <v>362</v>
      </c>
      <c r="M249" s="50"/>
      <c r="N249" s="50"/>
      <c r="O249" s="352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339"/>
      <c r="AJ249" s="353">
        <f t="shared" si="11"/>
        <v>238</v>
      </c>
    </row>
    <row r="250" spans="1:36">
      <c r="A250" s="332">
        <f t="shared" si="12"/>
        <v>239</v>
      </c>
      <c r="G250" s="349" t="s">
        <v>600</v>
      </c>
      <c r="H250" s="350">
        <v>5000</v>
      </c>
      <c r="I250" s="350">
        <v>500</v>
      </c>
      <c r="J250" s="350">
        <v>8325</v>
      </c>
      <c r="K250" s="351">
        <f t="shared" ca="1" si="10"/>
        <v>40394</v>
      </c>
      <c r="L250" s="350" t="s">
        <v>359</v>
      </c>
      <c r="M250" s="50"/>
      <c r="N250" s="50"/>
      <c r="O250" s="352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339"/>
      <c r="AJ250" s="353">
        <f t="shared" si="11"/>
        <v>239</v>
      </c>
    </row>
    <row r="251" spans="1:36">
      <c r="A251" s="332">
        <f t="shared" si="12"/>
        <v>240</v>
      </c>
      <c r="G251" s="349" t="s">
        <v>601</v>
      </c>
      <c r="H251" s="350">
        <v>5000</v>
      </c>
      <c r="I251" s="350">
        <v>500</v>
      </c>
      <c r="J251" s="350">
        <v>2800</v>
      </c>
      <c r="K251" s="351">
        <f t="shared" ca="1" si="10"/>
        <v>40394</v>
      </c>
      <c r="L251" s="350" t="s">
        <v>359</v>
      </c>
      <c r="M251" s="50"/>
      <c r="N251" s="50"/>
      <c r="O251" s="352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339"/>
      <c r="AJ251" s="353">
        <f t="shared" si="11"/>
        <v>240</v>
      </c>
    </row>
    <row r="252" spans="1:36">
      <c r="A252" s="332">
        <f t="shared" si="12"/>
        <v>241</v>
      </c>
      <c r="G252" s="349" t="s">
        <v>602</v>
      </c>
      <c r="H252" s="350">
        <v>5650</v>
      </c>
      <c r="I252" s="350">
        <v>500</v>
      </c>
      <c r="J252" s="350">
        <v>3800</v>
      </c>
      <c r="K252" s="351">
        <f t="shared" ca="1" si="10"/>
        <v>40394</v>
      </c>
      <c r="L252" s="350" t="s">
        <v>359</v>
      </c>
      <c r="M252" s="50"/>
      <c r="N252" s="50"/>
      <c r="O252" s="352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339"/>
      <c r="AJ252" s="353">
        <f t="shared" si="11"/>
        <v>241</v>
      </c>
    </row>
    <row r="253" spans="1:36">
      <c r="A253" s="332">
        <f t="shared" si="12"/>
        <v>242</v>
      </c>
      <c r="G253" s="349" t="s">
        <v>603</v>
      </c>
      <c r="H253" s="350">
        <v>6000</v>
      </c>
      <c r="I253" s="350">
        <v>2000</v>
      </c>
      <c r="J253" s="350">
        <v>24650</v>
      </c>
      <c r="K253" s="351">
        <f t="shared" ca="1" si="10"/>
        <v>40394</v>
      </c>
      <c r="L253" s="350" t="s">
        <v>359</v>
      </c>
      <c r="M253" s="50"/>
      <c r="N253" s="50"/>
      <c r="O253" s="352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339"/>
      <c r="AJ253" s="353">
        <f t="shared" si="11"/>
        <v>242</v>
      </c>
    </row>
    <row r="254" spans="1:36">
      <c r="A254" s="332">
        <f t="shared" si="12"/>
        <v>243</v>
      </c>
      <c r="G254" s="349" t="s">
        <v>604</v>
      </c>
      <c r="H254" s="350">
        <v>16000</v>
      </c>
      <c r="I254" s="350">
        <v>500</v>
      </c>
      <c r="J254" s="350">
        <v>15300</v>
      </c>
      <c r="K254" s="351">
        <f t="shared" ca="1" si="10"/>
        <v>40394</v>
      </c>
      <c r="L254" s="350" t="s">
        <v>359</v>
      </c>
      <c r="M254" s="50"/>
      <c r="N254" s="50"/>
      <c r="O254" s="352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339"/>
      <c r="AJ254" s="353">
        <f t="shared" si="11"/>
        <v>243</v>
      </c>
    </row>
    <row r="255" spans="1:36">
      <c r="A255" s="332">
        <f t="shared" si="12"/>
        <v>244</v>
      </c>
      <c r="G255" s="349" t="s">
        <v>605</v>
      </c>
      <c r="H255" s="350">
        <v>10000</v>
      </c>
      <c r="I255" s="350">
        <v>700</v>
      </c>
      <c r="J255" s="350">
        <v>20950</v>
      </c>
      <c r="K255" s="351">
        <f t="shared" ca="1" si="10"/>
        <v>40394</v>
      </c>
      <c r="L255" s="350" t="s">
        <v>359</v>
      </c>
      <c r="M255" s="50"/>
      <c r="N255" s="50"/>
      <c r="O255" s="352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339"/>
      <c r="AJ255" s="353">
        <f t="shared" si="11"/>
        <v>244</v>
      </c>
    </row>
    <row r="256" spans="1:36">
      <c r="A256" s="332">
        <f t="shared" si="12"/>
        <v>245</v>
      </c>
      <c r="G256" s="349" t="s">
        <v>606</v>
      </c>
      <c r="H256" s="350">
        <v>10000</v>
      </c>
      <c r="I256" s="350">
        <v>2000</v>
      </c>
      <c r="J256" s="350">
        <v>8300</v>
      </c>
      <c r="K256" s="351">
        <f t="shared" ca="1" si="10"/>
        <v>40394</v>
      </c>
      <c r="L256" s="350" t="s">
        <v>362</v>
      </c>
      <c r="M256" s="50"/>
      <c r="N256" s="50"/>
      <c r="O256" s="352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339"/>
      <c r="AJ256" s="353">
        <f t="shared" si="11"/>
        <v>245</v>
      </c>
    </row>
    <row r="257" spans="1:36">
      <c r="A257" s="332">
        <f t="shared" si="12"/>
        <v>246</v>
      </c>
      <c r="G257" s="349" t="s">
        <v>607</v>
      </c>
      <c r="H257" s="350">
        <v>5200</v>
      </c>
      <c r="I257" s="350">
        <v>500</v>
      </c>
      <c r="J257" s="350">
        <v>6000</v>
      </c>
      <c r="K257" s="351">
        <f t="shared" ca="1" si="10"/>
        <v>40394</v>
      </c>
      <c r="L257" s="350" t="s">
        <v>359</v>
      </c>
      <c r="M257" s="50"/>
      <c r="N257" s="50"/>
      <c r="O257" s="352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339"/>
      <c r="AJ257" s="353">
        <f t="shared" si="11"/>
        <v>246</v>
      </c>
    </row>
    <row r="258" spans="1:36">
      <c r="A258" s="332">
        <f t="shared" si="12"/>
        <v>247</v>
      </c>
      <c r="G258" s="349" t="s">
        <v>608</v>
      </c>
      <c r="H258" s="350">
        <v>7500</v>
      </c>
      <c r="I258" s="350">
        <v>500</v>
      </c>
      <c r="J258" s="350">
        <v>12000</v>
      </c>
      <c r="K258" s="351">
        <f t="shared" ca="1" si="10"/>
        <v>40394</v>
      </c>
      <c r="L258" s="350" t="s">
        <v>359</v>
      </c>
      <c r="M258" s="50"/>
      <c r="N258" s="50"/>
      <c r="O258" s="352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339"/>
      <c r="AJ258" s="353">
        <f t="shared" si="11"/>
        <v>247</v>
      </c>
    </row>
    <row r="259" spans="1:36">
      <c r="A259" s="332">
        <f t="shared" si="12"/>
        <v>248</v>
      </c>
      <c r="G259" s="349" t="s">
        <v>609</v>
      </c>
      <c r="H259" s="350">
        <v>5000</v>
      </c>
      <c r="I259" s="350">
        <v>2000</v>
      </c>
      <c r="J259" s="350">
        <v>9350</v>
      </c>
      <c r="K259" s="351">
        <f t="shared" ca="1" si="10"/>
        <v>40394</v>
      </c>
      <c r="L259" s="350" t="s">
        <v>359</v>
      </c>
      <c r="M259" s="50"/>
      <c r="N259" s="50"/>
      <c r="O259" s="352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339"/>
      <c r="AJ259" s="353">
        <f t="shared" si="11"/>
        <v>248</v>
      </c>
    </row>
    <row r="260" spans="1:36">
      <c r="A260" s="332">
        <f t="shared" si="12"/>
        <v>249</v>
      </c>
      <c r="G260" s="349" t="s">
        <v>610</v>
      </c>
      <c r="H260" s="350">
        <v>5000</v>
      </c>
      <c r="I260" s="350">
        <v>600</v>
      </c>
      <c r="J260" s="350">
        <v>2500</v>
      </c>
      <c r="K260" s="351">
        <f t="shared" ca="1" si="10"/>
        <v>40394</v>
      </c>
      <c r="L260" s="350" t="s">
        <v>359</v>
      </c>
      <c r="M260" s="50"/>
      <c r="N260" s="50"/>
      <c r="O260" s="352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339"/>
      <c r="AJ260" s="353">
        <f t="shared" si="11"/>
        <v>249</v>
      </c>
    </row>
    <row r="261" spans="1:36">
      <c r="A261" s="332">
        <f t="shared" si="12"/>
        <v>250</v>
      </c>
      <c r="G261" s="349" t="s">
        <v>611</v>
      </c>
      <c r="H261" s="350">
        <v>7300</v>
      </c>
      <c r="I261" s="350">
        <v>500</v>
      </c>
      <c r="J261" s="350">
        <v>7800</v>
      </c>
      <c r="K261" s="351">
        <f t="shared" ca="1" si="10"/>
        <v>40394</v>
      </c>
      <c r="L261" s="350" t="s">
        <v>359</v>
      </c>
      <c r="M261" s="50"/>
      <c r="N261" s="50"/>
      <c r="O261" s="352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339"/>
      <c r="AJ261" s="353">
        <f t="shared" si="11"/>
        <v>250</v>
      </c>
    </row>
    <row r="262" spans="1:36">
      <c r="A262" s="332">
        <f t="shared" si="12"/>
        <v>251</v>
      </c>
      <c r="G262" s="349" t="s">
        <v>612</v>
      </c>
      <c r="H262" s="350">
        <v>5000</v>
      </c>
      <c r="I262" s="350">
        <v>600</v>
      </c>
      <c r="J262" s="350">
        <v>26500</v>
      </c>
      <c r="K262" s="351">
        <f t="shared" ca="1" si="10"/>
        <v>40394</v>
      </c>
      <c r="L262" s="350" t="s">
        <v>362</v>
      </c>
      <c r="M262" s="50"/>
      <c r="N262" s="50"/>
      <c r="O262" s="352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339"/>
      <c r="AJ262" s="353">
        <f t="shared" si="11"/>
        <v>251</v>
      </c>
    </row>
    <row r="263" spans="1:36">
      <c r="A263" s="332">
        <f t="shared" si="12"/>
        <v>252</v>
      </c>
      <c r="G263" s="349" t="s">
        <v>613</v>
      </c>
      <c r="H263" s="350">
        <v>5000</v>
      </c>
      <c r="I263" s="350">
        <v>2000</v>
      </c>
      <c r="J263" s="350">
        <v>8000</v>
      </c>
      <c r="K263" s="351">
        <f t="shared" ca="1" si="10"/>
        <v>40394</v>
      </c>
      <c r="L263" s="350" t="s">
        <v>359</v>
      </c>
      <c r="M263" s="50"/>
      <c r="N263" s="50"/>
      <c r="O263" s="352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339"/>
      <c r="AJ263" s="353">
        <f t="shared" si="11"/>
        <v>252</v>
      </c>
    </row>
    <row r="264" spans="1:36">
      <c r="A264" s="332">
        <f t="shared" si="12"/>
        <v>253</v>
      </c>
      <c r="G264" s="349" t="s">
        <v>614</v>
      </c>
      <c r="H264" s="350">
        <v>7000</v>
      </c>
      <c r="I264" s="350">
        <v>600</v>
      </c>
      <c r="J264" s="350">
        <v>6000</v>
      </c>
      <c r="K264" s="351">
        <f t="shared" ca="1" si="10"/>
        <v>40394</v>
      </c>
      <c r="L264" s="350" t="s">
        <v>362</v>
      </c>
      <c r="M264" s="50"/>
      <c r="N264" s="50"/>
      <c r="O264" s="352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339"/>
      <c r="AJ264" s="353">
        <f t="shared" si="11"/>
        <v>253</v>
      </c>
    </row>
    <row r="265" spans="1:36">
      <c r="A265" s="332">
        <f t="shared" si="12"/>
        <v>254</v>
      </c>
      <c r="G265" s="349" t="s">
        <v>615</v>
      </c>
      <c r="H265" s="350">
        <v>10000</v>
      </c>
      <c r="I265" s="350">
        <v>600</v>
      </c>
      <c r="J265" s="350">
        <v>20000</v>
      </c>
      <c r="K265" s="351">
        <f t="shared" ca="1" si="10"/>
        <v>40394</v>
      </c>
      <c r="L265" s="350" t="s">
        <v>359</v>
      </c>
      <c r="M265" s="50"/>
      <c r="N265" s="50"/>
      <c r="O265" s="352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339"/>
      <c r="AJ265" s="353">
        <f t="shared" si="11"/>
        <v>254</v>
      </c>
    </row>
    <row r="266" spans="1:36">
      <c r="A266" s="332">
        <f t="shared" si="12"/>
        <v>255</v>
      </c>
      <c r="G266" s="349" t="s">
        <v>616</v>
      </c>
      <c r="H266" s="350">
        <v>10000</v>
      </c>
      <c r="I266" s="350">
        <v>500</v>
      </c>
      <c r="J266" s="350">
        <v>5000</v>
      </c>
      <c r="K266" s="351">
        <f t="shared" ca="1" si="10"/>
        <v>40394</v>
      </c>
      <c r="L266" s="350" t="s">
        <v>359</v>
      </c>
      <c r="M266" s="50"/>
      <c r="N266" s="50"/>
      <c r="O266" s="352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339"/>
      <c r="AJ266" s="353">
        <f t="shared" si="11"/>
        <v>255</v>
      </c>
    </row>
    <row r="267" spans="1:36">
      <c r="A267" s="332">
        <f t="shared" si="12"/>
        <v>256</v>
      </c>
      <c r="G267" s="349" t="s">
        <v>617</v>
      </c>
      <c r="H267" s="350">
        <v>8000</v>
      </c>
      <c r="I267" s="350">
        <v>600</v>
      </c>
      <c r="J267" s="350">
        <v>15000</v>
      </c>
      <c r="K267" s="351">
        <f t="shared" ca="1" si="10"/>
        <v>40394</v>
      </c>
      <c r="L267" s="350" t="s">
        <v>362</v>
      </c>
      <c r="M267" s="50"/>
      <c r="N267" s="50"/>
      <c r="O267" s="352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339"/>
      <c r="AJ267" s="353">
        <f t="shared" si="11"/>
        <v>256</v>
      </c>
    </row>
    <row r="268" spans="1:36">
      <c r="A268" s="332">
        <f t="shared" si="12"/>
        <v>257</v>
      </c>
      <c r="G268" s="349" t="s">
        <v>618</v>
      </c>
      <c r="H268" s="350">
        <v>5000</v>
      </c>
      <c r="I268" s="350">
        <v>600</v>
      </c>
      <c r="J268" s="350">
        <v>14000</v>
      </c>
      <c r="K268" s="351">
        <f t="shared" ca="1" si="10"/>
        <v>40394</v>
      </c>
      <c r="L268" s="350" t="s">
        <v>362</v>
      </c>
      <c r="M268" s="50"/>
      <c r="N268" s="50"/>
      <c r="O268" s="352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339"/>
      <c r="AJ268" s="353">
        <f t="shared" si="11"/>
        <v>257</v>
      </c>
    </row>
    <row r="269" spans="1:36">
      <c r="A269" s="332">
        <f t="shared" si="12"/>
        <v>258</v>
      </c>
      <c r="G269" s="349" t="s">
        <v>619</v>
      </c>
      <c r="H269" s="350">
        <v>5000</v>
      </c>
      <c r="I269" s="350">
        <v>600</v>
      </c>
      <c r="J269" s="350">
        <v>34200</v>
      </c>
      <c r="K269" s="351">
        <f t="shared" ref="K269:K332" ca="1" si="13">TODAY()</f>
        <v>40394</v>
      </c>
      <c r="L269" s="350" t="s">
        <v>362</v>
      </c>
      <c r="M269" s="50"/>
      <c r="N269" s="50"/>
      <c r="O269" s="352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339"/>
      <c r="AJ269" s="353">
        <f t="shared" si="11"/>
        <v>258</v>
      </c>
    </row>
    <row r="270" spans="1:36">
      <c r="A270" s="332">
        <f t="shared" si="12"/>
        <v>259</v>
      </c>
      <c r="G270" s="349" t="s">
        <v>620</v>
      </c>
      <c r="H270" s="350">
        <v>5000</v>
      </c>
      <c r="I270" s="350">
        <v>2000</v>
      </c>
      <c r="J270" s="350">
        <v>18012</v>
      </c>
      <c r="K270" s="351">
        <f t="shared" ca="1" si="13"/>
        <v>40394</v>
      </c>
      <c r="L270" s="350" t="s">
        <v>359</v>
      </c>
      <c r="M270" s="50"/>
      <c r="N270" s="50"/>
      <c r="O270" s="352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339"/>
      <c r="AJ270" s="353">
        <f t="shared" ref="AJ270:AJ333" si="14">AJ269+1</f>
        <v>259</v>
      </c>
    </row>
    <row r="271" spans="1:36">
      <c r="A271" s="332">
        <f t="shared" si="12"/>
        <v>260</v>
      </c>
      <c r="G271" s="349" t="s">
        <v>621</v>
      </c>
      <c r="H271" s="350">
        <v>10000</v>
      </c>
      <c r="I271" s="350">
        <v>600</v>
      </c>
      <c r="J271" s="350">
        <v>9750</v>
      </c>
      <c r="K271" s="351">
        <f t="shared" ca="1" si="13"/>
        <v>40394</v>
      </c>
      <c r="L271" s="350" t="s">
        <v>362</v>
      </c>
      <c r="M271" s="50"/>
      <c r="N271" s="50"/>
      <c r="O271" s="352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339"/>
      <c r="AJ271" s="353">
        <f t="shared" si="14"/>
        <v>260</v>
      </c>
    </row>
    <row r="272" spans="1:36">
      <c r="A272" s="332">
        <f t="shared" si="12"/>
        <v>261</v>
      </c>
      <c r="G272" s="349" t="s">
        <v>622</v>
      </c>
      <c r="H272" s="350">
        <v>5000</v>
      </c>
      <c r="I272" s="350">
        <v>600</v>
      </c>
      <c r="J272" s="350">
        <v>18000</v>
      </c>
      <c r="K272" s="351">
        <f t="shared" ca="1" si="13"/>
        <v>40394</v>
      </c>
      <c r="L272" s="350" t="s">
        <v>362</v>
      </c>
      <c r="M272" s="50"/>
      <c r="N272" s="50"/>
      <c r="O272" s="352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339"/>
      <c r="AJ272" s="353">
        <f t="shared" si="14"/>
        <v>261</v>
      </c>
    </row>
    <row r="273" spans="1:36">
      <c r="A273" s="332">
        <f t="shared" ref="A273:A336" si="15">1+A272</f>
        <v>262</v>
      </c>
      <c r="G273" s="349" t="s">
        <v>623</v>
      </c>
      <c r="H273" s="350">
        <v>5000</v>
      </c>
      <c r="I273" s="350">
        <v>600</v>
      </c>
      <c r="J273" s="350">
        <v>4800</v>
      </c>
      <c r="K273" s="351">
        <f t="shared" ca="1" si="13"/>
        <v>40394</v>
      </c>
      <c r="L273" s="350" t="s">
        <v>362</v>
      </c>
      <c r="M273" s="50"/>
      <c r="N273" s="50"/>
      <c r="O273" s="352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339"/>
      <c r="AJ273" s="353">
        <f t="shared" si="14"/>
        <v>262</v>
      </c>
    </row>
    <row r="274" spans="1:36">
      <c r="A274" s="332">
        <f t="shared" si="15"/>
        <v>263</v>
      </c>
      <c r="G274" s="349" t="s">
        <v>624</v>
      </c>
      <c r="H274" s="350">
        <v>10000</v>
      </c>
      <c r="I274" s="350">
        <v>600</v>
      </c>
      <c r="J274" s="350">
        <v>18370</v>
      </c>
      <c r="K274" s="351">
        <f t="shared" ca="1" si="13"/>
        <v>40394</v>
      </c>
      <c r="L274" s="350" t="s">
        <v>362</v>
      </c>
      <c r="M274" s="50"/>
      <c r="N274" s="50"/>
      <c r="O274" s="352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339"/>
      <c r="AJ274" s="353">
        <f t="shared" si="14"/>
        <v>263</v>
      </c>
    </row>
    <row r="275" spans="1:36">
      <c r="A275" s="332">
        <f t="shared" si="15"/>
        <v>264</v>
      </c>
      <c r="G275" s="349" t="s">
        <v>625</v>
      </c>
      <c r="H275" s="350">
        <v>10000</v>
      </c>
      <c r="I275" s="350">
        <v>600</v>
      </c>
      <c r="J275" s="350">
        <v>8522</v>
      </c>
      <c r="K275" s="351">
        <f t="shared" ca="1" si="13"/>
        <v>40394</v>
      </c>
      <c r="L275" s="350" t="s">
        <v>362</v>
      </c>
      <c r="M275" s="50"/>
      <c r="N275" s="50"/>
      <c r="O275" s="352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339"/>
      <c r="AJ275" s="353">
        <f t="shared" si="14"/>
        <v>264</v>
      </c>
    </row>
    <row r="276" spans="1:36">
      <c r="A276" s="332">
        <f t="shared" si="15"/>
        <v>265</v>
      </c>
      <c r="G276" s="349" t="s">
        <v>626</v>
      </c>
      <c r="H276" s="350">
        <v>10000</v>
      </c>
      <c r="I276" s="350">
        <v>600</v>
      </c>
      <c r="J276" s="350">
        <v>12000</v>
      </c>
      <c r="K276" s="351">
        <f t="shared" ca="1" si="13"/>
        <v>40394</v>
      </c>
      <c r="L276" s="350" t="s">
        <v>359</v>
      </c>
      <c r="M276" s="50"/>
      <c r="N276" s="50"/>
      <c r="O276" s="352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339"/>
      <c r="AJ276" s="353">
        <f t="shared" si="14"/>
        <v>265</v>
      </c>
    </row>
    <row r="277" spans="1:36">
      <c r="A277" s="332">
        <f t="shared" si="15"/>
        <v>266</v>
      </c>
      <c r="G277" s="349" t="s">
        <v>627</v>
      </c>
      <c r="H277" s="350">
        <v>5000</v>
      </c>
      <c r="I277" s="350">
        <v>600</v>
      </c>
      <c r="J277" s="350">
        <v>28350</v>
      </c>
      <c r="K277" s="351">
        <f t="shared" ca="1" si="13"/>
        <v>40394</v>
      </c>
      <c r="L277" s="350" t="s">
        <v>362</v>
      </c>
      <c r="M277" s="50"/>
      <c r="N277" s="50"/>
      <c r="O277" s="352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339"/>
      <c r="AJ277" s="353">
        <f t="shared" si="14"/>
        <v>266</v>
      </c>
    </row>
    <row r="278" spans="1:36">
      <c r="A278" s="332">
        <f t="shared" si="15"/>
        <v>267</v>
      </c>
      <c r="G278" s="349" t="s">
        <v>628</v>
      </c>
      <c r="H278" s="350">
        <v>10000</v>
      </c>
      <c r="I278" s="350">
        <v>600</v>
      </c>
      <c r="J278" s="350">
        <v>4000</v>
      </c>
      <c r="K278" s="351">
        <f t="shared" ca="1" si="13"/>
        <v>40394</v>
      </c>
      <c r="L278" s="350" t="s">
        <v>362</v>
      </c>
      <c r="M278" s="50"/>
      <c r="N278" s="50"/>
      <c r="O278" s="352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339"/>
      <c r="AJ278" s="353">
        <f t="shared" si="14"/>
        <v>267</v>
      </c>
    </row>
    <row r="279" spans="1:36">
      <c r="A279" s="332">
        <f t="shared" si="15"/>
        <v>268</v>
      </c>
      <c r="G279" s="349" t="s">
        <v>629</v>
      </c>
      <c r="H279" s="350">
        <v>5000</v>
      </c>
      <c r="I279" s="350">
        <v>600</v>
      </c>
      <c r="J279" s="350">
        <v>13000</v>
      </c>
      <c r="K279" s="351">
        <f t="shared" ca="1" si="13"/>
        <v>40394</v>
      </c>
      <c r="L279" s="350" t="s">
        <v>362</v>
      </c>
      <c r="M279" s="50"/>
      <c r="N279" s="50"/>
      <c r="O279" s="352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339"/>
      <c r="AJ279" s="353">
        <f t="shared" si="14"/>
        <v>268</v>
      </c>
    </row>
    <row r="280" spans="1:36">
      <c r="A280" s="332">
        <f t="shared" si="15"/>
        <v>269</v>
      </c>
      <c r="G280" s="349" t="s">
        <v>630</v>
      </c>
      <c r="H280" s="350">
        <v>10000</v>
      </c>
      <c r="I280" s="350">
        <v>600</v>
      </c>
      <c r="J280" s="350">
        <v>16350</v>
      </c>
      <c r="K280" s="351">
        <f t="shared" ca="1" si="13"/>
        <v>40394</v>
      </c>
      <c r="L280" s="350" t="s">
        <v>362</v>
      </c>
      <c r="M280" s="50"/>
      <c r="N280" s="50"/>
      <c r="O280" s="352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339"/>
      <c r="AJ280" s="353">
        <f t="shared" si="14"/>
        <v>269</v>
      </c>
    </row>
    <row r="281" spans="1:36">
      <c r="A281" s="332">
        <f t="shared" si="15"/>
        <v>270</v>
      </c>
      <c r="G281" s="349" t="s">
        <v>631</v>
      </c>
      <c r="H281" s="350">
        <v>9000</v>
      </c>
      <c r="I281" s="350">
        <v>500</v>
      </c>
      <c r="J281" s="350">
        <v>22450</v>
      </c>
      <c r="K281" s="351">
        <f t="shared" ca="1" si="13"/>
        <v>40394</v>
      </c>
      <c r="L281" s="350" t="s">
        <v>359</v>
      </c>
      <c r="M281" s="50"/>
      <c r="N281" s="50"/>
      <c r="O281" s="352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339"/>
      <c r="AJ281" s="353">
        <f t="shared" si="14"/>
        <v>270</v>
      </c>
    </row>
    <row r="282" spans="1:36">
      <c r="A282" s="332">
        <f t="shared" si="15"/>
        <v>271</v>
      </c>
      <c r="G282" s="349" t="s">
        <v>632</v>
      </c>
      <c r="H282" s="350">
        <v>5000</v>
      </c>
      <c r="I282" s="350">
        <v>500</v>
      </c>
      <c r="J282" s="350">
        <v>8450</v>
      </c>
      <c r="K282" s="351">
        <f t="shared" ca="1" si="13"/>
        <v>40394</v>
      </c>
      <c r="L282" s="350" t="s">
        <v>359</v>
      </c>
      <c r="M282" s="50"/>
      <c r="N282" s="50"/>
      <c r="O282" s="352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339"/>
      <c r="AJ282" s="353">
        <f t="shared" si="14"/>
        <v>271</v>
      </c>
    </row>
    <row r="283" spans="1:36">
      <c r="A283" s="332">
        <f t="shared" si="15"/>
        <v>272</v>
      </c>
      <c r="G283" s="349" t="s">
        <v>633</v>
      </c>
      <c r="H283" s="350">
        <v>15000</v>
      </c>
      <c r="I283" s="350">
        <v>600</v>
      </c>
      <c r="J283" s="350">
        <v>6400</v>
      </c>
      <c r="K283" s="351">
        <f t="shared" ca="1" si="13"/>
        <v>40394</v>
      </c>
      <c r="L283" s="350" t="s">
        <v>362</v>
      </c>
      <c r="M283" s="50"/>
      <c r="N283" s="50"/>
      <c r="O283" s="352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339"/>
      <c r="AJ283" s="353">
        <f t="shared" si="14"/>
        <v>272</v>
      </c>
    </row>
    <row r="284" spans="1:36">
      <c r="A284" s="332">
        <f t="shared" si="15"/>
        <v>273</v>
      </c>
      <c r="G284" s="349" t="s">
        <v>634</v>
      </c>
      <c r="H284" s="350">
        <v>10000</v>
      </c>
      <c r="I284" s="350">
        <v>500</v>
      </c>
      <c r="J284" s="350">
        <v>33400</v>
      </c>
      <c r="K284" s="351">
        <f t="shared" ca="1" si="13"/>
        <v>40394</v>
      </c>
      <c r="L284" s="350" t="s">
        <v>362</v>
      </c>
      <c r="M284" s="50"/>
      <c r="N284" s="50"/>
      <c r="O284" s="352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339"/>
      <c r="AJ284" s="353">
        <f t="shared" si="14"/>
        <v>273</v>
      </c>
    </row>
    <row r="285" spans="1:36">
      <c r="A285" s="332">
        <f t="shared" si="15"/>
        <v>274</v>
      </c>
      <c r="G285" s="349" t="s">
        <v>635</v>
      </c>
      <c r="H285" s="350">
        <v>10000</v>
      </c>
      <c r="I285" s="350">
        <v>600</v>
      </c>
      <c r="J285" s="350">
        <v>48600</v>
      </c>
      <c r="K285" s="351">
        <f t="shared" ca="1" si="13"/>
        <v>40394</v>
      </c>
      <c r="L285" s="350" t="s">
        <v>359</v>
      </c>
      <c r="M285" s="50"/>
      <c r="N285" s="50"/>
      <c r="O285" s="352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339"/>
      <c r="AJ285" s="353">
        <f t="shared" si="14"/>
        <v>274</v>
      </c>
    </row>
    <row r="286" spans="1:36">
      <c r="A286" s="332">
        <f t="shared" si="15"/>
        <v>275</v>
      </c>
      <c r="G286" s="349" t="s">
        <v>636</v>
      </c>
      <c r="H286" s="350">
        <v>5000</v>
      </c>
      <c r="I286" s="350">
        <v>600</v>
      </c>
      <c r="J286" s="350">
        <v>4200</v>
      </c>
      <c r="K286" s="351">
        <f t="shared" ca="1" si="13"/>
        <v>40394</v>
      </c>
      <c r="L286" s="350" t="s">
        <v>359</v>
      </c>
      <c r="M286" s="50"/>
      <c r="N286" s="50"/>
      <c r="O286" s="352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339"/>
      <c r="AJ286" s="353">
        <f t="shared" si="14"/>
        <v>275</v>
      </c>
    </row>
    <row r="287" spans="1:36">
      <c r="A287" s="332">
        <f t="shared" si="15"/>
        <v>276</v>
      </c>
      <c r="G287" s="349" t="s">
        <v>637</v>
      </c>
      <c r="H287" s="350">
        <v>5000</v>
      </c>
      <c r="I287" s="350">
        <v>600</v>
      </c>
      <c r="J287" s="350">
        <v>9000</v>
      </c>
      <c r="K287" s="351">
        <f t="shared" ca="1" si="13"/>
        <v>40394</v>
      </c>
      <c r="L287" s="350" t="s">
        <v>362</v>
      </c>
      <c r="M287" s="50"/>
      <c r="N287" s="50"/>
      <c r="O287" s="352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339"/>
      <c r="AJ287" s="353">
        <f t="shared" si="14"/>
        <v>276</v>
      </c>
    </row>
    <row r="288" spans="1:36">
      <c r="A288" s="332">
        <f t="shared" si="15"/>
        <v>277</v>
      </c>
      <c r="G288" s="349" t="s">
        <v>638</v>
      </c>
      <c r="H288" s="350">
        <v>5000</v>
      </c>
      <c r="I288" s="350">
        <v>600</v>
      </c>
      <c r="J288" s="350">
        <v>5000</v>
      </c>
      <c r="K288" s="351">
        <f t="shared" ca="1" si="13"/>
        <v>40394</v>
      </c>
      <c r="L288" s="350" t="s">
        <v>362</v>
      </c>
      <c r="M288" s="50"/>
      <c r="N288" s="50"/>
      <c r="O288" s="352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339"/>
      <c r="AJ288" s="353">
        <f t="shared" si="14"/>
        <v>277</v>
      </c>
    </row>
    <row r="289" spans="1:36">
      <c r="A289" s="332">
        <f t="shared" si="15"/>
        <v>278</v>
      </c>
      <c r="G289" s="349" t="s">
        <v>639</v>
      </c>
      <c r="H289" s="350">
        <v>7000</v>
      </c>
      <c r="I289" s="350">
        <v>500</v>
      </c>
      <c r="J289" s="350">
        <v>3000</v>
      </c>
      <c r="K289" s="351">
        <f t="shared" ca="1" si="13"/>
        <v>40394</v>
      </c>
      <c r="L289" s="350" t="s">
        <v>362</v>
      </c>
      <c r="M289" s="50"/>
      <c r="N289" s="50"/>
      <c r="O289" s="352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339"/>
      <c r="AJ289" s="353">
        <f t="shared" si="14"/>
        <v>278</v>
      </c>
    </row>
    <row r="290" spans="1:36">
      <c r="A290" s="332">
        <f t="shared" si="15"/>
        <v>279</v>
      </c>
      <c r="G290" s="349" t="s">
        <v>640</v>
      </c>
      <c r="H290" s="350">
        <v>5000</v>
      </c>
      <c r="I290" s="350">
        <v>600</v>
      </c>
      <c r="J290" s="350">
        <v>8600</v>
      </c>
      <c r="K290" s="351">
        <f t="shared" ca="1" si="13"/>
        <v>40394</v>
      </c>
      <c r="L290" s="350" t="s">
        <v>362</v>
      </c>
      <c r="M290" s="50"/>
      <c r="N290" s="50"/>
      <c r="O290" s="352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339"/>
      <c r="AJ290" s="353">
        <f t="shared" si="14"/>
        <v>279</v>
      </c>
    </row>
    <row r="291" spans="1:36">
      <c r="A291" s="332">
        <f t="shared" si="15"/>
        <v>280</v>
      </c>
      <c r="G291" s="349" t="s">
        <v>641</v>
      </c>
      <c r="H291" s="350">
        <v>10000</v>
      </c>
      <c r="I291" s="350">
        <v>600</v>
      </c>
      <c r="J291" s="350">
        <v>17000</v>
      </c>
      <c r="K291" s="351">
        <f t="shared" ca="1" si="13"/>
        <v>40394</v>
      </c>
      <c r="L291" s="350" t="s">
        <v>362</v>
      </c>
      <c r="M291" s="50"/>
      <c r="N291" s="50"/>
      <c r="O291" s="352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339"/>
      <c r="AJ291" s="353">
        <f t="shared" si="14"/>
        <v>280</v>
      </c>
    </row>
    <row r="292" spans="1:36">
      <c r="A292" s="332">
        <f t="shared" si="15"/>
        <v>281</v>
      </c>
      <c r="G292" s="349" t="s">
        <v>642</v>
      </c>
      <c r="H292" s="350">
        <v>8000</v>
      </c>
      <c r="I292" s="350">
        <v>500</v>
      </c>
      <c r="J292" s="350">
        <v>26000</v>
      </c>
      <c r="K292" s="351">
        <f t="shared" ca="1" si="13"/>
        <v>40394</v>
      </c>
      <c r="L292" s="350" t="s">
        <v>359</v>
      </c>
      <c r="M292" s="50"/>
      <c r="N292" s="50"/>
      <c r="O292" s="352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339"/>
      <c r="AJ292" s="353">
        <f t="shared" si="14"/>
        <v>281</v>
      </c>
    </row>
    <row r="293" spans="1:36">
      <c r="A293" s="332">
        <f t="shared" si="15"/>
        <v>282</v>
      </c>
      <c r="G293" s="349" t="s">
        <v>643</v>
      </c>
      <c r="H293" s="350">
        <v>5000</v>
      </c>
      <c r="I293" s="350">
        <v>600</v>
      </c>
      <c r="J293" s="350">
        <v>13600</v>
      </c>
      <c r="K293" s="351">
        <f t="shared" ca="1" si="13"/>
        <v>40394</v>
      </c>
      <c r="L293" s="350" t="s">
        <v>362</v>
      </c>
      <c r="M293" s="50"/>
      <c r="N293" s="50"/>
      <c r="O293" s="352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339"/>
      <c r="AJ293" s="353">
        <f t="shared" si="14"/>
        <v>282</v>
      </c>
    </row>
    <row r="294" spans="1:36">
      <c r="A294" s="332">
        <f t="shared" si="15"/>
        <v>283</v>
      </c>
      <c r="G294" s="349" t="s">
        <v>644</v>
      </c>
      <c r="H294" s="350">
        <v>5000</v>
      </c>
      <c r="I294" s="350">
        <v>500</v>
      </c>
      <c r="J294" s="350">
        <v>20785</v>
      </c>
      <c r="K294" s="351">
        <f t="shared" ca="1" si="13"/>
        <v>40394</v>
      </c>
      <c r="L294" s="350" t="s">
        <v>359</v>
      </c>
      <c r="M294" s="50"/>
      <c r="N294" s="50"/>
      <c r="O294" s="352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339"/>
      <c r="AJ294" s="353">
        <f t="shared" si="14"/>
        <v>283</v>
      </c>
    </row>
    <row r="295" spans="1:36">
      <c r="A295" s="332">
        <f t="shared" si="15"/>
        <v>284</v>
      </c>
      <c r="G295" s="349" t="s">
        <v>645</v>
      </c>
      <c r="H295" s="350">
        <v>6000</v>
      </c>
      <c r="I295" s="350">
        <v>600</v>
      </c>
      <c r="J295" s="350">
        <v>15250</v>
      </c>
      <c r="K295" s="351">
        <f t="shared" ca="1" si="13"/>
        <v>40394</v>
      </c>
      <c r="L295" s="350" t="s">
        <v>362</v>
      </c>
      <c r="M295" s="50"/>
      <c r="N295" s="50"/>
      <c r="O295" s="352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339"/>
      <c r="AJ295" s="353">
        <f t="shared" si="14"/>
        <v>284</v>
      </c>
    </row>
    <row r="296" spans="1:36">
      <c r="A296" s="332">
        <f t="shared" si="15"/>
        <v>285</v>
      </c>
      <c r="G296" s="349" t="s">
        <v>646</v>
      </c>
      <c r="H296" s="350">
        <v>5000</v>
      </c>
      <c r="I296" s="350">
        <v>600</v>
      </c>
      <c r="J296" s="350">
        <v>6500</v>
      </c>
      <c r="K296" s="351">
        <f t="shared" ca="1" si="13"/>
        <v>40394</v>
      </c>
      <c r="L296" s="350" t="s">
        <v>362</v>
      </c>
      <c r="M296" s="50"/>
      <c r="N296" s="50"/>
      <c r="O296" s="352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339"/>
      <c r="AJ296" s="353">
        <f t="shared" si="14"/>
        <v>285</v>
      </c>
    </row>
    <row r="297" spans="1:36">
      <c r="A297" s="332">
        <f t="shared" si="15"/>
        <v>286</v>
      </c>
      <c r="G297" s="349" t="s">
        <v>647</v>
      </c>
      <c r="H297" s="350">
        <v>5000</v>
      </c>
      <c r="I297" s="350">
        <v>500</v>
      </c>
      <c r="J297" s="350">
        <v>22000</v>
      </c>
      <c r="K297" s="351">
        <f t="shared" ca="1" si="13"/>
        <v>40394</v>
      </c>
      <c r="L297" s="350" t="s">
        <v>359</v>
      </c>
      <c r="M297" s="50"/>
      <c r="N297" s="50"/>
      <c r="O297" s="352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339"/>
      <c r="AJ297" s="353">
        <f t="shared" si="14"/>
        <v>286</v>
      </c>
    </row>
    <row r="298" spans="1:36">
      <c r="A298" s="332">
        <f t="shared" si="15"/>
        <v>287</v>
      </c>
      <c r="G298" s="349" t="s">
        <v>648</v>
      </c>
      <c r="H298" s="350">
        <v>10000</v>
      </c>
      <c r="I298" s="350">
        <v>1000</v>
      </c>
      <c r="J298" s="350">
        <v>40110</v>
      </c>
      <c r="K298" s="351">
        <f t="shared" ca="1" si="13"/>
        <v>40394</v>
      </c>
      <c r="L298" s="350" t="s">
        <v>359</v>
      </c>
      <c r="M298" s="50"/>
      <c r="N298" s="50"/>
      <c r="O298" s="352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339"/>
      <c r="AJ298" s="353">
        <f t="shared" si="14"/>
        <v>287</v>
      </c>
    </row>
    <row r="299" spans="1:36">
      <c r="A299" s="332">
        <f t="shared" si="15"/>
        <v>288</v>
      </c>
      <c r="G299" s="349" t="s">
        <v>649</v>
      </c>
      <c r="H299" s="350">
        <v>10000</v>
      </c>
      <c r="I299" s="350">
        <v>500</v>
      </c>
      <c r="J299" s="350">
        <v>9000</v>
      </c>
      <c r="K299" s="351">
        <f t="shared" ca="1" si="13"/>
        <v>40394</v>
      </c>
      <c r="L299" s="350" t="s">
        <v>359</v>
      </c>
      <c r="M299" s="50"/>
      <c r="N299" s="50"/>
      <c r="O299" s="352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339"/>
      <c r="AJ299" s="353">
        <f t="shared" si="14"/>
        <v>288</v>
      </c>
    </row>
    <row r="300" spans="1:36">
      <c r="A300" s="332">
        <f t="shared" si="15"/>
        <v>289</v>
      </c>
      <c r="G300" s="349" t="s">
        <v>650</v>
      </c>
      <c r="H300" s="350">
        <v>5000</v>
      </c>
      <c r="I300" s="350">
        <v>600</v>
      </c>
      <c r="J300" s="350">
        <v>27000</v>
      </c>
      <c r="K300" s="351">
        <f t="shared" ca="1" si="13"/>
        <v>40394</v>
      </c>
      <c r="L300" s="350" t="s">
        <v>362</v>
      </c>
      <c r="M300" s="50"/>
      <c r="N300" s="50"/>
      <c r="O300" s="352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339"/>
      <c r="AJ300" s="353">
        <f t="shared" si="14"/>
        <v>289</v>
      </c>
    </row>
    <row r="301" spans="1:36">
      <c r="A301" s="332">
        <f t="shared" si="15"/>
        <v>290</v>
      </c>
      <c r="G301" s="349" t="s">
        <v>651</v>
      </c>
      <c r="H301" s="350">
        <v>10000</v>
      </c>
      <c r="I301" s="350">
        <v>600</v>
      </c>
      <c r="J301" s="350">
        <v>17000</v>
      </c>
      <c r="K301" s="351">
        <f t="shared" ca="1" si="13"/>
        <v>40394</v>
      </c>
      <c r="L301" s="350" t="s">
        <v>362</v>
      </c>
      <c r="M301" s="50"/>
      <c r="N301" s="50"/>
      <c r="O301" s="352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339"/>
      <c r="AJ301" s="353">
        <f t="shared" si="14"/>
        <v>290</v>
      </c>
    </row>
    <row r="302" spans="1:36">
      <c r="A302" s="332">
        <f t="shared" si="15"/>
        <v>291</v>
      </c>
      <c r="G302" s="349" t="s">
        <v>652</v>
      </c>
      <c r="H302" s="350">
        <v>5000</v>
      </c>
      <c r="I302" s="350">
        <v>500</v>
      </c>
      <c r="J302" s="350">
        <v>16000</v>
      </c>
      <c r="K302" s="351">
        <f t="shared" ca="1" si="13"/>
        <v>40394</v>
      </c>
      <c r="L302" s="350" t="s">
        <v>359</v>
      </c>
      <c r="M302" s="50"/>
      <c r="N302" s="50"/>
      <c r="O302" s="352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339"/>
      <c r="AJ302" s="353">
        <f t="shared" si="14"/>
        <v>291</v>
      </c>
    </row>
    <row r="303" spans="1:36">
      <c r="A303" s="332">
        <f t="shared" si="15"/>
        <v>292</v>
      </c>
      <c r="G303" s="349" t="s">
        <v>653</v>
      </c>
      <c r="H303" s="350">
        <v>20000</v>
      </c>
      <c r="I303" s="350">
        <v>600</v>
      </c>
      <c r="J303" s="350">
        <v>10000</v>
      </c>
      <c r="K303" s="351">
        <f t="shared" ca="1" si="13"/>
        <v>40394</v>
      </c>
      <c r="L303" s="350" t="s">
        <v>362</v>
      </c>
      <c r="M303" s="50"/>
      <c r="N303" s="50"/>
      <c r="O303" s="352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339"/>
      <c r="AJ303" s="353">
        <f t="shared" si="14"/>
        <v>292</v>
      </c>
    </row>
    <row r="304" spans="1:36">
      <c r="A304" s="332">
        <f t="shared" si="15"/>
        <v>293</v>
      </c>
      <c r="G304" s="349" t="s">
        <v>654</v>
      </c>
      <c r="H304" s="350">
        <v>20000</v>
      </c>
      <c r="I304" s="350">
        <v>600</v>
      </c>
      <c r="J304" s="350">
        <v>16000</v>
      </c>
      <c r="K304" s="351">
        <f t="shared" ca="1" si="13"/>
        <v>40394</v>
      </c>
      <c r="L304" s="350" t="s">
        <v>362</v>
      </c>
      <c r="M304" s="50"/>
      <c r="N304" s="50"/>
      <c r="O304" s="352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339"/>
      <c r="AJ304" s="353">
        <f t="shared" si="14"/>
        <v>293</v>
      </c>
    </row>
    <row r="305" spans="1:36">
      <c r="A305" s="332">
        <f t="shared" si="15"/>
        <v>294</v>
      </c>
      <c r="G305" s="349" t="s">
        <v>655</v>
      </c>
      <c r="H305" s="350">
        <v>5000</v>
      </c>
      <c r="I305" s="350">
        <v>600</v>
      </c>
      <c r="J305" s="350">
        <v>12050</v>
      </c>
      <c r="K305" s="351">
        <f t="shared" ca="1" si="13"/>
        <v>40394</v>
      </c>
      <c r="L305" s="350" t="s">
        <v>362</v>
      </c>
      <c r="M305" s="50"/>
      <c r="N305" s="50"/>
      <c r="O305" s="352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339"/>
      <c r="AJ305" s="353">
        <f t="shared" si="14"/>
        <v>294</v>
      </c>
    </row>
    <row r="306" spans="1:36">
      <c r="A306" s="332">
        <f t="shared" si="15"/>
        <v>295</v>
      </c>
      <c r="G306" s="349" t="s">
        <v>656</v>
      </c>
      <c r="H306" s="350">
        <v>5000</v>
      </c>
      <c r="I306" s="350">
        <v>600</v>
      </c>
      <c r="J306" s="350">
        <v>5050</v>
      </c>
      <c r="K306" s="351">
        <f t="shared" ca="1" si="13"/>
        <v>40394</v>
      </c>
      <c r="L306" s="350" t="s">
        <v>362</v>
      </c>
      <c r="M306" s="50"/>
      <c r="N306" s="50"/>
      <c r="O306" s="352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339"/>
      <c r="AJ306" s="353">
        <f t="shared" si="14"/>
        <v>295</v>
      </c>
    </row>
    <row r="307" spans="1:36">
      <c r="A307" s="332">
        <f t="shared" si="15"/>
        <v>296</v>
      </c>
      <c r="G307" s="349" t="s">
        <v>657</v>
      </c>
      <c r="H307" s="350">
        <v>12000</v>
      </c>
      <c r="I307" s="350">
        <v>600</v>
      </c>
      <c r="J307" s="350">
        <v>29000</v>
      </c>
      <c r="K307" s="351">
        <f t="shared" ca="1" si="13"/>
        <v>40394</v>
      </c>
      <c r="L307" s="350" t="s">
        <v>362</v>
      </c>
      <c r="M307" s="50"/>
      <c r="N307" s="50"/>
      <c r="O307" s="352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339"/>
      <c r="AJ307" s="353">
        <f t="shared" si="14"/>
        <v>296</v>
      </c>
    </row>
    <row r="308" spans="1:36">
      <c r="A308" s="332">
        <f t="shared" si="15"/>
        <v>297</v>
      </c>
      <c r="G308" s="349" t="s">
        <v>658</v>
      </c>
      <c r="H308" s="350">
        <v>9000</v>
      </c>
      <c r="I308" s="350">
        <v>600</v>
      </c>
      <c r="J308" s="350">
        <v>31800</v>
      </c>
      <c r="K308" s="351">
        <f t="shared" ca="1" si="13"/>
        <v>40394</v>
      </c>
      <c r="L308" s="350" t="s">
        <v>362</v>
      </c>
      <c r="M308" s="50"/>
      <c r="N308" s="50"/>
      <c r="O308" s="352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339"/>
      <c r="AJ308" s="353">
        <f t="shared" si="14"/>
        <v>297</v>
      </c>
    </row>
    <row r="309" spans="1:36">
      <c r="A309" s="332">
        <f t="shared" si="15"/>
        <v>298</v>
      </c>
      <c r="G309" s="349" t="s">
        <v>659</v>
      </c>
      <c r="H309" s="350">
        <v>5000</v>
      </c>
      <c r="I309" s="350">
        <v>600</v>
      </c>
      <c r="J309" s="350">
        <v>10800</v>
      </c>
      <c r="K309" s="351">
        <f t="shared" ca="1" si="13"/>
        <v>40394</v>
      </c>
      <c r="L309" s="350" t="s">
        <v>362</v>
      </c>
      <c r="M309" s="50"/>
      <c r="N309" s="50"/>
      <c r="O309" s="352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339"/>
      <c r="AJ309" s="353">
        <f t="shared" si="14"/>
        <v>298</v>
      </c>
    </row>
    <row r="310" spans="1:36">
      <c r="A310" s="332">
        <f t="shared" si="15"/>
        <v>299</v>
      </c>
      <c r="G310" s="349" t="s">
        <v>660</v>
      </c>
      <c r="H310" s="350">
        <v>5000</v>
      </c>
      <c r="I310" s="350">
        <v>500</v>
      </c>
      <c r="J310" s="350">
        <v>11000</v>
      </c>
      <c r="K310" s="351">
        <f t="shared" ca="1" si="13"/>
        <v>40394</v>
      </c>
      <c r="L310" s="350" t="s">
        <v>359</v>
      </c>
      <c r="M310" s="50"/>
      <c r="N310" s="50"/>
      <c r="O310" s="352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339"/>
      <c r="AJ310" s="353">
        <f t="shared" si="14"/>
        <v>299</v>
      </c>
    </row>
    <row r="311" spans="1:36">
      <c r="A311" s="332">
        <f t="shared" si="15"/>
        <v>300</v>
      </c>
      <c r="G311" s="349" t="s">
        <v>661</v>
      </c>
      <c r="H311" s="350">
        <v>5000</v>
      </c>
      <c r="I311" s="350">
        <v>600</v>
      </c>
      <c r="J311" s="350">
        <v>6000</v>
      </c>
      <c r="K311" s="351">
        <f t="shared" ca="1" si="13"/>
        <v>40394</v>
      </c>
      <c r="L311" s="350" t="s">
        <v>362</v>
      </c>
      <c r="M311" s="50"/>
      <c r="N311" s="50"/>
      <c r="O311" s="352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339"/>
      <c r="AJ311" s="353">
        <f t="shared" si="14"/>
        <v>300</v>
      </c>
    </row>
    <row r="312" spans="1:36">
      <c r="A312" s="332">
        <f t="shared" si="15"/>
        <v>301</v>
      </c>
      <c r="G312" s="349" t="s">
        <v>662</v>
      </c>
      <c r="H312" s="350">
        <v>10000</v>
      </c>
      <c r="I312" s="350">
        <v>600</v>
      </c>
      <c r="J312" s="350">
        <v>9300</v>
      </c>
      <c r="K312" s="351">
        <f t="shared" ca="1" si="13"/>
        <v>40394</v>
      </c>
      <c r="L312" s="350" t="s">
        <v>362</v>
      </c>
      <c r="M312" s="50"/>
      <c r="N312" s="50"/>
      <c r="O312" s="352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339"/>
      <c r="AJ312" s="353">
        <f t="shared" si="14"/>
        <v>301</v>
      </c>
    </row>
    <row r="313" spans="1:36">
      <c r="A313" s="332">
        <f t="shared" si="15"/>
        <v>302</v>
      </c>
      <c r="G313" s="349" t="s">
        <v>663</v>
      </c>
      <c r="H313" s="350">
        <v>5000</v>
      </c>
      <c r="I313" s="350">
        <v>600</v>
      </c>
      <c r="J313" s="350">
        <v>3200</v>
      </c>
      <c r="K313" s="351">
        <f t="shared" ca="1" si="13"/>
        <v>40394</v>
      </c>
      <c r="L313" s="350" t="s">
        <v>362</v>
      </c>
      <c r="M313" s="50"/>
      <c r="N313" s="50"/>
      <c r="O313" s="352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339"/>
      <c r="AJ313" s="353">
        <f t="shared" si="14"/>
        <v>302</v>
      </c>
    </row>
    <row r="314" spans="1:36">
      <c r="A314" s="332">
        <f t="shared" si="15"/>
        <v>303</v>
      </c>
      <c r="G314" s="349" t="s">
        <v>664</v>
      </c>
      <c r="H314" s="350">
        <v>5000</v>
      </c>
      <c r="I314" s="350">
        <v>600</v>
      </c>
      <c r="J314" s="350">
        <v>7000</v>
      </c>
      <c r="K314" s="351">
        <f t="shared" ca="1" si="13"/>
        <v>40394</v>
      </c>
      <c r="L314" s="350" t="s">
        <v>362</v>
      </c>
      <c r="M314" s="50"/>
      <c r="N314" s="50"/>
      <c r="O314" s="352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339"/>
      <c r="AJ314" s="353">
        <f t="shared" si="14"/>
        <v>303</v>
      </c>
    </row>
    <row r="315" spans="1:36">
      <c r="A315" s="332">
        <f t="shared" si="15"/>
        <v>304</v>
      </c>
      <c r="G315" s="349" t="s">
        <v>665</v>
      </c>
      <c r="H315" s="350">
        <v>5000</v>
      </c>
      <c r="I315" s="350">
        <v>600</v>
      </c>
      <c r="J315" s="350">
        <v>7500</v>
      </c>
      <c r="K315" s="351">
        <f t="shared" ca="1" si="13"/>
        <v>40394</v>
      </c>
      <c r="L315" s="350" t="s">
        <v>362</v>
      </c>
      <c r="M315" s="50"/>
      <c r="N315" s="50"/>
      <c r="O315" s="352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339"/>
      <c r="AJ315" s="353">
        <f t="shared" si="14"/>
        <v>304</v>
      </c>
    </row>
    <row r="316" spans="1:36">
      <c r="A316" s="332">
        <f t="shared" si="15"/>
        <v>305</v>
      </c>
      <c r="G316" s="349" t="s">
        <v>666</v>
      </c>
      <c r="H316" s="350">
        <v>5000</v>
      </c>
      <c r="I316" s="350">
        <v>600</v>
      </c>
      <c r="J316" s="350">
        <v>16000</v>
      </c>
      <c r="K316" s="351">
        <f t="shared" ca="1" si="13"/>
        <v>40394</v>
      </c>
      <c r="L316" s="350" t="s">
        <v>362</v>
      </c>
      <c r="M316" s="50"/>
      <c r="N316" s="50"/>
      <c r="O316" s="352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339"/>
      <c r="AJ316" s="353">
        <f t="shared" si="14"/>
        <v>305</v>
      </c>
    </row>
    <row r="317" spans="1:36">
      <c r="A317" s="332">
        <f t="shared" si="15"/>
        <v>306</v>
      </c>
      <c r="G317" s="349" t="s">
        <v>667</v>
      </c>
      <c r="H317" s="350">
        <v>5000</v>
      </c>
      <c r="I317" s="350">
        <v>600</v>
      </c>
      <c r="J317" s="350">
        <v>25000</v>
      </c>
      <c r="K317" s="351">
        <f t="shared" ca="1" si="13"/>
        <v>40394</v>
      </c>
      <c r="L317" s="350" t="s">
        <v>362</v>
      </c>
      <c r="M317" s="50"/>
      <c r="N317" s="50"/>
      <c r="O317" s="352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339"/>
      <c r="AJ317" s="353">
        <f t="shared" si="14"/>
        <v>306</v>
      </c>
    </row>
    <row r="318" spans="1:36">
      <c r="A318" s="332">
        <f t="shared" si="15"/>
        <v>307</v>
      </c>
      <c r="G318" s="349" t="s">
        <v>668</v>
      </c>
      <c r="H318" s="350">
        <v>5000</v>
      </c>
      <c r="I318" s="350">
        <v>500</v>
      </c>
      <c r="J318" s="350">
        <v>8500</v>
      </c>
      <c r="K318" s="351">
        <f t="shared" ca="1" si="13"/>
        <v>40394</v>
      </c>
      <c r="L318" s="350" t="s">
        <v>362</v>
      </c>
      <c r="M318" s="50"/>
      <c r="N318" s="50"/>
      <c r="O318" s="352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339"/>
      <c r="AJ318" s="353">
        <f t="shared" si="14"/>
        <v>307</v>
      </c>
    </row>
    <row r="319" spans="1:36">
      <c r="A319" s="332">
        <f t="shared" si="15"/>
        <v>308</v>
      </c>
      <c r="G319" s="349" t="s">
        <v>669</v>
      </c>
      <c r="H319" s="350">
        <v>15000</v>
      </c>
      <c r="I319" s="350">
        <v>600</v>
      </c>
      <c r="J319" s="350">
        <v>13000</v>
      </c>
      <c r="K319" s="351">
        <f t="shared" ca="1" si="13"/>
        <v>40394</v>
      </c>
      <c r="L319" s="350" t="s">
        <v>362</v>
      </c>
      <c r="M319" s="50"/>
      <c r="N319" s="50"/>
      <c r="O319" s="352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339"/>
      <c r="AJ319" s="353">
        <f t="shared" si="14"/>
        <v>308</v>
      </c>
    </row>
    <row r="320" spans="1:36">
      <c r="A320" s="332">
        <f t="shared" si="15"/>
        <v>309</v>
      </c>
      <c r="G320" s="349" t="s">
        <v>670</v>
      </c>
      <c r="H320" s="350">
        <v>7000</v>
      </c>
      <c r="I320" s="350">
        <v>500</v>
      </c>
      <c r="J320" s="350">
        <v>14600</v>
      </c>
      <c r="K320" s="351">
        <f t="shared" ca="1" si="13"/>
        <v>40394</v>
      </c>
      <c r="L320" s="350" t="s">
        <v>362</v>
      </c>
      <c r="M320" s="50"/>
      <c r="N320" s="50"/>
      <c r="O320" s="352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339"/>
      <c r="AJ320" s="353">
        <f t="shared" si="14"/>
        <v>309</v>
      </c>
    </row>
    <row r="321" spans="1:36">
      <c r="A321" s="332">
        <f t="shared" si="15"/>
        <v>310</v>
      </c>
      <c r="G321" s="349" t="s">
        <v>671</v>
      </c>
      <c r="H321" s="350">
        <v>5000</v>
      </c>
      <c r="I321" s="350">
        <v>600</v>
      </c>
      <c r="J321" s="350">
        <v>18500</v>
      </c>
      <c r="K321" s="351">
        <f t="shared" ca="1" si="13"/>
        <v>40394</v>
      </c>
      <c r="L321" s="350" t="s">
        <v>359</v>
      </c>
      <c r="M321" s="50"/>
      <c r="N321" s="50"/>
      <c r="O321" s="352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339"/>
      <c r="AJ321" s="353">
        <f t="shared" si="14"/>
        <v>310</v>
      </c>
    </row>
    <row r="322" spans="1:36">
      <c r="A322" s="332">
        <f t="shared" si="15"/>
        <v>311</v>
      </c>
      <c r="G322" s="349" t="s">
        <v>672</v>
      </c>
      <c r="H322" s="350">
        <v>5000</v>
      </c>
      <c r="I322" s="350">
        <v>600</v>
      </c>
      <c r="J322" s="350">
        <v>6000</v>
      </c>
      <c r="K322" s="351">
        <f t="shared" ca="1" si="13"/>
        <v>40394</v>
      </c>
      <c r="L322" s="350" t="s">
        <v>362</v>
      </c>
      <c r="M322" s="50"/>
      <c r="N322" s="50"/>
      <c r="O322" s="352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339"/>
      <c r="AJ322" s="353">
        <f t="shared" si="14"/>
        <v>311</v>
      </c>
    </row>
    <row r="323" spans="1:36">
      <c r="A323" s="332">
        <f t="shared" si="15"/>
        <v>312</v>
      </c>
      <c r="G323" s="349" t="s">
        <v>673</v>
      </c>
      <c r="H323" s="350">
        <v>7500</v>
      </c>
      <c r="I323" s="350">
        <v>500</v>
      </c>
      <c r="J323" s="350">
        <v>11250</v>
      </c>
      <c r="K323" s="351">
        <f t="shared" ca="1" si="13"/>
        <v>40394</v>
      </c>
      <c r="L323" s="350" t="s">
        <v>359</v>
      </c>
      <c r="M323" s="50"/>
      <c r="N323" s="50"/>
      <c r="O323" s="352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339"/>
      <c r="AJ323" s="353">
        <f t="shared" si="14"/>
        <v>312</v>
      </c>
    </row>
    <row r="324" spans="1:36">
      <c r="A324" s="332">
        <f t="shared" si="15"/>
        <v>313</v>
      </c>
      <c r="G324" s="349" t="s">
        <v>674</v>
      </c>
      <c r="H324" s="350">
        <v>8500</v>
      </c>
      <c r="I324" s="350">
        <v>600</v>
      </c>
      <c r="J324" s="350">
        <v>20450</v>
      </c>
      <c r="K324" s="351">
        <f t="shared" ca="1" si="13"/>
        <v>40394</v>
      </c>
      <c r="L324" s="350" t="s">
        <v>359</v>
      </c>
      <c r="M324" s="50"/>
      <c r="N324" s="50"/>
      <c r="O324" s="352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339"/>
      <c r="AJ324" s="353">
        <f t="shared" si="14"/>
        <v>313</v>
      </c>
    </row>
    <row r="325" spans="1:36">
      <c r="A325" s="332">
        <f t="shared" si="15"/>
        <v>314</v>
      </c>
      <c r="G325" s="349" t="s">
        <v>675</v>
      </c>
      <c r="H325" s="350">
        <v>5000</v>
      </c>
      <c r="I325" s="350">
        <v>600</v>
      </c>
      <c r="J325" s="350">
        <v>10600</v>
      </c>
      <c r="K325" s="351">
        <f t="shared" ca="1" si="13"/>
        <v>40394</v>
      </c>
      <c r="L325" s="350" t="s">
        <v>362</v>
      </c>
      <c r="M325" s="50"/>
      <c r="N325" s="50"/>
      <c r="O325" s="352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339"/>
      <c r="AJ325" s="353">
        <f t="shared" si="14"/>
        <v>314</v>
      </c>
    </row>
    <row r="326" spans="1:36">
      <c r="A326" s="332">
        <f t="shared" si="15"/>
        <v>315</v>
      </c>
      <c r="G326" s="349" t="s">
        <v>676</v>
      </c>
      <c r="H326" s="350">
        <v>10000</v>
      </c>
      <c r="I326" s="350">
        <v>600</v>
      </c>
      <c r="J326" s="350">
        <v>4200</v>
      </c>
      <c r="K326" s="351">
        <f t="shared" ca="1" si="13"/>
        <v>40394</v>
      </c>
      <c r="L326" s="350" t="s">
        <v>362</v>
      </c>
      <c r="M326" s="50"/>
      <c r="N326" s="50"/>
      <c r="O326" s="352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339"/>
      <c r="AJ326" s="353">
        <f t="shared" si="14"/>
        <v>315</v>
      </c>
    </row>
    <row r="327" spans="1:36">
      <c r="A327" s="332">
        <f t="shared" si="15"/>
        <v>316</v>
      </c>
      <c r="G327" s="349" t="s">
        <v>677</v>
      </c>
      <c r="H327" s="350">
        <v>15000</v>
      </c>
      <c r="I327" s="350">
        <v>600</v>
      </c>
      <c r="J327" s="350">
        <v>19305</v>
      </c>
      <c r="K327" s="351">
        <f t="shared" ca="1" si="13"/>
        <v>40394</v>
      </c>
      <c r="L327" s="350" t="s">
        <v>362</v>
      </c>
      <c r="M327" s="50"/>
      <c r="N327" s="50"/>
      <c r="O327" s="352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339"/>
      <c r="AJ327" s="353">
        <f t="shared" si="14"/>
        <v>316</v>
      </c>
    </row>
    <row r="328" spans="1:36">
      <c r="A328" s="332">
        <f t="shared" si="15"/>
        <v>317</v>
      </c>
      <c r="G328" s="349" t="s">
        <v>678</v>
      </c>
      <c r="H328" s="350">
        <v>5000</v>
      </c>
      <c r="I328" s="350">
        <v>1000</v>
      </c>
      <c r="J328" s="350">
        <v>10000</v>
      </c>
      <c r="K328" s="351">
        <f t="shared" ca="1" si="13"/>
        <v>40394</v>
      </c>
      <c r="L328" s="350" t="s">
        <v>359</v>
      </c>
      <c r="M328" s="50"/>
      <c r="N328" s="50"/>
      <c r="O328" s="352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339"/>
      <c r="AJ328" s="353">
        <f t="shared" si="14"/>
        <v>317</v>
      </c>
    </row>
    <row r="329" spans="1:36">
      <c r="A329" s="332">
        <f t="shared" si="15"/>
        <v>318</v>
      </c>
      <c r="G329" s="349" t="s">
        <v>679</v>
      </c>
      <c r="H329" s="350">
        <v>5000</v>
      </c>
      <c r="I329" s="350">
        <v>600</v>
      </c>
      <c r="J329" s="350">
        <v>8900</v>
      </c>
      <c r="K329" s="351">
        <f t="shared" ca="1" si="13"/>
        <v>40394</v>
      </c>
      <c r="L329" s="350" t="s">
        <v>362</v>
      </c>
      <c r="M329" s="50"/>
      <c r="N329" s="50"/>
      <c r="O329" s="352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339"/>
      <c r="AJ329" s="353">
        <f t="shared" si="14"/>
        <v>318</v>
      </c>
    </row>
    <row r="330" spans="1:36">
      <c r="A330" s="332">
        <f t="shared" si="15"/>
        <v>319</v>
      </c>
      <c r="G330" s="349" t="s">
        <v>680</v>
      </c>
      <c r="H330" s="350">
        <v>8000</v>
      </c>
      <c r="I330" s="350">
        <v>600</v>
      </c>
      <c r="J330" s="350">
        <v>16000</v>
      </c>
      <c r="K330" s="351">
        <f t="shared" ca="1" si="13"/>
        <v>40394</v>
      </c>
      <c r="L330" s="350" t="s">
        <v>362</v>
      </c>
      <c r="M330" s="50"/>
      <c r="N330" s="50"/>
      <c r="O330" s="352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339"/>
      <c r="AJ330" s="353">
        <f t="shared" si="14"/>
        <v>319</v>
      </c>
    </row>
    <row r="331" spans="1:36">
      <c r="A331" s="332">
        <f t="shared" si="15"/>
        <v>320</v>
      </c>
      <c r="G331" s="349" t="s">
        <v>681</v>
      </c>
      <c r="H331" s="350">
        <v>6000</v>
      </c>
      <c r="I331" s="350">
        <v>600</v>
      </c>
      <c r="J331" s="350">
        <v>3050</v>
      </c>
      <c r="K331" s="351">
        <f t="shared" ca="1" si="13"/>
        <v>40394</v>
      </c>
      <c r="L331" s="350" t="s">
        <v>359</v>
      </c>
      <c r="M331" s="50"/>
      <c r="N331" s="50"/>
      <c r="O331" s="352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339"/>
      <c r="AJ331" s="353">
        <f t="shared" si="14"/>
        <v>320</v>
      </c>
    </row>
    <row r="332" spans="1:36">
      <c r="A332" s="332">
        <f t="shared" si="15"/>
        <v>321</v>
      </c>
      <c r="G332" s="349" t="s">
        <v>682</v>
      </c>
      <c r="H332" s="350">
        <v>5000</v>
      </c>
      <c r="I332" s="350">
        <v>600</v>
      </c>
      <c r="J332" s="350">
        <v>4250</v>
      </c>
      <c r="K332" s="351">
        <f t="shared" ca="1" si="13"/>
        <v>40394</v>
      </c>
      <c r="L332" s="350" t="s">
        <v>362</v>
      </c>
      <c r="M332" s="50"/>
      <c r="N332" s="50"/>
      <c r="O332" s="352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339"/>
      <c r="AJ332" s="353">
        <f t="shared" si="14"/>
        <v>321</v>
      </c>
    </row>
    <row r="333" spans="1:36">
      <c r="A333" s="332">
        <f t="shared" si="15"/>
        <v>322</v>
      </c>
      <c r="G333" s="349" t="s">
        <v>683</v>
      </c>
      <c r="H333" s="350">
        <v>7000</v>
      </c>
      <c r="I333" s="350">
        <v>600</v>
      </c>
      <c r="J333" s="350">
        <v>15000</v>
      </c>
      <c r="K333" s="351">
        <f t="shared" ref="K333:K396" ca="1" si="16">TODAY()</f>
        <v>40394</v>
      </c>
      <c r="L333" s="350" t="s">
        <v>362</v>
      </c>
      <c r="M333" s="50"/>
      <c r="N333" s="50"/>
      <c r="O333" s="352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339"/>
      <c r="AJ333" s="353">
        <f t="shared" si="14"/>
        <v>322</v>
      </c>
    </row>
    <row r="334" spans="1:36">
      <c r="A334" s="332">
        <f t="shared" si="15"/>
        <v>323</v>
      </c>
      <c r="G334" s="349" t="s">
        <v>684</v>
      </c>
      <c r="H334" s="350">
        <v>10000</v>
      </c>
      <c r="I334" s="350">
        <v>600</v>
      </c>
      <c r="J334" s="350">
        <v>20000</v>
      </c>
      <c r="K334" s="351">
        <f t="shared" ca="1" si="16"/>
        <v>40394</v>
      </c>
      <c r="L334" s="350" t="s">
        <v>362</v>
      </c>
      <c r="M334" s="50"/>
      <c r="N334" s="50"/>
      <c r="O334" s="352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339"/>
      <c r="AJ334" s="353">
        <f t="shared" ref="AJ334:AJ397" si="17">AJ333+1</f>
        <v>323</v>
      </c>
    </row>
    <row r="335" spans="1:36">
      <c r="A335" s="332">
        <f t="shared" si="15"/>
        <v>324</v>
      </c>
      <c r="G335" s="349" t="s">
        <v>685</v>
      </c>
      <c r="H335" s="350">
        <v>11000</v>
      </c>
      <c r="I335" s="350">
        <v>600</v>
      </c>
      <c r="J335" s="350">
        <v>8000</v>
      </c>
      <c r="K335" s="351">
        <f t="shared" ca="1" si="16"/>
        <v>40394</v>
      </c>
      <c r="L335" s="350" t="s">
        <v>362</v>
      </c>
      <c r="M335" s="50"/>
      <c r="N335" s="50"/>
      <c r="O335" s="352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339"/>
      <c r="AJ335" s="353">
        <f t="shared" si="17"/>
        <v>324</v>
      </c>
    </row>
    <row r="336" spans="1:36">
      <c r="A336" s="332">
        <f t="shared" si="15"/>
        <v>325</v>
      </c>
      <c r="G336" s="349" t="s">
        <v>686</v>
      </c>
      <c r="H336" s="350">
        <v>10000</v>
      </c>
      <c r="I336" s="350">
        <v>1000</v>
      </c>
      <c r="J336" s="350">
        <v>14000</v>
      </c>
      <c r="K336" s="351">
        <f t="shared" ca="1" si="16"/>
        <v>40394</v>
      </c>
      <c r="L336" s="350" t="s">
        <v>362</v>
      </c>
      <c r="M336" s="50"/>
      <c r="N336" s="50"/>
      <c r="O336" s="352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339"/>
      <c r="AJ336" s="353">
        <f t="shared" si="17"/>
        <v>325</v>
      </c>
    </row>
    <row r="337" spans="1:36">
      <c r="A337" s="332">
        <f t="shared" ref="A337:A400" si="18">1+A336</f>
        <v>326</v>
      </c>
      <c r="G337" s="349" t="s">
        <v>687</v>
      </c>
      <c r="H337" s="350">
        <v>5000</v>
      </c>
      <c r="I337" s="350">
        <v>600</v>
      </c>
      <c r="J337" s="350">
        <v>8350</v>
      </c>
      <c r="K337" s="351">
        <f t="shared" ca="1" si="16"/>
        <v>40394</v>
      </c>
      <c r="L337" s="350" t="s">
        <v>362</v>
      </c>
      <c r="M337" s="50"/>
      <c r="N337" s="50"/>
      <c r="O337" s="352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339"/>
      <c r="AJ337" s="353">
        <f t="shared" si="17"/>
        <v>326</v>
      </c>
    </row>
    <row r="338" spans="1:36">
      <c r="A338" s="332">
        <f t="shared" si="18"/>
        <v>327</v>
      </c>
      <c r="G338" s="349" t="s">
        <v>688</v>
      </c>
      <c r="H338" s="350">
        <v>15000</v>
      </c>
      <c r="I338" s="350">
        <v>600</v>
      </c>
      <c r="J338" s="350">
        <v>20000</v>
      </c>
      <c r="K338" s="351">
        <f t="shared" ca="1" si="16"/>
        <v>40394</v>
      </c>
      <c r="L338" s="350" t="s">
        <v>362</v>
      </c>
      <c r="M338" s="50"/>
      <c r="N338" s="50"/>
      <c r="O338" s="352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339"/>
      <c r="AJ338" s="353">
        <f t="shared" si="17"/>
        <v>327</v>
      </c>
    </row>
    <row r="339" spans="1:36">
      <c r="A339" s="332">
        <f t="shared" si="18"/>
        <v>328</v>
      </c>
      <c r="G339" s="349" t="s">
        <v>689</v>
      </c>
      <c r="H339" s="350">
        <v>5500</v>
      </c>
      <c r="I339" s="350">
        <v>600</v>
      </c>
      <c r="J339" s="350">
        <v>20000</v>
      </c>
      <c r="K339" s="351">
        <f t="shared" ca="1" si="16"/>
        <v>40394</v>
      </c>
      <c r="L339" s="350" t="s">
        <v>362</v>
      </c>
      <c r="M339" s="50"/>
      <c r="N339" s="50"/>
      <c r="O339" s="352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339"/>
      <c r="AJ339" s="353">
        <f t="shared" si="17"/>
        <v>328</v>
      </c>
    </row>
    <row r="340" spans="1:36">
      <c r="A340" s="332">
        <f t="shared" si="18"/>
        <v>329</v>
      </c>
      <c r="G340" s="349" t="s">
        <v>690</v>
      </c>
      <c r="H340" s="350">
        <v>15000</v>
      </c>
      <c r="I340" s="350">
        <v>1000</v>
      </c>
      <c r="J340" s="350">
        <v>14050</v>
      </c>
      <c r="K340" s="351">
        <f t="shared" ca="1" si="16"/>
        <v>40394</v>
      </c>
      <c r="L340" s="350" t="s">
        <v>359</v>
      </c>
      <c r="M340" s="50"/>
      <c r="N340" s="50"/>
      <c r="O340" s="352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339"/>
      <c r="AJ340" s="353">
        <f t="shared" si="17"/>
        <v>329</v>
      </c>
    </row>
    <row r="341" spans="1:36">
      <c r="A341" s="332">
        <f t="shared" si="18"/>
        <v>330</v>
      </c>
      <c r="G341" s="349" t="s">
        <v>691</v>
      </c>
      <c r="H341" s="350">
        <v>6000</v>
      </c>
      <c r="I341" s="350">
        <v>600</v>
      </c>
      <c r="J341" s="350">
        <v>4750</v>
      </c>
      <c r="K341" s="351">
        <f t="shared" ca="1" si="16"/>
        <v>40394</v>
      </c>
      <c r="L341" s="350" t="s">
        <v>362</v>
      </c>
      <c r="M341" s="50"/>
      <c r="N341" s="50"/>
      <c r="O341" s="352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339"/>
      <c r="AJ341" s="353">
        <f t="shared" si="17"/>
        <v>330</v>
      </c>
    </row>
    <row r="342" spans="1:36">
      <c r="A342" s="332">
        <f t="shared" si="18"/>
        <v>331</v>
      </c>
      <c r="G342" s="349" t="s">
        <v>692</v>
      </c>
      <c r="H342" s="350">
        <v>5000</v>
      </c>
      <c r="I342" s="350">
        <v>600</v>
      </c>
      <c r="J342" s="350">
        <v>13000</v>
      </c>
      <c r="K342" s="351">
        <f t="shared" ca="1" si="16"/>
        <v>40394</v>
      </c>
      <c r="L342" s="350" t="s">
        <v>362</v>
      </c>
      <c r="M342" s="50"/>
      <c r="N342" s="50"/>
      <c r="O342" s="352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339"/>
      <c r="AJ342" s="353">
        <f t="shared" si="17"/>
        <v>331</v>
      </c>
    </row>
    <row r="343" spans="1:36">
      <c r="A343" s="332">
        <f t="shared" si="18"/>
        <v>332</v>
      </c>
      <c r="G343" s="349" t="s">
        <v>693</v>
      </c>
      <c r="H343" s="350">
        <v>10000</v>
      </c>
      <c r="I343" s="350">
        <v>2000</v>
      </c>
      <c r="J343" s="350">
        <v>15000</v>
      </c>
      <c r="K343" s="351">
        <f t="shared" ca="1" si="16"/>
        <v>40394</v>
      </c>
      <c r="L343" s="350" t="s">
        <v>362</v>
      </c>
      <c r="M343" s="50"/>
      <c r="N343" s="50"/>
      <c r="O343" s="352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339"/>
      <c r="AJ343" s="353">
        <f t="shared" si="17"/>
        <v>332</v>
      </c>
    </row>
    <row r="344" spans="1:36">
      <c r="A344" s="332">
        <f t="shared" si="18"/>
        <v>333</v>
      </c>
      <c r="G344" s="349" t="s">
        <v>694</v>
      </c>
      <c r="H344" s="350">
        <v>10000</v>
      </c>
      <c r="I344" s="350">
        <v>600</v>
      </c>
      <c r="J344" s="350">
        <v>25000</v>
      </c>
      <c r="K344" s="351">
        <f t="shared" ca="1" si="16"/>
        <v>40394</v>
      </c>
      <c r="L344" s="350" t="s">
        <v>362</v>
      </c>
      <c r="M344" s="50"/>
      <c r="N344" s="50"/>
      <c r="O344" s="352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339"/>
      <c r="AJ344" s="353">
        <f t="shared" si="17"/>
        <v>333</v>
      </c>
    </row>
    <row r="345" spans="1:36">
      <c r="A345" s="332">
        <f t="shared" si="18"/>
        <v>334</v>
      </c>
      <c r="G345" s="349" t="s">
        <v>695</v>
      </c>
      <c r="H345" s="350">
        <v>5000</v>
      </c>
      <c r="I345" s="350">
        <v>600</v>
      </c>
      <c r="J345" s="350">
        <v>49800</v>
      </c>
      <c r="K345" s="351">
        <f t="shared" ca="1" si="16"/>
        <v>40394</v>
      </c>
      <c r="L345" s="350" t="s">
        <v>362</v>
      </c>
      <c r="M345" s="50"/>
      <c r="N345" s="50"/>
      <c r="O345" s="352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339"/>
      <c r="AJ345" s="353">
        <f t="shared" si="17"/>
        <v>334</v>
      </c>
    </row>
    <row r="346" spans="1:36">
      <c r="A346" s="332">
        <f t="shared" si="18"/>
        <v>335</v>
      </c>
      <c r="G346" s="349" t="s">
        <v>696</v>
      </c>
      <c r="H346" s="350">
        <v>8000</v>
      </c>
      <c r="I346" s="350">
        <v>600</v>
      </c>
      <c r="J346" s="350">
        <v>12000</v>
      </c>
      <c r="K346" s="351">
        <f t="shared" ca="1" si="16"/>
        <v>40394</v>
      </c>
      <c r="L346" s="350" t="s">
        <v>362</v>
      </c>
      <c r="M346" s="50"/>
      <c r="N346" s="50"/>
      <c r="O346" s="352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339"/>
      <c r="AJ346" s="353">
        <f t="shared" si="17"/>
        <v>335</v>
      </c>
    </row>
    <row r="347" spans="1:36">
      <c r="A347" s="332">
        <f t="shared" si="18"/>
        <v>336</v>
      </c>
      <c r="G347" s="349" t="s">
        <v>697</v>
      </c>
      <c r="H347" s="350">
        <v>6000</v>
      </c>
      <c r="I347" s="350">
        <v>600</v>
      </c>
      <c r="J347" s="350">
        <v>10400</v>
      </c>
      <c r="K347" s="351">
        <f t="shared" ca="1" si="16"/>
        <v>40394</v>
      </c>
      <c r="L347" s="350" t="s">
        <v>362</v>
      </c>
      <c r="M347" s="50"/>
      <c r="N347" s="50"/>
      <c r="O347" s="352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339"/>
      <c r="AJ347" s="353">
        <f t="shared" si="17"/>
        <v>336</v>
      </c>
    </row>
    <row r="348" spans="1:36">
      <c r="A348" s="332">
        <f t="shared" si="18"/>
        <v>337</v>
      </c>
      <c r="G348" s="349" t="s">
        <v>698</v>
      </c>
      <c r="H348" s="350">
        <v>17000</v>
      </c>
      <c r="I348" s="350">
        <v>600</v>
      </c>
      <c r="J348" s="350">
        <v>13000</v>
      </c>
      <c r="K348" s="351">
        <f t="shared" ca="1" si="16"/>
        <v>40394</v>
      </c>
      <c r="L348" s="350" t="s">
        <v>362</v>
      </c>
      <c r="M348" s="50"/>
      <c r="N348" s="50"/>
      <c r="O348" s="352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339"/>
      <c r="AJ348" s="353">
        <f t="shared" si="17"/>
        <v>337</v>
      </c>
    </row>
    <row r="349" spans="1:36">
      <c r="A349" s="332">
        <f t="shared" si="18"/>
        <v>338</v>
      </c>
      <c r="G349" s="349" t="s">
        <v>699</v>
      </c>
      <c r="H349" s="350">
        <v>15000</v>
      </c>
      <c r="I349" s="350">
        <v>500</v>
      </c>
      <c r="J349" s="350">
        <v>26200</v>
      </c>
      <c r="K349" s="351">
        <f t="shared" ca="1" si="16"/>
        <v>40394</v>
      </c>
      <c r="L349" s="350" t="s">
        <v>359</v>
      </c>
      <c r="M349" s="50"/>
      <c r="N349" s="50"/>
      <c r="O349" s="352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339"/>
      <c r="AJ349" s="353">
        <f t="shared" si="17"/>
        <v>338</v>
      </c>
    </row>
    <row r="350" spans="1:36">
      <c r="A350" s="332">
        <f t="shared" si="18"/>
        <v>339</v>
      </c>
      <c r="G350" s="349" t="s">
        <v>700</v>
      </c>
      <c r="H350" s="350">
        <v>5000</v>
      </c>
      <c r="I350" s="350">
        <v>500</v>
      </c>
      <c r="J350" s="350">
        <v>11750</v>
      </c>
      <c r="K350" s="351">
        <f t="shared" ca="1" si="16"/>
        <v>40394</v>
      </c>
      <c r="L350" s="350" t="s">
        <v>359</v>
      </c>
      <c r="M350" s="50"/>
      <c r="N350" s="50"/>
      <c r="O350" s="352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339"/>
      <c r="AJ350" s="353">
        <f t="shared" si="17"/>
        <v>339</v>
      </c>
    </row>
    <row r="351" spans="1:36">
      <c r="A351" s="332">
        <f t="shared" si="18"/>
        <v>340</v>
      </c>
      <c r="G351" s="349" t="s">
        <v>701</v>
      </c>
      <c r="H351" s="350">
        <v>5000</v>
      </c>
      <c r="I351" s="350">
        <v>500</v>
      </c>
      <c r="J351" s="350">
        <v>11050</v>
      </c>
      <c r="K351" s="351">
        <f t="shared" ca="1" si="16"/>
        <v>40394</v>
      </c>
      <c r="L351" s="350" t="s">
        <v>359</v>
      </c>
      <c r="M351" s="50"/>
      <c r="N351" s="50"/>
      <c r="O351" s="352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339"/>
      <c r="AJ351" s="353">
        <f t="shared" si="17"/>
        <v>340</v>
      </c>
    </row>
    <row r="352" spans="1:36">
      <c r="A352" s="332">
        <f t="shared" si="18"/>
        <v>341</v>
      </c>
      <c r="G352" s="349" t="s">
        <v>702</v>
      </c>
      <c r="H352" s="350">
        <v>5000</v>
      </c>
      <c r="I352" s="350">
        <v>500</v>
      </c>
      <c r="J352" s="350">
        <v>4200</v>
      </c>
      <c r="K352" s="351">
        <f t="shared" ca="1" si="16"/>
        <v>40394</v>
      </c>
      <c r="L352" s="350" t="s">
        <v>359</v>
      </c>
      <c r="M352" s="50"/>
      <c r="N352" s="50"/>
      <c r="O352" s="352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339"/>
      <c r="AJ352" s="353">
        <f t="shared" si="17"/>
        <v>341</v>
      </c>
    </row>
    <row r="353" spans="1:36">
      <c r="A353" s="332">
        <f t="shared" si="18"/>
        <v>342</v>
      </c>
      <c r="G353" s="349" t="s">
        <v>703</v>
      </c>
      <c r="H353" s="350">
        <v>5000</v>
      </c>
      <c r="I353" s="350">
        <v>500</v>
      </c>
      <c r="J353" s="350">
        <v>19000</v>
      </c>
      <c r="K353" s="351">
        <f t="shared" ca="1" si="16"/>
        <v>40394</v>
      </c>
      <c r="L353" s="350" t="s">
        <v>359</v>
      </c>
      <c r="M353" s="50"/>
      <c r="N353" s="50"/>
      <c r="O353" s="352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339"/>
      <c r="AJ353" s="353">
        <f t="shared" si="17"/>
        <v>342</v>
      </c>
    </row>
    <row r="354" spans="1:36">
      <c r="A354" s="332">
        <f t="shared" si="18"/>
        <v>343</v>
      </c>
      <c r="G354" s="349" t="s">
        <v>704</v>
      </c>
      <c r="H354" s="350">
        <v>12000</v>
      </c>
      <c r="I354" s="350">
        <v>800</v>
      </c>
      <c r="J354" s="350">
        <v>9300</v>
      </c>
      <c r="K354" s="351">
        <f t="shared" ca="1" si="16"/>
        <v>40394</v>
      </c>
      <c r="L354" s="350" t="s">
        <v>359</v>
      </c>
      <c r="M354" s="50"/>
      <c r="N354" s="50"/>
      <c r="O354" s="352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339"/>
      <c r="AJ354" s="353">
        <f t="shared" si="17"/>
        <v>343</v>
      </c>
    </row>
    <row r="355" spans="1:36">
      <c r="A355" s="332">
        <f t="shared" si="18"/>
        <v>344</v>
      </c>
      <c r="G355" s="349" t="s">
        <v>705</v>
      </c>
      <c r="H355" s="350">
        <v>11000</v>
      </c>
      <c r="I355" s="350">
        <v>600</v>
      </c>
      <c r="J355" s="350">
        <v>11010</v>
      </c>
      <c r="K355" s="351">
        <f t="shared" ca="1" si="16"/>
        <v>40394</v>
      </c>
      <c r="L355" s="350" t="s">
        <v>359</v>
      </c>
      <c r="M355" s="50"/>
      <c r="N355" s="50"/>
      <c r="O355" s="352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339"/>
      <c r="AJ355" s="353">
        <f t="shared" si="17"/>
        <v>344</v>
      </c>
    </row>
    <row r="356" spans="1:36">
      <c r="A356" s="332">
        <f t="shared" si="18"/>
        <v>345</v>
      </c>
      <c r="G356" s="349" t="s">
        <v>706</v>
      </c>
      <c r="H356" s="350">
        <v>5000</v>
      </c>
      <c r="I356" s="350">
        <v>600</v>
      </c>
      <c r="J356" s="350">
        <v>10850</v>
      </c>
      <c r="K356" s="351">
        <f t="shared" ca="1" si="16"/>
        <v>40394</v>
      </c>
      <c r="L356" s="350" t="s">
        <v>362</v>
      </c>
      <c r="M356" s="50"/>
      <c r="N356" s="50"/>
      <c r="O356" s="352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339"/>
      <c r="AJ356" s="353">
        <f t="shared" si="17"/>
        <v>345</v>
      </c>
    </row>
    <row r="357" spans="1:36">
      <c r="A357" s="332">
        <f t="shared" si="18"/>
        <v>346</v>
      </c>
      <c r="G357" s="349" t="s">
        <v>707</v>
      </c>
      <c r="H357" s="350">
        <v>5000</v>
      </c>
      <c r="I357" s="350">
        <v>500</v>
      </c>
      <c r="J357" s="350">
        <v>11450</v>
      </c>
      <c r="K357" s="351">
        <f t="shared" ca="1" si="16"/>
        <v>40394</v>
      </c>
      <c r="L357" s="350" t="s">
        <v>359</v>
      </c>
      <c r="M357" s="50"/>
      <c r="N357" s="50"/>
      <c r="O357" s="352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339"/>
      <c r="AJ357" s="353">
        <f t="shared" si="17"/>
        <v>346</v>
      </c>
    </row>
    <row r="358" spans="1:36">
      <c r="A358" s="332">
        <f t="shared" si="18"/>
        <v>347</v>
      </c>
      <c r="G358" s="349" t="s">
        <v>708</v>
      </c>
      <c r="H358" s="350">
        <v>8000</v>
      </c>
      <c r="I358" s="350">
        <v>500</v>
      </c>
      <c r="J358" s="350">
        <v>15000</v>
      </c>
      <c r="K358" s="351">
        <f t="shared" ca="1" si="16"/>
        <v>40394</v>
      </c>
      <c r="L358" s="350" t="s">
        <v>359</v>
      </c>
      <c r="M358" s="50"/>
      <c r="N358" s="50"/>
      <c r="O358" s="352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339"/>
      <c r="AJ358" s="353">
        <f t="shared" si="17"/>
        <v>347</v>
      </c>
    </row>
    <row r="359" spans="1:36">
      <c r="A359" s="332">
        <f t="shared" si="18"/>
        <v>348</v>
      </c>
      <c r="G359" s="349" t="s">
        <v>709</v>
      </c>
      <c r="H359" s="350">
        <v>5000</v>
      </c>
      <c r="I359" s="350">
        <v>500</v>
      </c>
      <c r="J359" s="350">
        <v>12150</v>
      </c>
      <c r="K359" s="351">
        <f t="shared" ca="1" si="16"/>
        <v>40394</v>
      </c>
      <c r="L359" s="350" t="s">
        <v>359</v>
      </c>
      <c r="M359" s="50"/>
      <c r="N359" s="50"/>
      <c r="O359" s="352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339"/>
      <c r="AJ359" s="353">
        <f t="shared" si="17"/>
        <v>348</v>
      </c>
    </row>
    <row r="360" spans="1:36">
      <c r="A360" s="332">
        <f t="shared" si="18"/>
        <v>349</v>
      </c>
      <c r="G360" s="349" t="s">
        <v>710</v>
      </c>
      <c r="H360" s="350">
        <v>5000</v>
      </c>
      <c r="I360" s="350">
        <v>600</v>
      </c>
      <c r="J360" s="350">
        <v>5000</v>
      </c>
      <c r="K360" s="351">
        <f t="shared" ca="1" si="16"/>
        <v>40394</v>
      </c>
      <c r="L360" s="350" t="s">
        <v>362</v>
      </c>
      <c r="M360" s="50"/>
      <c r="N360" s="50"/>
      <c r="O360" s="352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339"/>
      <c r="AJ360" s="353">
        <f t="shared" si="17"/>
        <v>349</v>
      </c>
    </row>
    <row r="361" spans="1:36">
      <c r="A361" s="332">
        <f t="shared" si="18"/>
        <v>350</v>
      </c>
      <c r="G361" s="349" t="s">
        <v>711</v>
      </c>
      <c r="H361" s="350">
        <v>12000</v>
      </c>
      <c r="I361" s="350">
        <v>600</v>
      </c>
      <c r="J361" s="350">
        <v>21840</v>
      </c>
      <c r="K361" s="351">
        <f t="shared" ca="1" si="16"/>
        <v>40394</v>
      </c>
      <c r="L361" s="350" t="s">
        <v>362</v>
      </c>
      <c r="M361" s="50"/>
      <c r="N361" s="50"/>
      <c r="O361" s="352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339"/>
      <c r="AJ361" s="353">
        <f t="shared" si="17"/>
        <v>350</v>
      </c>
    </row>
    <row r="362" spans="1:36">
      <c r="A362" s="332">
        <f t="shared" si="18"/>
        <v>351</v>
      </c>
      <c r="G362" s="349" t="s">
        <v>712</v>
      </c>
      <c r="H362" s="350">
        <v>7000</v>
      </c>
      <c r="I362" s="350">
        <v>600</v>
      </c>
      <c r="J362" s="350">
        <v>24000</v>
      </c>
      <c r="K362" s="351">
        <f t="shared" ca="1" si="16"/>
        <v>40394</v>
      </c>
      <c r="L362" s="350" t="s">
        <v>362</v>
      </c>
      <c r="M362" s="50"/>
      <c r="N362" s="50"/>
      <c r="O362" s="352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339"/>
      <c r="AJ362" s="353">
        <f t="shared" si="17"/>
        <v>351</v>
      </c>
    </row>
    <row r="363" spans="1:36">
      <c r="A363" s="332">
        <f t="shared" si="18"/>
        <v>352</v>
      </c>
      <c r="G363" s="349" t="s">
        <v>713</v>
      </c>
      <c r="H363" s="350">
        <v>5000</v>
      </c>
      <c r="I363" s="350">
        <v>600</v>
      </c>
      <c r="J363" s="350">
        <v>4875</v>
      </c>
      <c r="K363" s="351">
        <f t="shared" ca="1" si="16"/>
        <v>40394</v>
      </c>
      <c r="L363" s="350" t="s">
        <v>362</v>
      </c>
      <c r="M363" s="50"/>
      <c r="N363" s="50"/>
      <c r="O363" s="352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339"/>
      <c r="AJ363" s="353">
        <f t="shared" si="17"/>
        <v>352</v>
      </c>
    </row>
    <row r="364" spans="1:36">
      <c r="A364" s="332">
        <f t="shared" si="18"/>
        <v>353</v>
      </c>
      <c r="G364" s="349" t="s">
        <v>714</v>
      </c>
      <c r="H364" s="350">
        <v>20000</v>
      </c>
      <c r="I364" s="350">
        <v>500</v>
      </c>
      <c r="J364" s="350">
        <v>15750</v>
      </c>
      <c r="K364" s="351">
        <f t="shared" ca="1" si="16"/>
        <v>40394</v>
      </c>
      <c r="L364" s="350" t="s">
        <v>359</v>
      </c>
      <c r="M364" s="50"/>
      <c r="N364" s="50"/>
      <c r="O364" s="352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339"/>
      <c r="AJ364" s="353">
        <f t="shared" si="17"/>
        <v>353</v>
      </c>
    </row>
    <row r="365" spans="1:36">
      <c r="A365" s="332">
        <f t="shared" si="18"/>
        <v>354</v>
      </c>
      <c r="G365" s="349" t="s">
        <v>715</v>
      </c>
      <c r="H365" s="350">
        <v>5000</v>
      </c>
      <c r="I365" s="350">
        <v>600</v>
      </c>
      <c r="J365" s="350">
        <v>7500</v>
      </c>
      <c r="K365" s="351">
        <f t="shared" ca="1" si="16"/>
        <v>40394</v>
      </c>
      <c r="L365" s="350" t="s">
        <v>362</v>
      </c>
      <c r="M365" s="50"/>
      <c r="N365" s="50"/>
      <c r="O365" s="352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339"/>
      <c r="AJ365" s="353">
        <f t="shared" si="17"/>
        <v>354</v>
      </c>
    </row>
    <row r="366" spans="1:36">
      <c r="A366" s="332">
        <f t="shared" si="18"/>
        <v>355</v>
      </c>
      <c r="G366" s="349" t="s">
        <v>716</v>
      </c>
      <c r="H366" s="350">
        <v>5000</v>
      </c>
      <c r="I366" s="350">
        <v>600</v>
      </c>
      <c r="J366" s="350">
        <v>10600</v>
      </c>
      <c r="K366" s="351">
        <f t="shared" ca="1" si="16"/>
        <v>40394</v>
      </c>
      <c r="L366" s="350" t="s">
        <v>362</v>
      </c>
      <c r="M366" s="50"/>
      <c r="N366" s="50"/>
      <c r="O366" s="352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339"/>
      <c r="AJ366" s="353">
        <f t="shared" si="17"/>
        <v>355</v>
      </c>
    </row>
    <row r="367" spans="1:36">
      <c r="A367" s="332">
        <f t="shared" si="18"/>
        <v>356</v>
      </c>
      <c r="G367" s="349" t="s">
        <v>717</v>
      </c>
      <c r="H367" s="350">
        <v>5000</v>
      </c>
      <c r="I367" s="350">
        <v>600</v>
      </c>
      <c r="J367" s="350">
        <v>1800</v>
      </c>
      <c r="K367" s="351">
        <f t="shared" ca="1" si="16"/>
        <v>40394</v>
      </c>
      <c r="L367" s="350" t="s">
        <v>362</v>
      </c>
      <c r="M367" s="50"/>
      <c r="N367" s="50"/>
      <c r="O367" s="352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339"/>
      <c r="AJ367" s="353">
        <f t="shared" si="17"/>
        <v>356</v>
      </c>
    </row>
    <row r="368" spans="1:36">
      <c r="A368" s="332">
        <f t="shared" si="18"/>
        <v>357</v>
      </c>
      <c r="G368" s="349" t="s">
        <v>718</v>
      </c>
      <c r="H368" s="350">
        <v>5000</v>
      </c>
      <c r="I368" s="350">
        <v>600</v>
      </c>
      <c r="J368" s="350">
        <v>15000</v>
      </c>
      <c r="K368" s="351">
        <f t="shared" ca="1" si="16"/>
        <v>40394</v>
      </c>
      <c r="L368" s="350" t="s">
        <v>362</v>
      </c>
      <c r="M368" s="50"/>
      <c r="N368" s="50"/>
      <c r="O368" s="352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339"/>
      <c r="AJ368" s="353">
        <f t="shared" si="17"/>
        <v>357</v>
      </c>
    </row>
    <row r="369" spans="1:36">
      <c r="A369" s="332">
        <f t="shared" si="18"/>
        <v>358</v>
      </c>
      <c r="G369" s="349" t="s">
        <v>719</v>
      </c>
      <c r="H369" s="350">
        <v>5000</v>
      </c>
      <c r="I369" s="350">
        <v>600</v>
      </c>
      <c r="J369" s="350">
        <v>7500</v>
      </c>
      <c r="K369" s="351">
        <f t="shared" ca="1" si="16"/>
        <v>40394</v>
      </c>
      <c r="L369" s="350" t="s">
        <v>362</v>
      </c>
      <c r="M369" s="50"/>
      <c r="N369" s="50"/>
      <c r="O369" s="352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339"/>
      <c r="AJ369" s="353">
        <f t="shared" si="17"/>
        <v>358</v>
      </c>
    </row>
    <row r="370" spans="1:36">
      <c r="A370" s="332">
        <f t="shared" si="18"/>
        <v>359</v>
      </c>
      <c r="G370" s="349" t="s">
        <v>720</v>
      </c>
      <c r="H370" s="350">
        <v>5000</v>
      </c>
      <c r="I370" s="350">
        <v>500</v>
      </c>
      <c r="J370" s="350">
        <v>3500</v>
      </c>
      <c r="K370" s="351">
        <f t="shared" ca="1" si="16"/>
        <v>40394</v>
      </c>
      <c r="L370" s="350" t="s">
        <v>359</v>
      </c>
      <c r="M370" s="50"/>
      <c r="N370" s="50"/>
      <c r="O370" s="352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339"/>
      <c r="AJ370" s="353">
        <f t="shared" si="17"/>
        <v>359</v>
      </c>
    </row>
    <row r="371" spans="1:36">
      <c r="A371" s="332">
        <f t="shared" si="18"/>
        <v>360</v>
      </c>
      <c r="G371" s="349" t="s">
        <v>721</v>
      </c>
      <c r="H371" s="350">
        <v>5000</v>
      </c>
      <c r="I371" s="350">
        <v>500</v>
      </c>
      <c r="J371" s="350">
        <v>5500</v>
      </c>
      <c r="K371" s="351">
        <f t="shared" ca="1" si="16"/>
        <v>40394</v>
      </c>
      <c r="L371" s="350" t="s">
        <v>359</v>
      </c>
      <c r="M371" s="50"/>
      <c r="N371" s="50"/>
      <c r="O371" s="352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339"/>
      <c r="AJ371" s="353">
        <f t="shared" si="17"/>
        <v>360</v>
      </c>
    </row>
    <row r="372" spans="1:36">
      <c r="A372" s="332">
        <f t="shared" si="18"/>
        <v>361</v>
      </c>
      <c r="G372" s="349" t="s">
        <v>722</v>
      </c>
      <c r="H372" s="350">
        <v>5000</v>
      </c>
      <c r="I372" s="350">
        <v>600</v>
      </c>
      <c r="J372" s="350">
        <v>8850</v>
      </c>
      <c r="K372" s="351">
        <f t="shared" ca="1" si="16"/>
        <v>40394</v>
      </c>
      <c r="L372" s="350" t="s">
        <v>362</v>
      </c>
      <c r="M372" s="50"/>
      <c r="N372" s="50"/>
      <c r="O372" s="352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339"/>
      <c r="AJ372" s="353">
        <f t="shared" si="17"/>
        <v>361</v>
      </c>
    </row>
    <row r="373" spans="1:36">
      <c r="A373" s="332">
        <f t="shared" si="18"/>
        <v>362</v>
      </c>
      <c r="G373" s="349" t="s">
        <v>723</v>
      </c>
      <c r="H373" s="350">
        <v>8000</v>
      </c>
      <c r="I373" s="350">
        <v>600</v>
      </c>
      <c r="J373" s="350">
        <v>14900</v>
      </c>
      <c r="K373" s="351">
        <f t="shared" ca="1" si="16"/>
        <v>40394</v>
      </c>
      <c r="L373" s="350" t="s">
        <v>362</v>
      </c>
      <c r="M373" s="50"/>
      <c r="N373" s="50"/>
      <c r="O373" s="352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339"/>
      <c r="AJ373" s="353">
        <f t="shared" si="17"/>
        <v>362</v>
      </c>
    </row>
    <row r="374" spans="1:36">
      <c r="A374" s="332">
        <f t="shared" si="18"/>
        <v>363</v>
      </c>
      <c r="G374" s="349" t="s">
        <v>724</v>
      </c>
      <c r="H374" s="350">
        <v>10000</v>
      </c>
      <c r="I374" s="350">
        <v>600</v>
      </c>
      <c r="J374" s="350">
        <v>15000</v>
      </c>
      <c r="K374" s="351">
        <f t="shared" ca="1" si="16"/>
        <v>40394</v>
      </c>
      <c r="L374" s="350" t="s">
        <v>362</v>
      </c>
      <c r="M374" s="50"/>
      <c r="N374" s="50"/>
      <c r="O374" s="352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339"/>
      <c r="AJ374" s="353">
        <f t="shared" si="17"/>
        <v>363</v>
      </c>
    </row>
    <row r="375" spans="1:36">
      <c r="A375" s="332">
        <f t="shared" si="18"/>
        <v>364</v>
      </c>
      <c r="G375" s="349" t="s">
        <v>725</v>
      </c>
      <c r="H375" s="350">
        <v>5000</v>
      </c>
      <c r="I375" s="350">
        <v>600</v>
      </c>
      <c r="J375" s="350">
        <v>54000</v>
      </c>
      <c r="K375" s="351">
        <f t="shared" ca="1" si="16"/>
        <v>40394</v>
      </c>
      <c r="L375" s="350" t="s">
        <v>362</v>
      </c>
      <c r="M375" s="50"/>
      <c r="N375" s="50"/>
      <c r="O375" s="352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339"/>
      <c r="AJ375" s="353">
        <f t="shared" si="17"/>
        <v>364</v>
      </c>
    </row>
    <row r="376" spans="1:36">
      <c r="A376" s="332">
        <f t="shared" si="18"/>
        <v>365</v>
      </c>
      <c r="G376" s="349" t="s">
        <v>726</v>
      </c>
      <c r="H376" s="350">
        <v>5000</v>
      </c>
      <c r="I376" s="350">
        <v>600</v>
      </c>
      <c r="J376" s="350">
        <v>10000</v>
      </c>
      <c r="K376" s="351">
        <f t="shared" ca="1" si="16"/>
        <v>40394</v>
      </c>
      <c r="L376" s="350" t="s">
        <v>362</v>
      </c>
      <c r="M376" s="50"/>
      <c r="N376" s="50"/>
      <c r="O376" s="352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339"/>
      <c r="AJ376" s="353">
        <f t="shared" si="17"/>
        <v>365</v>
      </c>
    </row>
    <row r="377" spans="1:36">
      <c r="A377" s="332">
        <f t="shared" si="18"/>
        <v>366</v>
      </c>
      <c r="G377" s="349" t="s">
        <v>727</v>
      </c>
      <c r="H377" s="350">
        <v>6000</v>
      </c>
      <c r="I377" s="350">
        <v>500</v>
      </c>
      <c r="J377" s="350">
        <v>41990</v>
      </c>
      <c r="K377" s="351">
        <f t="shared" ca="1" si="16"/>
        <v>40394</v>
      </c>
      <c r="L377" s="350" t="s">
        <v>362</v>
      </c>
      <c r="M377" s="50"/>
      <c r="N377" s="50"/>
      <c r="O377" s="352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339"/>
      <c r="AJ377" s="353">
        <f t="shared" si="17"/>
        <v>366</v>
      </c>
    </row>
    <row r="378" spans="1:36">
      <c r="A378" s="332">
        <f t="shared" si="18"/>
        <v>367</v>
      </c>
      <c r="G378" s="349" t="s">
        <v>728</v>
      </c>
      <c r="H378" s="350">
        <v>5000</v>
      </c>
      <c r="I378" s="350">
        <v>600</v>
      </c>
      <c r="J378" s="350">
        <v>3300</v>
      </c>
      <c r="K378" s="351">
        <f t="shared" ca="1" si="16"/>
        <v>40394</v>
      </c>
      <c r="L378" s="350" t="s">
        <v>362</v>
      </c>
      <c r="M378" s="50"/>
      <c r="N378" s="50"/>
      <c r="O378" s="352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339"/>
      <c r="AJ378" s="353">
        <f t="shared" si="17"/>
        <v>367</v>
      </c>
    </row>
    <row r="379" spans="1:36">
      <c r="A379" s="332">
        <f t="shared" si="18"/>
        <v>368</v>
      </c>
      <c r="G379" s="349" t="s">
        <v>729</v>
      </c>
      <c r="H379" s="350">
        <v>10000</v>
      </c>
      <c r="I379" s="350">
        <v>600</v>
      </c>
      <c r="J379" s="350">
        <v>8100</v>
      </c>
      <c r="K379" s="351">
        <f t="shared" ca="1" si="16"/>
        <v>40394</v>
      </c>
      <c r="L379" s="350" t="s">
        <v>362</v>
      </c>
      <c r="M379" s="50"/>
      <c r="N379" s="50"/>
      <c r="O379" s="352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339"/>
      <c r="AJ379" s="353">
        <f t="shared" si="17"/>
        <v>368</v>
      </c>
    </row>
    <row r="380" spans="1:36">
      <c r="A380" s="332">
        <f t="shared" si="18"/>
        <v>369</v>
      </c>
      <c r="G380" s="349" t="s">
        <v>730</v>
      </c>
      <c r="H380" s="350">
        <v>5000</v>
      </c>
      <c r="I380" s="350">
        <v>600</v>
      </c>
      <c r="J380" s="350">
        <v>14000</v>
      </c>
      <c r="K380" s="351">
        <f t="shared" ca="1" si="16"/>
        <v>40394</v>
      </c>
      <c r="L380" s="350" t="s">
        <v>362</v>
      </c>
      <c r="M380" s="50"/>
      <c r="N380" s="50"/>
      <c r="O380" s="352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339"/>
      <c r="AJ380" s="353">
        <f t="shared" si="17"/>
        <v>369</v>
      </c>
    </row>
    <row r="381" spans="1:36">
      <c r="A381" s="332">
        <f t="shared" si="18"/>
        <v>370</v>
      </c>
      <c r="G381" s="349" t="s">
        <v>731</v>
      </c>
      <c r="H381" s="350">
        <v>5000</v>
      </c>
      <c r="I381" s="350">
        <v>600</v>
      </c>
      <c r="J381" s="350">
        <v>32000</v>
      </c>
      <c r="K381" s="351">
        <f t="shared" ca="1" si="16"/>
        <v>40394</v>
      </c>
      <c r="L381" s="350" t="s">
        <v>359</v>
      </c>
      <c r="M381" s="50"/>
      <c r="N381" s="50"/>
      <c r="O381" s="352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339"/>
      <c r="AJ381" s="353">
        <f t="shared" si="17"/>
        <v>370</v>
      </c>
    </row>
    <row r="382" spans="1:36">
      <c r="A382" s="332">
        <f t="shared" si="18"/>
        <v>371</v>
      </c>
      <c r="G382" s="349" t="s">
        <v>732</v>
      </c>
      <c r="H382" s="350">
        <v>5000</v>
      </c>
      <c r="I382" s="350">
        <v>500</v>
      </c>
      <c r="J382" s="350">
        <v>3600</v>
      </c>
      <c r="K382" s="351">
        <f t="shared" ca="1" si="16"/>
        <v>40394</v>
      </c>
      <c r="L382" s="350" t="s">
        <v>362</v>
      </c>
      <c r="M382" s="50"/>
      <c r="N382" s="50"/>
      <c r="O382" s="352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339"/>
      <c r="AJ382" s="353">
        <f t="shared" si="17"/>
        <v>371</v>
      </c>
    </row>
    <row r="383" spans="1:36">
      <c r="A383" s="332">
        <f t="shared" si="18"/>
        <v>372</v>
      </c>
      <c r="G383" s="349" t="s">
        <v>733</v>
      </c>
      <c r="H383" s="350">
        <v>11000</v>
      </c>
      <c r="I383" s="350">
        <v>700</v>
      </c>
      <c r="J383" s="350">
        <v>16800</v>
      </c>
      <c r="K383" s="351">
        <f t="shared" ca="1" si="16"/>
        <v>40394</v>
      </c>
      <c r="L383" s="350" t="s">
        <v>359</v>
      </c>
      <c r="M383" s="50"/>
      <c r="N383" s="50"/>
      <c r="O383" s="352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339"/>
      <c r="AJ383" s="353">
        <f t="shared" si="17"/>
        <v>372</v>
      </c>
    </row>
    <row r="384" spans="1:36">
      <c r="A384" s="332">
        <f t="shared" si="18"/>
        <v>373</v>
      </c>
      <c r="G384" s="349" t="s">
        <v>734</v>
      </c>
      <c r="H384" s="350">
        <v>5000</v>
      </c>
      <c r="I384" s="350">
        <v>600</v>
      </c>
      <c r="J384" s="350">
        <v>4200</v>
      </c>
      <c r="K384" s="351">
        <f t="shared" ca="1" si="16"/>
        <v>40394</v>
      </c>
      <c r="L384" s="350" t="s">
        <v>362</v>
      </c>
      <c r="M384" s="50"/>
      <c r="N384" s="50"/>
      <c r="O384" s="352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339"/>
      <c r="AJ384" s="353">
        <f t="shared" si="17"/>
        <v>373</v>
      </c>
    </row>
    <row r="385" spans="1:36">
      <c r="A385" s="332">
        <f t="shared" si="18"/>
        <v>374</v>
      </c>
      <c r="G385" s="349" t="s">
        <v>735</v>
      </c>
      <c r="H385" s="350">
        <v>5000</v>
      </c>
      <c r="I385" s="350">
        <v>500</v>
      </c>
      <c r="J385" s="350">
        <v>3500</v>
      </c>
      <c r="K385" s="351">
        <f t="shared" ca="1" si="16"/>
        <v>40394</v>
      </c>
      <c r="L385" s="350" t="s">
        <v>362</v>
      </c>
      <c r="M385" s="50"/>
      <c r="N385" s="50"/>
      <c r="O385" s="352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339"/>
      <c r="AJ385" s="353">
        <f t="shared" si="17"/>
        <v>374</v>
      </c>
    </row>
    <row r="386" spans="1:36">
      <c r="A386" s="332">
        <f t="shared" si="18"/>
        <v>375</v>
      </c>
      <c r="G386" s="349" t="s">
        <v>736</v>
      </c>
      <c r="H386" s="350">
        <v>5000</v>
      </c>
      <c r="I386" s="350">
        <v>600</v>
      </c>
      <c r="J386" s="350">
        <v>8840</v>
      </c>
      <c r="K386" s="351">
        <f t="shared" ca="1" si="16"/>
        <v>40394</v>
      </c>
      <c r="L386" s="350" t="s">
        <v>362</v>
      </c>
      <c r="M386" s="50"/>
      <c r="N386" s="50"/>
      <c r="O386" s="352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339"/>
      <c r="AJ386" s="353">
        <f t="shared" si="17"/>
        <v>375</v>
      </c>
    </row>
    <row r="387" spans="1:36">
      <c r="A387" s="332">
        <f t="shared" si="18"/>
        <v>376</v>
      </c>
      <c r="G387" s="349" t="s">
        <v>737</v>
      </c>
      <c r="H387" s="350">
        <v>5000</v>
      </c>
      <c r="I387" s="350">
        <v>600</v>
      </c>
      <c r="J387" s="350">
        <v>24500</v>
      </c>
      <c r="K387" s="351">
        <f t="shared" ca="1" si="16"/>
        <v>40394</v>
      </c>
      <c r="L387" s="350" t="s">
        <v>362</v>
      </c>
      <c r="M387" s="50"/>
      <c r="N387" s="50"/>
      <c r="O387" s="352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339"/>
      <c r="AJ387" s="353">
        <f t="shared" si="17"/>
        <v>376</v>
      </c>
    </row>
    <row r="388" spans="1:36">
      <c r="A388" s="332">
        <f t="shared" si="18"/>
        <v>377</v>
      </c>
      <c r="G388" s="349" t="s">
        <v>738</v>
      </c>
      <c r="H388" s="350">
        <v>5000</v>
      </c>
      <c r="I388" s="350">
        <v>600</v>
      </c>
      <c r="J388" s="350">
        <v>19800</v>
      </c>
      <c r="K388" s="351">
        <f t="shared" ca="1" si="16"/>
        <v>40394</v>
      </c>
      <c r="L388" s="350" t="s">
        <v>362</v>
      </c>
      <c r="M388" s="50"/>
      <c r="N388" s="50"/>
      <c r="O388" s="352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339"/>
      <c r="AJ388" s="353">
        <f t="shared" si="17"/>
        <v>377</v>
      </c>
    </row>
    <row r="389" spans="1:36">
      <c r="A389" s="332">
        <f t="shared" si="18"/>
        <v>378</v>
      </c>
      <c r="G389" s="349" t="s">
        <v>739</v>
      </c>
      <c r="H389" s="350">
        <v>12000</v>
      </c>
      <c r="I389" s="350">
        <v>600</v>
      </c>
      <c r="J389" s="350">
        <v>19200</v>
      </c>
      <c r="K389" s="351">
        <f t="shared" ca="1" si="16"/>
        <v>40394</v>
      </c>
      <c r="L389" s="350" t="s">
        <v>362</v>
      </c>
      <c r="M389" s="50"/>
      <c r="N389" s="50"/>
      <c r="O389" s="352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339"/>
      <c r="AJ389" s="353">
        <f t="shared" si="17"/>
        <v>378</v>
      </c>
    </row>
    <row r="390" spans="1:36">
      <c r="A390" s="332">
        <f t="shared" si="18"/>
        <v>379</v>
      </c>
      <c r="G390" s="349" t="s">
        <v>740</v>
      </c>
      <c r="H390" s="350">
        <v>5000</v>
      </c>
      <c r="I390" s="350">
        <v>600</v>
      </c>
      <c r="J390" s="350">
        <v>5700</v>
      </c>
      <c r="K390" s="351">
        <f t="shared" ca="1" si="16"/>
        <v>40394</v>
      </c>
      <c r="L390" s="350" t="s">
        <v>362</v>
      </c>
      <c r="M390" s="50"/>
      <c r="N390" s="50"/>
      <c r="O390" s="352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339"/>
      <c r="AJ390" s="353">
        <f t="shared" si="17"/>
        <v>379</v>
      </c>
    </row>
    <row r="391" spans="1:36">
      <c r="A391" s="332">
        <f t="shared" si="18"/>
        <v>380</v>
      </c>
      <c r="G391" s="349" t="s">
        <v>741</v>
      </c>
      <c r="H391" s="350">
        <v>5000</v>
      </c>
      <c r="I391" s="350">
        <v>500</v>
      </c>
      <c r="J391" s="350">
        <v>7300</v>
      </c>
      <c r="K391" s="351">
        <f t="shared" ca="1" si="16"/>
        <v>40394</v>
      </c>
      <c r="L391" s="350" t="s">
        <v>359</v>
      </c>
      <c r="M391" s="50"/>
      <c r="N391" s="50"/>
      <c r="O391" s="352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339"/>
      <c r="AJ391" s="353">
        <f t="shared" si="17"/>
        <v>380</v>
      </c>
    </row>
    <row r="392" spans="1:36">
      <c r="A392" s="332">
        <f t="shared" si="18"/>
        <v>381</v>
      </c>
      <c r="G392" s="349" t="s">
        <v>742</v>
      </c>
      <c r="H392" s="350">
        <v>5000</v>
      </c>
      <c r="I392" s="350">
        <v>500</v>
      </c>
      <c r="J392" s="350">
        <v>13000</v>
      </c>
      <c r="K392" s="351">
        <f t="shared" ca="1" si="16"/>
        <v>40394</v>
      </c>
      <c r="L392" s="350" t="s">
        <v>359</v>
      </c>
      <c r="M392" s="50"/>
      <c r="N392" s="50"/>
      <c r="O392" s="352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339"/>
      <c r="AJ392" s="353">
        <f t="shared" si="17"/>
        <v>381</v>
      </c>
    </row>
    <row r="393" spans="1:36">
      <c r="A393" s="332">
        <f t="shared" si="18"/>
        <v>382</v>
      </c>
      <c r="G393" s="349" t="s">
        <v>743</v>
      </c>
      <c r="H393" s="350">
        <v>10000</v>
      </c>
      <c r="I393" s="350">
        <v>600</v>
      </c>
      <c r="J393" s="350">
        <v>28000</v>
      </c>
      <c r="K393" s="351">
        <f t="shared" ca="1" si="16"/>
        <v>40394</v>
      </c>
      <c r="L393" s="350" t="s">
        <v>362</v>
      </c>
      <c r="M393" s="50"/>
      <c r="N393" s="50"/>
      <c r="O393" s="352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339"/>
      <c r="AJ393" s="353">
        <f t="shared" si="17"/>
        <v>382</v>
      </c>
    </row>
    <row r="394" spans="1:36">
      <c r="A394" s="332">
        <f t="shared" si="18"/>
        <v>383</v>
      </c>
      <c r="G394" s="349" t="s">
        <v>744</v>
      </c>
      <c r="H394" s="350">
        <v>5000</v>
      </c>
      <c r="I394" s="350">
        <v>600</v>
      </c>
      <c r="J394" s="350">
        <v>32000</v>
      </c>
      <c r="K394" s="351">
        <f t="shared" ca="1" si="16"/>
        <v>40394</v>
      </c>
      <c r="L394" s="350" t="s">
        <v>362</v>
      </c>
      <c r="M394" s="50"/>
      <c r="N394" s="50"/>
      <c r="O394" s="352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339"/>
      <c r="AJ394" s="353">
        <f t="shared" si="17"/>
        <v>383</v>
      </c>
    </row>
    <row r="395" spans="1:36">
      <c r="A395" s="332">
        <f t="shared" si="18"/>
        <v>384</v>
      </c>
      <c r="G395" s="349" t="s">
        <v>745</v>
      </c>
      <c r="H395" s="350">
        <v>8000</v>
      </c>
      <c r="I395" s="350">
        <v>600</v>
      </c>
      <c r="J395" s="350">
        <v>15000</v>
      </c>
      <c r="K395" s="351">
        <f t="shared" ca="1" si="16"/>
        <v>40394</v>
      </c>
      <c r="L395" s="350" t="s">
        <v>359</v>
      </c>
      <c r="M395" s="50"/>
      <c r="N395" s="50"/>
      <c r="O395" s="352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339"/>
      <c r="AJ395" s="353">
        <f t="shared" si="17"/>
        <v>384</v>
      </c>
    </row>
    <row r="396" spans="1:36">
      <c r="A396" s="332">
        <f t="shared" si="18"/>
        <v>385</v>
      </c>
      <c r="G396" s="349" t="s">
        <v>746</v>
      </c>
      <c r="H396" s="350">
        <v>8000</v>
      </c>
      <c r="I396" s="350">
        <v>1000</v>
      </c>
      <c r="J396" s="350">
        <v>22550</v>
      </c>
      <c r="K396" s="351">
        <f t="shared" ca="1" si="16"/>
        <v>40394</v>
      </c>
      <c r="L396" s="350" t="s">
        <v>359</v>
      </c>
      <c r="M396" s="50"/>
      <c r="N396" s="50"/>
      <c r="O396" s="352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339"/>
      <c r="AJ396" s="353">
        <f t="shared" si="17"/>
        <v>385</v>
      </c>
    </row>
    <row r="397" spans="1:36">
      <c r="A397" s="332">
        <f t="shared" si="18"/>
        <v>386</v>
      </c>
      <c r="G397" s="349" t="s">
        <v>747</v>
      </c>
      <c r="H397" s="350">
        <v>5000</v>
      </c>
      <c r="I397" s="350">
        <v>600</v>
      </c>
      <c r="J397" s="350">
        <v>4680</v>
      </c>
      <c r="K397" s="351">
        <f t="shared" ref="K397:K460" ca="1" si="19">TODAY()</f>
        <v>40394</v>
      </c>
      <c r="L397" s="350" t="s">
        <v>362</v>
      </c>
      <c r="M397" s="50"/>
      <c r="N397" s="50"/>
      <c r="O397" s="352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339"/>
      <c r="AJ397" s="353">
        <f t="shared" si="17"/>
        <v>386</v>
      </c>
    </row>
    <row r="398" spans="1:36">
      <c r="A398" s="332">
        <f t="shared" si="18"/>
        <v>387</v>
      </c>
      <c r="G398" s="349" t="s">
        <v>748</v>
      </c>
      <c r="H398" s="350">
        <v>6000</v>
      </c>
      <c r="I398" s="350">
        <v>500</v>
      </c>
      <c r="J398" s="350">
        <v>10000</v>
      </c>
      <c r="K398" s="351">
        <f t="shared" ca="1" si="19"/>
        <v>40394</v>
      </c>
      <c r="L398" s="350" t="s">
        <v>359</v>
      </c>
      <c r="M398" s="50"/>
      <c r="N398" s="50"/>
      <c r="O398" s="352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339"/>
      <c r="AJ398" s="353">
        <f t="shared" ref="AJ398:AJ461" si="20">AJ397+1</f>
        <v>387</v>
      </c>
    </row>
    <row r="399" spans="1:36">
      <c r="A399" s="332">
        <f t="shared" si="18"/>
        <v>388</v>
      </c>
      <c r="G399" s="349" t="s">
        <v>749</v>
      </c>
      <c r="H399" s="350">
        <v>5000</v>
      </c>
      <c r="I399" s="350">
        <v>600</v>
      </c>
      <c r="J399" s="350">
        <v>41700</v>
      </c>
      <c r="K399" s="351">
        <f t="shared" ca="1" si="19"/>
        <v>40394</v>
      </c>
      <c r="L399" s="350" t="s">
        <v>362</v>
      </c>
      <c r="M399" s="50"/>
      <c r="N399" s="50"/>
      <c r="O399" s="352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339"/>
      <c r="AJ399" s="353">
        <f t="shared" si="20"/>
        <v>388</v>
      </c>
    </row>
    <row r="400" spans="1:36">
      <c r="A400" s="332">
        <f t="shared" si="18"/>
        <v>389</v>
      </c>
      <c r="G400" s="349" t="s">
        <v>750</v>
      </c>
      <c r="H400" s="350">
        <v>5000</v>
      </c>
      <c r="I400" s="350">
        <v>600</v>
      </c>
      <c r="J400" s="350">
        <v>31000</v>
      </c>
      <c r="K400" s="351">
        <f t="shared" ca="1" si="19"/>
        <v>40394</v>
      </c>
      <c r="L400" s="350" t="s">
        <v>362</v>
      </c>
      <c r="M400" s="50"/>
      <c r="N400" s="50"/>
      <c r="O400" s="352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339"/>
      <c r="AJ400" s="353">
        <f t="shared" si="20"/>
        <v>389</v>
      </c>
    </row>
    <row r="401" spans="1:36">
      <c r="A401" s="332">
        <f t="shared" ref="A401:A464" si="21">1+A400</f>
        <v>390</v>
      </c>
      <c r="G401" s="349" t="s">
        <v>751</v>
      </c>
      <c r="H401" s="350">
        <v>5000</v>
      </c>
      <c r="I401" s="350">
        <v>500</v>
      </c>
      <c r="J401" s="350">
        <v>3000</v>
      </c>
      <c r="K401" s="351">
        <f t="shared" ca="1" si="19"/>
        <v>40394</v>
      </c>
      <c r="L401" s="350" t="s">
        <v>359</v>
      </c>
      <c r="M401" s="50"/>
      <c r="N401" s="50"/>
      <c r="O401" s="352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339"/>
      <c r="AJ401" s="353">
        <f t="shared" si="20"/>
        <v>390</v>
      </c>
    </row>
    <row r="402" spans="1:36">
      <c r="A402" s="332">
        <f t="shared" si="21"/>
        <v>391</v>
      </c>
      <c r="G402" s="349" t="s">
        <v>752</v>
      </c>
      <c r="H402" s="350">
        <v>5000</v>
      </c>
      <c r="I402" s="350">
        <v>600</v>
      </c>
      <c r="J402" s="350">
        <v>19000</v>
      </c>
      <c r="K402" s="351">
        <f t="shared" ca="1" si="19"/>
        <v>40394</v>
      </c>
      <c r="L402" s="350" t="s">
        <v>362</v>
      </c>
      <c r="M402" s="50"/>
      <c r="N402" s="50"/>
      <c r="O402" s="352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339"/>
      <c r="AJ402" s="353">
        <f t="shared" si="20"/>
        <v>391</v>
      </c>
    </row>
    <row r="403" spans="1:36">
      <c r="A403" s="332">
        <f t="shared" si="21"/>
        <v>392</v>
      </c>
      <c r="G403" s="349" t="s">
        <v>753</v>
      </c>
      <c r="H403" s="350">
        <v>5000</v>
      </c>
      <c r="I403" s="350">
        <v>600</v>
      </c>
      <c r="J403" s="350">
        <v>6600</v>
      </c>
      <c r="K403" s="351">
        <f t="shared" ca="1" si="19"/>
        <v>40394</v>
      </c>
      <c r="L403" s="350" t="s">
        <v>362</v>
      </c>
      <c r="M403" s="50"/>
      <c r="N403" s="50"/>
      <c r="O403" s="352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339"/>
      <c r="AJ403" s="353">
        <f t="shared" si="20"/>
        <v>392</v>
      </c>
    </row>
    <row r="404" spans="1:36">
      <c r="A404" s="332">
        <f t="shared" si="21"/>
        <v>393</v>
      </c>
      <c r="G404" s="349" t="s">
        <v>754</v>
      </c>
      <c r="H404" s="350">
        <v>5000</v>
      </c>
      <c r="I404" s="350">
        <v>600</v>
      </c>
      <c r="J404" s="350">
        <v>19000</v>
      </c>
      <c r="K404" s="351">
        <f t="shared" ca="1" si="19"/>
        <v>40394</v>
      </c>
      <c r="L404" s="350" t="s">
        <v>359</v>
      </c>
      <c r="M404" s="50"/>
      <c r="N404" s="50"/>
      <c r="O404" s="352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339"/>
      <c r="AJ404" s="353">
        <f t="shared" si="20"/>
        <v>393</v>
      </c>
    </row>
    <row r="405" spans="1:36">
      <c r="A405" s="332">
        <f t="shared" si="21"/>
        <v>394</v>
      </c>
      <c r="G405" s="349" t="s">
        <v>755</v>
      </c>
      <c r="H405" s="350">
        <v>5000</v>
      </c>
      <c r="I405" s="350">
        <v>600</v>
      </c>
      <c r="J405" s="350">
        <v>7300</v>
      </c>
      <c r="K405" s="351">
        <f t="shared" ca="1" si="19"/>
        <v>40394</v>
      </c>
      <c r="L405" s="350" t="s">
        <v>362</v>
      </c>
      <c r="M405" s="50"/>
      <c r="N405" s="50"/>
      <c r="O405" s="352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339"/>
      <c r="AJ405" s="353">
        <f t="shared" si="20"/>
        <v>394</v>
      </c>
    </row>
    <row r="406" spans="1:36">
      <c r="A406" s="332">
        <f t="shared" si="21"/>
        <v>395</v>
      </c>
      <c r="G406" s="349" t="s">
        <v>756</v>
      </c>
      <c r="H406" s="350">
        <v>5000</v>
      </c>
      <c r="I406" s="350">
        <v>600</v>
      </c>
      <c r="J406" s="350">
        <v>4250</v>
      </c>
      <c r="K406" s="351">
        <f t="shared" ca="1" si="19"/>
        <v>40394</v>
      </c>
      <c r="L406" s="350" t="s">
        <v>362</v>
      </c>
      <c r="M406" s="50"/>
      <c r="N406" s="50"/>
      <c r="O406" s="352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339"/>
      <c r="AJ406" s="353">
        <f t="shared" si="20"/>
        <v>395</v>
      </c>
    </row>
    <row r="407" spans="1:36">
      <c r="A407" s="332">
        <f t="shared" si="21"/>
        <v>396</v>
      </c>
      <c r="G407" s="349" t="s">
        <v>357</v>
      </c>
      <c r="H407" s="350">
        <v>15000</v>
      </c>
      <c r="I407" s="350">
        <v>600</v>
      </c>
      <c r="J407" s="350">
        <v>22000</v>
      </c>
      <c r="K407" s="351">
        <f t="shared" ca="1" si="19"/>
        <v>40394</v>
      </c>
      <c r="L407" s="350" t="s">
        <v>362</v>
      </c>
      <c r="M407" s="50"/>
      <c r="N407" s="50"/>
      <c r="O407" s="352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339"/>
      <c r="AJ407" s="353">
        <f t="shared" si="20"/>
        <v>396</v>
      </c>
    </row>
    <row r="408" spans="1:36">
      <c r="A408" s="332">
        <f t="shared" si="21"/>
        <v>397</v>
      </c>
      <c r="G408" s="349" t="s">
        <v>757</v>
      </c>
      <c r="H408" s="350">
        <v>8000</v>
      </c>
      <c r="I408" s="350">
        <v>500</v>
      </c>
      <c r="J408" s="350">
        <v>15000</v>
      </c>
      <c r="K408" s="351">
        <f t="shared" ca="1" si="19"/>
        <v>40394</v>
      </c>
      <c r="L408" s="350" t="s">
        <v>359</v>
      </c>
      <c r="M408" s="50"/>
      <c r="N408" s="50"/>
      <c r="O408" s="352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339"/>
      <c r="AJ408" s="353">
        <f t="shared" si="20"/>
        <v>397</v>
      </c>
    </row>
    <row r="409" spans="1:36">
      <c r="A409" s="332">
        <f t="shared" si="21"/>
        <v>398</v>
      </c>
      <c r="G409" s="349" t="s">
        <v>758</v>
      </c>
      <c r="H409" s="350">
        <v>5000</v>
      </c>
      <c r="I409" s="350">
        <v>1000</v>
      </c>
      <c r="J409" s="350">
        <v>20000</v>
      </c>
      <c r="K409" s="351">
        <f t="shared" ca="1" si="19"/>
        <v>40394</v>
      </c>
      <c r="L409" s="350" t="s">
        <v>359</v>
      </c>
      <c r="M409" s="50"/>
      <c r="N409" s="50"/>
      <c r="O409" s="352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339"/>
      <c r="AJ409" s="353">
        <f t="shared" si="20"/>
        <v>398</v>
      </c>
    </row>
    <row r="410" spans="1:36">
      <c r="A410" s="332">
        <f t="shared" si="21"/>
        <v>399</v>
      </c>
      <c r="G410" s="349" t="s">
        <v>759</v>
      </c>
      <c r="H410" s="350">
        <v>5000</v>
      </c>
      <c r="I410" s="350">
        <v>600</v>
      </c>
      <c r="J410" s="350">
        <v>3500</v>
      </c>
      <c r="K410" s="351">
        <f t="shared" ca="1" si="19"/>
        <v>40394</v>
      </c>
      <c r="L410" s="350" t="s">
        <v>362</v>
      </c>
      <c r="M410" s="50"/>
      <c r="N410" s="50"/>
      <c r="O410" s="352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339"/>
      <c r="AJ410" s="353">
        <f t="shared" si="20"/>
        <v>399</v>
      </c>
    </row>
    <row r="411" spans="1:36">
      <c r="A411" s="332">
        <f t="shared" si="21"/>
        <v>400</v>
      </c>
      <c r="G411" s="349" t="s">
        <v>760</v>
      </c>
      <c r="H411" s="350">
        <v>5000</v>
      </c>
      <c r="I411" s="350">
        <v>600</v>
      </c>
      <c r="J411" s="350">
        <v>16900</v>
      </c>
      <c r="K411" s="351">
        <f t="shared" ca="1" si="19"/>
        <v>40394</v>
      </c>
      <c r="L411" s="350" t="s">
        <v>362</v>
      </c>
      <c r="M411" s="50"/>
      <c r="N411" s="50"/>
      <c r="O411" s="352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339"/>
      <c r="AJ411" s="353">
        <f t="shared" si="20"/>
        <v>400</v>
      </c>
    </row>
    <row r="412" spans="1:36">
      <c r="A412" s="332">
        <f t="shared" si="21"/>
        <v>401</v>
      </c>
      <c r="G412" s="349" t="s">
        <v>761</v>
      </c>
      <c r="H412" s="350">
        <v>5000</v>
      </c>
      <c r="I412" s="350">
        <v>500</v>
      </c>
      <c r="J412" s="350">
        <v>12000</v>
      </c>
      <c r="K412" s="351">
        <f t="shared" ca="1" si="19"/>
        <v>40394</v>
      </c>
      <c r="L412" s="350" t="s">
        <v>362</v>
      </c>
      <c r="M412" s="50"/>
      <c r="N412" s="50"/>
      <c r="O412" s="352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339"/>
      <c r="AJ412" s="353">
        <f t="shared" si="20"/>
        <v>401</v>
      </c>
    </row>
    <row r="413" spans="1:36">
      <c r="A413" s="332">
        <f t="shared" si="21"/>
        <v>402</v>
      </c>
      <c r="G413" s="349" t="s">
        <v>762</v>
      </c>
      <c r="H413" s="350">
        <v>5000</v>
      </c>
      <c r="I413" s="350">
        <v>600</v>
      </c>
      <c r="J413" s="350">
        <v>6200</v>
      </c>
      <c r="K413" s="351">
        <f t="shared" ca="1" si="19"/>
        <v>40394</v>
      </c>
      <c r="L413" s="350" t="s">
        <v>362</v>
      </c>
      <c r="M413" s="50"/>
      <c r="N413" s="50"/>
      <c r="O413" s="352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339"/>
      <c r="AJ413" s="353">
        <f t="shared" si="20"/>
        <v>402</v>
      </c>
    </row>
    <row r="414" spans="1:36">
      <c r="A414" s="332">
        <f t="shared" si="21"/>
        <v>403</v>
      </c>
      <c r="G414" s="349" t="s">
        <v>763</v>
      </c>
      <c r="H414" s="350">
        <v>10000</v>
      </c>
      <c r="I414" s="350">
        <v>500</v>
      </c>
      <c r="J414" s="350">
        <v>16200</v>
      </c>
      <c r="K414" s="351">
        <f t="shared" ca="1" si="19"/>
        <v>40394</v>
      </c>
      <c r="L414" s="350" t="s">
        <v>359</v>
      </c>
      <c r="M414" s="50"/>
      <c r="N414" s="50"/>
      <c r="O414" s="352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339"/>
      <c r="AJ414" s="353">
        <f t="shared" si="20"/>
        <v>403</v>
      </c>
    </row>
    <row r="415" spans="1:36">
      <c r="A415" s="332">
        <f t="shared" si="21"/>
        <v>404</v>
      </c>
      <c r="G415" s="349" t="s">
        <v>764</v>
      </c>
      <c r="H415" s="350">
        <v>5000</v>
      </c>
      <c r="I415" s="350">
        <v>600</v>
      </c>
      <c r="J415" s="350">
        <v>20000</v>
      </c>
      <c r="K415" s="351">
        <f t="shared" ca="1" si="19"/>
        <v>40394</v>
      </c>
      <c r="L415" s="350" t="s">
        <v>362</v>
      </c>
      <c r="M415" s="50"/>
      <c r="N415" s="50"/>
      <c r="O415" s="352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339"/>
      <c r="AJ415" s="353">
        <f t="shared" si="20"/>
        <v>404</v>
      </c>
    </row>
    <row r="416" spans="1:36">
      <c r="A416" s="332">
        <f t="shared" si="21"/>
        <v>405</v>
      </c>
      <c r="G416" s="349" t="s">
        <v>765</v>
      </c>
      <c r="H416" s="350">
        <v>5000</v>
      </c>
      <c r="I416" s="350">
        <v>500</v>
      </c>
      <c r="J416" s="350">
        <v>15000</v>
      </c>
      <c r="K416" s="351">
        <f t="shared" ca="1" si="19"/>
        <v>40394</v>
      </c>
      <c r="L416" s="350" t="s">
        <v>359</v>
      </c>
      <c r="M416" s="50"/>
      <c r="N416" s="50"/>
      <c r="O416" s="352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339"/>
      <c r="AJ416" s="353">
        <f t="shared" si="20"/>
        <v>405</v>
      </c>
    </row>
    <row r="417" spans="1:36">
      <c r="A417" s="332">
        <f t="shared" si="21"/>
        <v>406</v>
      </c>
      <c r="G417" s="349" t="s">
        <v>766</v>
      </c>
      <c r="H417" s="350">
        <v>5000</v>
      </c>
      <c r="I417" s="350">
        <v>600</v>
      </c>
      <c r="J417" s="350">
        <v>9000</v>
      </c>
      <c r="K417" s="351">
        <f t="shared" ca="1" si="19"/>
        <v>40394</v>
      </c>
      <c r="L417" s="350" t="s">
        <v>359</v>
      </c>
      <c r="M417" s="50"/>
      <c r="N417" s="50"/>
      <c r="O417" s="352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339"/>
      <c r="AJ417" s="353">
        <f t="shared" si="20"/>
        <v>406</v>
      </c>
    </row>
    <row r="418" spans="1:36">
      <c r="A418" s="332">
        <f t="shared" si="21"/>
        <v>407</v>
      </c>
      <c r="G418" s="349" t="s">
        <v>767</v>
      </c>
      <c r="H418" s="350">
        <v>5000</v>
      </c>
      <c r="I418" s="350">
        <v>500</v>
      </c>
      <c r="J418" s="350">
        <v>11550</v>
      </c>
      <c r="K418" s="351">
        <f t="shared" ca="1" si="19"/>
        <v>40394</v>
      </c>
      <c r="L418" s="350" t="s">
        <v>359</v>
      </c>
      <c r="M418" s="50"/>
      <c r="N418" s="50"/>
      <c r="O418" s="352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339"/>
      <c r="AJ418" s="353">
        <f t="shared" si="20"/>
        <v>407</v>
      </c>
    </row>
    <row r="419" spans="1:36">
      <c r="A419" s="332">
        <f t="shared" si="21"/>
        <v>408</v>
      </c>
      <c r="G419" s="349" t="s">
        <v>768</v>
      </c>
      <c r="H419" s="350">
        <v>20000</v>
      </c>
      <c r="I419" s="350">
        <v>600</v>
      </c>
      <c r="J419" s="350">
        <v>9000</v>
      </c>
      <c r="K419" s="351">
        <f t="shared" ca="1" si="19"/>
        <v>40394</v>
      </c>
      <c r="L419" s="350" t="s">
        <v>359</v>
      </c>
      <c r="M419" s="50"/>
      <c r="N419" s="50"/>
      <c r="O419" s="352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339"/>
      <c r="AJ419" s="353">
        <f t="shared" si="20"/>
        <v>408</v>
      </c>
    </row>
    <row r="420" spans="1:36">
      <c r="A420" s="332">
        <f t="shared" si="21"/>
        <v>409</v>
      </c>
      <c r="G420" s="349" t="s">
        <v>769</v>
      </c>
      <c r="H420" s="350">
        <v>9000</v>
      </c>
      <c r="I420" s="350">
        <v>1000</v>
      </c>
      <c r="J420" s="350">
        <v>16200</v>
      </c>
      <c r="K420" s="351">
        <f t="shared" ca="1" si="19"/>
        <v>40394</v>
      </c>
      <c r="L420" s="350" t="s">
        <v>359</v>
      </c>
      <c r="M420" s="50"/>
      <c r="N420" s="50"/>
      <c r="O420" s="352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339"/>
      <c r="AJ420" s="353">
        <f t="shared" si="20"/>
        <v>409</v>
      </c>
    </row>
    <row r="421" spans="1:36">
      <c r="A421" s="332">
        <f t="shared" si="21"/>
        <v>410</v>
      </c>
      <c r="G421" s="349" t="s">
        <v>770</v>
      </c>
      <c r="H421" s="350">
        <v>7000</v>
      </c>
      <c r="I421" s="350">
        <v>1000</v>
      </c>
      <c r="J421" s="350">
        <v>11121</v>
      </c>
      <c r="K421" s="351">
        <f t="shared" ca="1" si="19"/>
        <v>40394</v>
      </c>
      <c r="L421" s="350" t="s">
        <v>359</v>
      </c>
      <c r="M421" s="50"/>
      <c r="N421" s="50"/>
      <c r="O421" s="352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339"/>
      <c r="AJ421" s="353">
        <f t="shared" si="20"/>
        <v>410</v>
      </c>
    </row>
    <row r="422" spans="1:36">
      <c r="A422" s="332">
        <f t="shared" si="21"/>
        <v>411</v>
      </c>
      <c r="G422" s="349" t="s">
        <v>771</v>
      </c>
      <c r="H422" s="350">
        <v>8500</v>
      </c>
      <c r="I422" s="350">
        <v>600</v>
      </c>
      <c r="J422" s="350">
        <v>5100</v>
      </c>
      <c r="K422" s="351">
        <f t="shared" ca="1" si="19"/>
        <v>40394</v>
      </c>
      <c r="L422" s="350" t="s">
        <v>362</v>
      </c>
      <c r="M422" s="50"/>
      <c r="N422" s="50"/>
      <c r="O422" s="352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339"/>
      <c r="AJ422" s="353">
        <f t="shared" si="20"/>
        <v>411</v>
      </c>
    </row>
    <row r="423" spans="1:36">
      <c r="A423" s="332">
        <f t="shared" si="21"/>
        <v>412</v>
      </c>
      <c r="G423" s="349" t="s">
        <v>772</v>
      </c>
      <c r="H423" s="350">
        <v>8000</v>
      </c>
      <c r="I423" s="350">
        <v>600</v>
      </c>
      <c r="J423" s="350">
        <v>5000</v>
      </c>
      <c r="K423" s="351">
        <f t="shared" ca="1" si="19"/>
        <v>40394</v>
      </c>
      <c r="L423" s="350" t="s">
        <v>362</v>
      </c>
      <c r="M423" s="50"/>
      <c r="N423" s="50"/>
      <c r="O423" s="352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339"/>
      <c r="AJ423" s="353">
        <f t="shared" si="20"/>
        <v>412</v>
      </c>
    </row>
    <row r="424" spans="1:36">
      <c r="A424" s="332">
        <f t="shared" si="21"/>
        <v>413</v>
      </c>
      <c r="G424" s="349" t="s">
        <v>773</v>
      </c>
      <c r="H424" s="350">
        <v>10000</v>
      </c>
      <c r="I424" s="350">
        <v>600</v>
      </c>
      <c r="J424" s="350">
        <v>13500</v>
      </c>
      <c r="K424" s="351">
        <f t="shared" ca="1" si="19"/>
        <v>40394</v>
      </c>
      <c r="L424" s="350" t="s">
        <v>362</v>
      </c>
      <c r="M424" s="50"/>
      <c r="N424" s="50"/>
      <c r="O424" s="352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339"/>
      <c r="AJ424" s="353">
        <f t="shared" si="20"/>
        <v>413</v>
      </c>
    </row>
    <row r="425" spans="1:36">
      <c r="A425" s="332">
        <f t="shared" si="21"/>
        <v>414</v>
      </c>
      <c r="G425" s="349" t="s">
        <v>774</v>
      </c>
      <c r="H425" s="350">
        <v>5000</v>
      </c>
      <c r="I425" s="350">
        <v>600</v>
      </c>
      <c r="J425" s="350">
        <v>17000</v>
      </c>
      <c r="K425" s="351">
        <f t="shared" ca="1" si="19"/>
        <v>40394</v>
      </c>
      <c r="L425" s="350" t="s">
        <v>362</v>
      </c>
      <c r="M425" s="50"/>
      <c r="N425" s="50"/>
      <c r="O425" s="352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339"/>
      <c r="AJ425" s="353">
        <f t="shared" si="20"/>
        <v>414</v>
      </c>
    </row>
    <row r="426" spans="1:36">
      <c r="A426" s="332">
        <f t="shared" si="21"/>
        <v>415</v>
      </c>
      <c r="G426" s="349" t="s">
        <v>775</v>
      </c>
      <c r="H426" s="350">
        <v>10000</v>
      </c>
      <c r="I426" s="350">
        <v>600</v>
      </c>
      <c r="J426" s="350">
        <v>8500</v>
      </c>
      <c r="K426" s="351">
        <f t="shared" ca="1" si="19"/>
        <v>40394</v>
      </c>
      <c r="L426" s="350" t="s">
        <v>362</v>
      </c>
      <c r="M426" s="50"/>
      <c r="N426" s="50"/>
      <c r="O426" s="352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339"/>
      <c r="AJ426" s="353">
        <f t="shared" si="20"/>
        <v>415</v>
      </c>
    </row>
    <row r="427" spans="1:36">
      <c r="A427" s="332">
        <f t="shared" si="21"/>
        <v>416</v>
      </c>
      <c r="G427" s="349" t="s">
        <v>776</v>
      </c>
      <c r="H427" s="350">
        <v>5000</v>
      </c>
      <c r="I427" s="350">
        <v>600</v>
      </c>
      <c r="J427" s="350">
        <v>13500</v>
      </c>
      <c r="K427" s="351">
        <f t="shared" ca="1" si="19"/>
        <v>40394</v>
      </c>
      <c r="L427" s="350" t="s">
        <v>362</v>
      </c>
      <c r="M427" s="50"/>
      <c r="N427" s="50"/>
      <c r="O427" s="352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339"/>
      <c r="AJ427" s="353">
        <f t="shared" si="20"/>
        <v>416</v>
      </c>
    </row>
    <row r="428" spans="1:36">
      <c r="A428" s="332">
        <f t="shared" si="21"/>
        <v>417</v>
      </c>
      <c r="G428" s="349" t="s">
        <v>777</v>
      </c>
      <c r="H428" s="350">
        <v>5000</v>
      </c>
      <c r="I428" s="350">
        <v>600</v>
      </c>
      <c r="J428" s="350">
        <v>3000</v>
      </c>
      <c r="K428" s="351">
        <f t="shared" ca="1" si="19"/>
        <v>40394</v>
      </c>
      <c r="L428" s="350" t="s">
        <v>362</v>
      </c>
      <c r="M428" s="50"/>
      <c r="N428" s="50"/>
      <c r="O428" s="352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339"/>
      <c r="AJ428" s="353">
        <f t="shared" si="20"/>
        <v>417</v>
      </c>
    </row>
    <row r="429" spans="1:36">
      <c r="A429" s="332">
        <f t="shared" si="21"/>
        <v>418</v>
      </c>
      <c r="G429" s="349" t="s">
        <v>778</v>
      </c>
      <c r="H429" s="350">
        <v>5000</v>
      </c>
      <c r="I429" s="350">
        <v>800</v>
      </c>
      <c r="J429" s="350">
        <v>10000</v>
      </c>
      <c r="K429" s="351">
        <f t="shared" ca="1" si="19"/>
        <v>40394</v>
      </c>
      <c r="L429" s="350" t="s">
        <v>362</v>
      </c>
      <c r="M429" s="50"/>
      <c r="N429" s="50"/>
      <c r="O429" s="352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339"/>
      <c r="AJ429" s="353">
        <f t="shared" si="20"/>
        <v>418</v>
      </c>
    </row>
    <row r="430" spans="1:36">
      <c r="A430" s="332">
        <f t="shared" si="21"/>
        <v>419</v>
      </c>
      <c r="G430" s="349" t="s">
        <v>779</v>
      </c>
      <c r="H430" s="350">
        <v>8000</v>
      </c>
      <c r="I430" s="350">
        <v>500</v>
      </c>
      <c r="J430" s="350">
        <v>9000</v>
      </c>
      <c r="K430" s="351">
        <f t="shared" ca="1" si="19"/>
        <v>40394</v>
      </c>
      <c r="L430" s="350" t="s">
        <v>359</v>
      </c>
      <c r="M430" s="50"/>
      <c r="N430" s="50"/>
      <c r="O430" s="352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339"/>
      <c r="AJ430" s="353">
        <f t="shared" si="20"/>
        <v>419</v>
      </c>
    </row>
    <row r="431" spans="1:36">
      <c r="A431" s="332">
        <f t="shared" si="21"/>
        <v>420</v>
      </c>
      <c r="G431" s="349" t="s">
        <v>780</v>
      </c>
      <c r="H431" s="350">
        <v>5000</v>
      </c>
      <c r="I431" s="350">
        <v>600</v>
      </c>
      <c r="J431" s="350">
        <v>9500</v>
      </c>
      <c r="K431" s="351">
        <f t="shared" ca="1" si="19"/>
        <v>40394</v>
      </c>
      <c r="L431" s="350" t="s">
        <v>362</v>
      </c>
      <c r="M431" s="50"/>
      <c r="N431" s="50"/>
      <c r="O431" s="352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339"/>
      <c r="AJ431" s="353">
        <f t="shared" si="20"/>
        <v>420</v>
      </c>
    </row>
    <row r="432" spans="1:36">
      <c r="A432" s="332">
        <f t="shared" si="21"/>
        <v>421</v>
      </c>
      <c r="G432" s="349" t="s">
        <v>781</v>
      </c>
      <c r="H432" s="350">
        <v>11000</v>
      </c>
      <c r="I432" s="350">
        <v>600</v>
      </c>
      <c r="J432" s="350">
        <v>14900</v>
      </c>
      <c r="K432" s="351">
        <f t="shared" ca="1" si="19"/>
        <v>40394</v>
      </c>
      <c r="L432" s="350" t="s">
        <v>362</v>
      </c>
      <c r="M432" s="50"/>
      <c r="N432" s="50"/>
      <c r="O432" s="352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339"/>
      <c r="AJ432" s="353">
        <f t="shared" si="20"/>
        <v>421</v>
      </c>
    </row>
    <row r="433" spans="1:36">
      <c r="A433" s="332">
        <f t="shared" si="21"/>
        <v>422</v>
      </c>
      <c r="G433" s="349" t="s">
        <v>782</v>
      </c>
      <c r="H433" s="350">
        <v>10000</v>
      </c>
      <c r="I433" s="350">
        <v>500</v>
      </c>
      <c r="J433" s="350">
        <v>9600</v>
      </c>
      <c r="K433" s="351">
        <f t="shared" ca="1" si="19"/>
        <v>40394</v>
      </c>
      <c r="L433" s="350" t="s">
        <v>359</v>
      </c>
      <c r="M433" s="50"/>
      <c r="N433" s="50"/>
      <c r="O433" s="352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339"/>
      <c r="AJ433" s="353">
        <f t="shared" si="20"/>
        <v>422</v>
      </c>
    </row>
    <row r="434" spans="1:36">
      <c r="A434" s="332">
        <f t="shared" si="21"/>
        <v>423</v>
      </c>
      <c r="G434" s="349" t="s">
        <v>783</v>
      </c>
      <c r="H434" s="350">
        <v>5000</v>
      </c>
      <c r="I434" s="350">
        <v>500</v>
      </c>
      <c r="J434" s="350">
        <v>5750</v>
      </c>
      <c r="K434" s="351">
        <f t="shared" ca="1" si="19"/>
        <v>40394</v>
      </c>
      <c r="L434" s="350" t="s">
        <v>359</v>
      </c>
      <c r="M434" s="50"/>
      <c r="N434" s="50"/>
      <c r="O434" s="352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339"/>
      <c r="AJ434" s="353">
        <f t="shared" si="20"/>
        <v>423</v>
      </c>
    </row>
    <row r="435" spans="1:36">
      <c r="A435" s="332">
        <f t="shared" si="21"/>
        <v>424</v>
      </c>
      <c r="G435" s="349" t="s">
        <v>784</v>
      </c>
      <c r="H435" s="350">
        <v>5200</v>
      </c>
      <c r="I435" s="350">
        <v>500</v>
      </c>
      <c r="J435" s="350">
        <v>18000</v>
      </c>
      <c r="K435" s="351">
        <f t="shared" ca="1" si="19"/>
        <v>40394</v>
      </c>
      <c r="L435" s="350" t="s">
        <v>362</v>
      </c>
      <c r="M435" s="50"/>
      <c r="N435" s="50"/>
      <c r="O435" s="352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339"/>
      <c r="AJ435" s="353">
        <f t="shared" si="20"/>
        <v>424</v>
      </c>
    </row>
    <row r="436" spans="1:36">
      <c r="A436" s="332">
        <f t="shared" si="21"/>
        <v>425</v>
      </c>
      <c r="G436" s="349" t="s">
        <v>785</v>
      </c>
      <c r="H436" s="350">
        <v>5000</v>
      </c>
      <c r="I436" s="350">
        <v>600</v>
      </c>
      <c r="J436" s="350">
        <v>12000</v>
      </c>
      <c r="K436" s="351">
        <f t="shared" ca="1" si="19"/>
        <v>40394</v>
      </c>
      <c r="L436" s="350" t="s">
        <v>362</v>
      </c>
      <c r="M436" s="50"/>
      <c r="N436" s="50"/>
      <c r="O436" s="352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339"/>
      <c r="AJ436" s="353">
        <f t="shared" si="20"/>
        <v>425</v>
      </c>
    </row>
    <row r="437" spans="1:36">
      <c r="A437" s="332">
        <f t="shared" si="21"/>
        <v>426</v>
      </c>
      <c r="G437" s="349" t="s">
        <v>786</v>
      </c>
      <c r="H437" s="350">
        <v>10000</v>
      </c>
      <c r="I437" s="350">
        <v>600</v>
      </c>
      <c r="J437" s="350">
        <v>24000</v>
      </c>
      <c r="K437" s="351">
        <f t="shared" ca="1" si="19"/>
        <v>40394</v>
      </c>
      <c r="L437" s="350" t="s">
        <v>362</v>
      </c>
      <c r="M437" s="50"/>
      <c r="N437" s="50"/>
      <c r="O437" s="352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339"/>
      <c r="AJ437" s="353">
        <f t="shared" si="20"/>
        <v>426</v>
      </c>
    </row>
    <row r="438" spans="1:36">
      <c r="A438" s="332">
        <f t="shared" si="21"/>
        <v>427</v>
      </c>
      <c r="G438" s="349" t="s">
        <v>787</v>
      </c>
      <c r="H438" s="350">
        <v>6000</v>
      </c>
      <c r="I438" s="350">
        <v>600</v>
      </c>
      <c r="J438" s="350">
        <v>7500</v>
      </c>
      <c r="K438" s="351">
        <f t="shared" ca="1" si="19"/>
        <v>40394</v>
      </c>
      <c r="L438" s="350" t="s">
        <v>362</v>
      </c>
      <c r="M438" s="50"/>
      <c r="N438" s="50"/>
      <c r="O438" s="352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339"/>
      <c r="AJ438" s="353">
        <f t="shared" si="20"/>
        <v>427</v>
      </c>
    </row>
    <row r="439" spans="1:36">
      <c r="A439" s="332">
        <f t="shared" si="21"/>
        <v>428</v>
      </c>
      <c r="G439" s="349" t="s">
        <v>788</v>
      </c>
      <c r="H439" s="350">
        <v>5000</v>
      </c>
      <c r="I439" s="350">
        <v>1000</v>
      </c>
      <c r="J439" s="350">
        <v>18150</v>
      </c>
      <c r="K439" s="351">
        <f t="shared" ca="1" si="19"/>
        <v>40394</v>
      </c>
      <c r="L439" s="350" t="s">
        <v>359</v>
      </c>
      <c r="M439" s="50"/>
      <c r="N439" s="50"/>
      <c r="O439" s="352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339"/>
      <c r="AJ439" s="353">
        <f t="shared" si="20"/>
        <v>428</v>
      </c>
    </row>
    <row r="440" spans="1:36">
      <c r="A440" s="332">
        <f t="shared" si="21"/>
        <v>429</v>
      </c>
      <c r="G440" s="349" t="s">
        <v>789</v>
      </c>
      <c r="H440" s="350">
        <v>7000</v>
      </c>
      <c r="I440" s="350">
        <v>600</v>
      </c>
      <c r="J440" s="350">
        <v>16500</v>
      </c>
      <c r="K440" s="351">
        <f t="shared" ca="1" si="19"/>
        <v>40394</v>
      </c>
      <c r="L440" s="350" t="s">
        <v>362</v>
      </c>
      <c r="M440" s="50"/>
      <c r="N440" s="50"/>
      <c r="O440" s="352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339"/>
      <c r="AJ440" s="353">
        <f t="shared" si="20"/>
        <v>429</v>
      </c>
    </row>
    <row r="441" spans="1:36">
      <c r="A441" s="332">
        <f t="shared" si="21"/>
        <v>430</v>
      </c>
      <c r="G441" s="349" t="s">
        <v>790</v>
      </c>
      <c r="H441" s="350">
        <v>5000</v>
      </c>
      <c r="I441" s="350">
        <v>500</v>
      </c>
      <c r="J441" s="350">
        <v>5200</v>
      </c>
      <c r="K441" s="351">
        <f t="shared" ca="1" si="19"/>
        <v>40394</v>
      </c>
      <c r="L441" s="350" t="s">
        <v>359</v>
      </c>
      <c r="M441" s="50"/>
      <c r="N441" s="50"/>
      <c r="O441" s="352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339"/>
      <c r="AJ441" s="353">
        <f t="shared" si="20"/>
        <v>430</v>
      </c>
    </row>
    <row r="442" spans="1:36">
      <c r="A442" s="332">
        <f t="shared" si="21"/>
        <v>431</v>
      </c>
      <c r="G442" s="349" t="s">
        <v>791</v>
      </c>
      <c r="H442" s="350">
        <v>5000</v>
      </c>
      <c r="I442" s="350">
        <v>600</v>
      </c>
      <c r="J442" s="350">
        <v>31000</v>
      </c>
      <c r="K442" s="351">
        <f t="shared" ca="1" si="19"/>
        <v>40394</v>
      </c>
      <c r="L442" s="350" t="s">
        <v>362</v>
      </c>
      <c r="M442" s="50"/>
      <c r="N442" s="50"/>
      <c r="O442" s="352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339"/>
      <c r="AJ442" s="353">
        <f t="shared" si="20"/>
        <v>431</v>
      </c>
    </row>
    <row r="443" spans="1:36">
      <c r="A443" s="332">
        <f t="shared" si="21"/>
        <v>432</v>
      </c>
      <c r="G443" s="349" t="s">
        <v>792</v>
      </c>
      <c r="H443" s="350">
        <v>5000</v>
      </c>
      <c r="I443" s="350">
        <v>600</v>
      </c>
      <c r="J443" s="350">
        <v>18600</v>
      </c>
      <c r="K443" s="351">
        <f t="shared" ca="1" si="19"/>
        <v>40394</v>
      </c>
      <c r="L443" s="350" t="s">
        <v>362</v>
      </c>
      <c r="M443" s="50"/>
      <c r="N443" s="50"/>
      <c r="O443" s="352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339"/>
      <c r="AJ443" s="353">
        <f t="shared" si="20"/>
        <v>432</v>
      </c>
    </row>
    <row r="444" spans="1:36">
      <c r="A444" s="332">
        <f t="shared" si="21"/>
        <v>433</v>
      </c>
      <c r="G444" s="349" t="s">
        <v>793</v>
      </c>
      <c r="H444" s="350">
        <v>7000</v>
      </c>
      <c r="I444" s="350">
        <v>500</v>
      </c>
      <c r="J444" s="350">
        <v>13200</v>
      </c>
      <c r="K444" s="351">
        <f t="shared" ca="1" si="19"/>
        <v>40394</v>
      </c>
      <c r="L444" s="350" t="s">
        <v>359</v>
      </c>
      <c r="M444" s="50"/>
      <c r="N444" s="50"/>
      <c r="O444" s="352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339"/>
      <c r="AJ444" s="353">
        <f t="shared" si="20"/>
        <v>433</v>
      </c>
    </row>
    <row r="445" spans="1:36">
      <c r="A445" s="332">
        <f t="shared" si="21"/>
        <v>434</v>
      </c>
      <c r="G445" s="349" t="s">
        <v>794</v>
      </c>
      <c r="H445" s="350">
        <v>7000</v>
      </c>
      <c r="I445" s="350">
        <v>600</v>
      </c>
      <c r="J445" s="350">
        <v>3250</v>
      </c>
      <c r="K445" s="351">
        <f t="shared" ca="1" si="19"/>
        <v>40394</v>
      </c>
      <c r="L445" s="350" t="s">
        <v>362</v>
      </c>
      <c r="M445" s="50"/>
      <c r="N445" s="50"/>
      <c r="O445" s="352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339"/>
      <c r="AJ445" s="353">
        <f t="shared" si="20"/>
        <v>434</v>
      </c>
    </row>
    <row r="446" spans="1:36">
      <c r="A446" s="332">
        <f t="shared" si="21"/>
        <v>435</v>
      </c>
      <c r="G446" s="349" t="s">
        <v>795</v>
      </c>
      <c r="H446" s="350">
        <v>5000</v>
      </c>
      <c r="I446" s="350">
        <v>600</v>
      </c>
      <c r="J446" s="350">
        <v>5000</v>
      </c>
      <c r="K446" s="351">
        <f t="shared" ca="1" si="19"/>
        <v>40394</v>
      </c>
      <c r="L446" s="350" t="s">
        <v>362</v>
      </c>
      <c r="M446" s="50"/>
      <c r="N446" s="50"/>
      <c r="O446" s="352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339"/>
      <c r="AJ446" s="353">
        <f t="shared" si="20"/>
        <v>435</v>
      </c>
    </row>
    <row r="447" spans="1:36">
      <c r="A447" s="332">
        <f t="shared" si="21"/>
        <v>436</v>
      </c>
      <c r="G447" s="349" t="s">
        <v>796</v>
      </c>
      <c r="H447" s="350">
        <v>5000</v>
      </c>
      <c r="I447" s="350">
        <v>600</v>
      </c>
      <c r="J447" s="350">
        <v>16000</v>
      </c>
      <c r="K447" s="351">
        <f t="shared" ca="1" si="19"/>
        <v>40394</v>
      </c>
      <c r="L447" s="350" t="s">
        <v>362</v>
      </c>
      <c r="M447" s="50"/>
      <c r="N447" s="50"/>
      <c r="O447" s="352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339"/>
      <c r="AJ447" s="353">
        <f t="shared" si="20"/>
        <v>436</v>
      </c>
    </row>
    <row r="448" spans="1:36">
      <c r="A448" s="332">
        <f t="shared" si="21"/>
        <v>437</v>
      </c>
      <c r="G448" s="349" t="s">
        <v>797</v>
      </c>
      <c r="H448" s="350">
        <v>5000</v>
      </c>
      <c r="I448" s="350">
        <v>600</v>
      </c>
      <c r="J448" s="350">
        <v>7700</v>
      </c>
      <c r="K448" s="351">
        <f t="shared" ca="1" si="19"/>
        <v>40394</v>
      </c>
      <c r="L448" s="350" t="s">
        <v>362</v>
      </c>
      <c r="M448" s="50"/>
      <c r="N448" s="50"/>
      <c r="O448" s="352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339"/>
      <c r="AJ448" s="353">
        <f t="shared" si="20"/>
        <v>437</v>
      </c>
    </row>
    <row r="449" spans="1:36">
      <c r="A449" s="332">
        <f t="shared" si="21"/>
        <v>438</v>
      </c>
      <c r="G449" s="349" t="s">
        <v>798</v>
      </c>
      <c r="H449" s="350">
        <v>6000</v>
      </c>
      <c r="I449" s="350">
        <v>600</v>
      </c>
      <c r="J449" s="350">
        <v>42100</v>
      </c>
      <c r="K449" s="351">
        <f t="shared" ca="1" si="19"/>
        <v>40394</v>
      </c>
      <c r="L449" s="350" t="s">
        <v>362</v>
      </c>
      <c r="M449" s="50"/>
      <c r="N449" s="50"/>
      <c r="O449" s="352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339"/>
      <c r="AJ449" s="353">
        <f t="shared" si="20"/>
        <v>438</v>
      </c>
    </row>
    <row r="450" spans="1:36">
      <c r="A450" s="332">
        <f t="shared" si="21"/>
        <v>439</v>
      </c>
      <c r="G450" s="349" t="s">
        <v>799</v>
      </c>
      <c r="H450" s="350">
        <v>5000</v>
      </c>
      <c r="I450" s="350">
        <v>600</v>
      </c>
      <c r="J450" s="350">
        <v>7000</v>
      </c>
      <c r="K450" s="351">
        <f t="shared" ca="1" si="19"/>
        <v>40394</v>
      </c>
      <c r="L450" s="350" t="s">
        <v>362</v>
      </c>
      <c r="M450" s="50"/>
      <c r="N450" s="50"/>
      <c r="O450" s="352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339"/>
      <c r="AJ450" s="353">
        <f t="shared" si="20"/>
        <v>439</v>
      </c>
    </row>
    <row r="451" spans="1:36">
      <c r="A451" s="332">
        <f t="shared" si="21"/>
        <v>440</v>
      </c>
      <c r="G451" s="349" t="s">
        <v>800</v>
      </c>
      <c r="H451" s="350">
        <v>12500</v>
      </c>
      <c r="I451" s="350">
        <v>600</v>
      </c>
      <c r="J451" s="350">
        <v>8800</v>
      </c>
      <c r="K451" s="351">
        <f t="shared" ca="1" si="19"/>
        <v>40394</v>
      </c>
      <c r="L451" s="350" t="s">
        <v>359</v>
      </c>
      <c r="M451" s="50"/>
      <c r="N451" s="50"/>
      <c r="O451" s="352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339"/>
      <c r="AJ451" s="353">
        <f t="shared" si="20"/>
        <v>440</v>
      </c>
    </row>
    <row r="452" spans="1:36">
      <c r="A452" s="332">
        <f t="shared" si="21"/>
        <v>441</v>
      </c>
      <c r="G452" s="349" t="s">
        <v>801</v>
      </c>
      <c r="H452" s="350">
        <v>5000</v>
      </c>
      <c r="I452" s="350">
        <v>600</v>
      </c>
      <c r="J452" s="350">
        <v>21000</v>
      </c>
      <c r="K452" s="351">
        <f t="shared" ca="1" si="19"/>
        <v>40394</v>
      </c>
      <c r="L452" s="350" t="s">
        <v>362</v>
      </c>
      <c r="M452" s="50"/>
      <c r="N452" s="50"/>
      <c r="O452" s="352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339"/>
      <c r="AJ452" s="353">
        <f t="shared" si="20"/>
        <v>441</v>
      </c>
    </row>
    <row r="453" spans="1:36">
      <c r="A453" s="332">
        <f t="shared" si="21"/>
        <v>442</v>
      </c>
      <c r="G453" s="349" t="s">
        <v>802</v>
      </c>
      <c r="H453" s="350">
        <v>5000</v>
      </c>
      <c r="I453" s="350">
        <v>500</v>
      </c>
      <c r="J453" s="350">
        <v>14500</v>
      </c>
      <c r="K453" s="351">
        <f t="shared" ca="1" si="19"/>
        <v>40394</v>
      </c>
      <c r="L453" s="350" t="s">
        <v>359</v>
      </c>
      <c r="M453" s="50"/>
      <c r="N453" s="50"/>
      <c r="O453" s="352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339"/>
      <c r="AJ453" s="353">
        <f t="shared" si="20"/>
        <v>442</v>
      </c>
    </row>
    <row r="454" spans="1:36">
      <c r="A454" s="332">
        <f t="shared" si="21"/>
        <v>443</v>
      </c>
      <c r="G454" s="349" t="s">
        <v>803</v>
      </c>
      <c r="H454" s="350">
        <v>5000</v>
      </c>
      <c r="I454" s="350">
        <v>600</v>
      </c>
      <c r="J454" s="350">
        <v>4150</v>
      </c>
      <c r="K454" s="351">
        <f t="shared" ca="1" si="19"/>
        <v>40394</v>
      </c>
      <c r="L454" s="350" t="s">
        <v>359</v>
      </c>
      <c r="M454" s="50"/>
      <c r="N454" s="50"/>
      <c r="O454" s="352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339"/>
      <c r="AJ454" s="353">
        <f t="shared" si="20"/>
        <v>443</v>
      </c>
    </row>
    <row r="455" spans="1:36">
      <c r="A455" s="332">
        <f t="shared" si="21"/>
        <v>444</v>
      </c>
      <c r="G455" s="349" t="s">
        <v>804</v>
      </c>
      <c r="H455" s="350">
        <v>8000</v>
      </c>
      <c r="I455" s="350">
        <v>600</v>
      </c>
      <c r="J455" s="350">
        <v>17000</v>
      </c>
      <c r="K455" s="351">
        <f t="shared" ca="1" si="19"/>
        <v>40394</v>
      </c>
      <c r="L455" s="350" t="s">
        <v>362</v>
      </c>
      <c r="M455" s="50"/>
      <c r="N455" s="50"/>
      <c r="O455" s="352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339"/>
      <c r="AJ455" s="353">
        <f t="shared" si="20"/>
        <v>444</v>
      </c>
    </row>
    <row r="456" spans="1:36">
      <c r="A456" s="332">
        <f t="shared" si="21"/>
        <v>445</v>
      </c>
      <c r="G456" s="349" t="s">
        <v>805</v>
      </c>
      <c r="H456" s="350">
        <v>5000</v>
      </c>
      <c r="I456" s="350">
        <v>600</v>
      </c>
      <c r="J456" s="350">
        <v>29900</v>
      </c>
      <c r="K456" s="351">
        <f t="shared" ca="1" si="19"/>
        <v>40394</v>
      </c>
      <c r="L456" s="350" t="s">
        <v>362</v>
      </c>
      <c r="M456" s="50"/>
      <c r="N456" s="50"/>
      <c r="O456" s="352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339"/>
      <c r="AJ456" s="353">
        <f t="shared" si="20"/>
        <v>445</v>
      </c>
    </row>
    <row r="457" spans="1:36">
      <c r="A457" s="332">
        <f t="shared" si="21"/>
        <v>446</v>
      </c>
      <c r="G457" s="349" t="s">
        <v>806</v>
      </c>
      <c r="H457" s="350">
        <v>12000</v>
      </c>
      <c r="I457" s="350">
        <v>600</v>
      </c>
      <c r="J457" s="350">
        <v>8125</v>
      </c>
      <c r="K457" s="351">
        <f t="shared" ca="1" si="19"/>
        <v>40394</v>
      </c>
      <c r="L457" s="350" t="s">
        <v>362</v>
      </c>
      <c r="M457" s="50"/>
      <c r="N457" s="50"/>
      <c r="O457" s="352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339"/>
      <c r="AJ457" s="353">
        <f t="shared" si="20"/>
        <v>446</v>
      </c>
    </row>
    <row r="458" spans="1:36">
      <c r="A458" s="332">
        <f t="shared" si="21"/>
        <v>447</v>
      </c>
      <c r="G458" s="349" t="s">
        <v>807</v>
      </c>
      <c r="H458" s="350">
        <v>5000</v>
      </c>
      <c r="I458" s="350">
        <v>600</v>
      </c>
      <c r="J458" s="350">
        <v>5000</v>
      </c>
      <c r="K458" s="351">
        <f t="shared" ca="1" si="19"/>
        <v>40394</v>
      </c>
      <c r="L458" s="350" t="s">
        <v>359</v>
      </c>
      <c r="M458" s="50"/>
      <c r="N458" s="50"/>
      <c r="O458" s="352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339"/>
      <c r="AJ458" s="353">
        <f t="shared" si="20"/>
        <v>447</v>
      </c>
    </row>
    <row r="459" spans="1:36">
      <c r="A459" s="332">
        <f t="shared" si="21"/>
        <v>448</v>
      </c>
      <c r="G459" s="349" t="s">
        <v>808</v>
      </c>
      <c r="H459" s="350">
        <v>5000</v>
      </c>
      <c r="I459" s="350">
        <v>600</v>
      </c>
      <c r="J459" s="350">
        <v>9800</v>
      </c>
      <c r="K459" s="351">
        <f t="shared" ca="1" si="19"/>
        <v>40394</v>
      </c>
      <c r="L459" s="350" t="s">
        <v>362</v>
      </c>
      <c r="M459" s="50"/>
      <c r="N459" s="50"/>
      <c r="O459" s="352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339"/>
      <c r="AJ459" s="353">
        <f t="shared" si="20"/>
        <v>448</v>
      </c>
    </row>
    <row r="460" spans="1:36">
      <c r="A460" s="332">
        <f t="shared" si="21"/>
        <v>449</v>
      </c>
      <c r="G460" s="349" t="s">
        <v>809</v>
      </c>
      <c r="H460" s="350">
        <v>10000</v>
      </c>
      <c r="I460" s="350">
        <v>600</v>
      </c>
      <c r="J460" s="350">
        <v>18000</v>
      </c>
      <c r="K460" s="351">
        <f t="shared" ca="1" si="19"/>
        <v>40394</v>
      </c>
      <c r="L460" s="350" t="s">
        <v>362</v>
      </c>
      <c r="M460" s="50"/>
      <c r="N460" s="50"/>
      <c r="O460" s="352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339"/>
      <c r="AJ460" s="353">
        <f t="shared" si="20"/>
        <v>449</v>
      </c>
    </row>
    <row r="461" spans="1:36">
      <c r="A461" s="332">
        <f t="shared" si="21"/>
        <v>450</v>
      </c>
      <c r="G461" s="349" t="s">
        <v>810</v>
      </c>
      <c r="H461" s="350">
        <v>13000</v>
      </c>
      <c r="I461" s="350">
        <v>600</v>
      </c>
      <c r="J461" s="350">
        <v>14200</v>
      </c>
      <c r="K461" s="351">
        <f t="shared" ref="K461:K510" ca="1" si="22">TODAY()</f>
        <v>40394</v>
      </c>
      <c r="L461" s="350" t="s">
        <v>362</v>
      </c>
      <c r="M461" s="50"/>
      <c r="N461" s="50"/>
      <c r="O461" s="352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339"/>
      <c r="AJ461" s="353">
        <f t="shared" si="20"/>
        <v>450</v>
      </c>
    </row>
    <row r="462" spans="1:36">
      <c r="A462" s="332">
        <f t="shared" si="21"/>
        <v>451</v>
      </c>
      <c r="G462" s="349" t="s">
        <v>811</v>
      </c>
      <c r="H462" s="350">
        <v>5000</v>
      </c>
      <c r="I462" s="350">
        <v>600</v>
      </c>
      <c r="J462" s="350">
        <v>8190</v>
      </c>
      <c r="K462" s="351">
        <f t="shared" ca="1" si="22"/>
        <v>40394</v>
      </c>
      <c r="L462" s="350" t="s">
        <v>362</v>
      </c>
      <c r="M462" s="50"/>
      <c r="N462" s="50"/>
      <c r="O462" s="352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339"/>
      <c r="AJ462" s="353">
        <f t="shared" ref="AJ462:AJ510" si="23">AJ461+1</f>
        <v>451</v>
      </c>
    </row>
    <row r="463" spans="1:36">
      <c r="A463" s="332">
        <f t="shared" si="21"/>
        <v>452</v>
      </c>
      <c r="G463" s="349" t="s">
        <v>812</v>
      </c>
      <c r="H463" s="350">
        <v>5000</v>
      </c>
      <c r="I463" s="350">
        <v>600</v>
      </c>
      <c r="J463" s="350">
        <v>8500</v>
      </c>
      <c r="K463" s="351">
        <f t="shared" ca="1" si="22"/>
        <v>40394</v>
      </c>
      <c r="L463" s="350" t="s">
        <v>362</v>
      </c>
      <c r="M463" s="50"/>
      <c r="N463" s="50"/>
      <c r="O463" s="352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339"/>
      <c r="AJ463" s="353">
        <f t="shared" si="23"/>
        <v>452</v>
      </c>
    </row>
    <row r="464" spans="1:36">
      <c r="A464" s="332">
        <f t="shared" si="21"/>
        <v>453</v>
      </c>
      <c r="G464" s="349" t="s">
        <v>813</v>
      </c>
      <c r="H464" s="350">
        <v>5000</v>
      </c>
      <c r="I464" s="350">
        <v>600</v>
      </c>
      <c r="J464" s="350">
        <v>3000</v>
      </c>
      <c r="K464" s="351">
        <f t="shared" ca="1" si="22"/>
        <v>40394</v>
      </c>
      <c r="L464" s="350" t="s">
        <v>362</v>
      </c>
      <c r="M464" s="50"/>
      <c r="N464" s="50"/>
      <c r="O464" s="352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339"/>
      <c r="AJ464" s="353">
        <f t="shared" si="23"/>
        <v>453</v>
      </c>
    </row>
    <row r="465" spans="1:36">
      <c r="A465" s="332">
        <f t="shared" ref="A465:A510" si="24">1+A464</f>
        <v>454</v>
      </c>
      <c r="G465" s="349" t="s">
        <v>814</v>
      </c>
      <c r="H465" s="350">
        <v>10000</v>
      </c>
      <c r="I465" s="350">
        <v>800</v>
      </c>
      <c r="J465" s="350">
        <v>11771</v>
      </c>
      <c r="K465" s="351">
        <f t="shared" ca="1" si="22"/>
        <v>40394</v>
      </c>
      <c r="L465" s="350" t="s">
        <v>359</v>
      </c>
      <c r="M465" s="50"/>
      <c r="N465" s="50"/>
      <c r="O465" s="352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339"/>
      <c r="AJ465" s="353">
        <f t="shared" si="23"/>
        <v>454</v>
      </c>
    </row>
    <row r="466" spans="1:36">
      <c r="A466" s="332">
        <f t="shared" si="24"/>
        <v>455</v>
      </c>
      <c r="G466" s="349" t="s">
        <v>815</v>
      </c>
      <c r="H466" s="350">
        <v>8000</v>
      </c>
      <c r="I466" s="350">
        <v>600</v>
      </c>
      <c r="J466" s="350">
        <v>17250</v>
      </c>
      <c r="K466" s="351">
        <f t="shared" ca="1" si="22"/>
        <v>40394</v>
      </c>
      <c r="L466" s="350" t="s">
        <v>362</v>
      </c>
      <c r="M466" s="50"/>
      <c r="N466" s="50"/>
      <c r="O466" s="352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339"/>
      <c r="AJ466" s="353">
        <f t="shared" si="23"/>
        <v>455</v>
      </c>
    </row>
    <row r="467" spans="1:36">
      <c r="A467" s="332">
        <f t="shared" si="24"/>
        <v>456</v>
      </c>
      <c r="G467" s="349" t="s">
        <v>816</v>
      </c>
      <c r="H467" s="350">
        <v>7000</v>
      </c>
      <c r="I467" s="350">
        <v>600</v>
      </c>
      <c r="J467" s="350">
        <v>14000</v>
      </c>
      <c r="K467" s="351">
        <f t="shared" ca="1" si="22"/>
        <v>40394</v>
      </c>
      <c r="L467" s="350" t="s">
        <v>362</v>
      </c>
      <c r="M467" s="50"/>
      <c r="N467" s="50"/>
      <c r="O467" s="352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339"/>
      <c r="AJ467" s="353">
        <f t="shared" si="23"/>
        <v>456</v>
      </c>
    </row>
    <row r="468" spans="1:36">
      <c r="A468" s="332">
        <f t="shared" si="24"/>
        <v>457</v>
      </c>
      <c r="G468" s="349" t="s">
        <v>817</v>
      </c>
      <c r="H468" s="350">
        <v>10000</v>
      </c>
      <c r="I468" s="350">
        <v>600</v>
      </c>
      <c r="J468" s="350">
        <v>7500</v>
      </c>
      <c r="K468" s="351">
        <f t="shared" ca="1" si="22"/>
        <v>40394</v>
      </c>
      <c r="L468" s="350" t="s">
        <v>362</v>
      </c>
      <c r="M468" s="50"/>
      <c r="N468" s="50"/>
      <c r="O468" s="352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339"/>
      <c r="AJ468" s="353">
        <f t="shared" si="23"/>
        <v>457</v>
      </c>
    </row>
    <row r="469" spans="1:36">
      <c r="A469" s="332">
        <f t="shared" si="24"/>
        <v>458</v>
      </c>
      <c r="G469" s="349" t="s">
        <v>818</v>
      </c>
      <c r="H469" s="350">
        <v>12000</v>
      </c>
      <c r="I469" s="350">
        <v>500</v>
      </c>
      <c r="J469" s="350">
        <v>13197</v>
      </c>
      <c r="K469" s="351">
        <f t="shared" ca="1" si="22"/>
        <v>40394</v>
      </c>
      <c r="L469" s="350" t="s">
        <v>359</v>
      </c>
      <c r="M469" s="50"/>
      <c r="N469" s="50"/>
      <c r="O469" s="352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339"/>
      <c r="AJ469" s="353">
        <f t="shared" si="23"/>
        <v>458</v>
      </c>
    </row>
    <row r="470" spans="1:36">
      <c r="A470" s="332">
        <f t="shared" si="24"/>
        <v>459</v>
      </c>
      <c r="G470" s="349" t="s">
        <v>819</v>
      </c>
      <c r="H470" s="350">
        <v>6000</v>
      </c>
      <c r="I470" s="350">
        <v>600</v>
      </c>
      <c r="J470" s="350">
        <v>24000</v>
      </c>
      <c r="K470" s="351">
        <f t="shared" ca="1" si="22"/>
        <v>40394</v>
      </c>
      <c r="L470" s="350" t="s">
        <v>362</v>
      </c>
      <c r="M470" s="50"/>
      <c r="N470" s="50"/>
      <c r="O470" s="352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339"/>
      <c r="AJ470" s="353">
        <f t="shared" si="23"/>
        <v>459</v>
      </c>
    </row>
    <row r="471" spans="1:36">
      <c r="A471" s="332">
        <f t="shared" si="24"/>
        <v>460</v>
      </c>
      <c r="G471" s="349" t="s">
        <v>820</v>
      </c>
      <c r="H471" s="350">
        <v>5000</v>
      </c>
      <c r="I471" s="350">
        <v>500</v>
      </c>
      <c r="J471" s="350">
        <v>10400</v>
      </c>
      <c r="K471" s="351">
        <f t="shared" ca="1" si="22"/>
        <v>40394</v>
      </c>
      <c r="L471" s="350" t="s">
        <v>362</v>
      </c>
      <c r="M471" s="50"/>
      <c r="N471" s="50"/>
      <c r="O471" s="352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339"/>
      <c r="AJ471" s="353">
        <f t="shared" si="23"/>
        <v>460</v>
      </c>
    </row>
    <row r="472" spans="1:36">
      <c r="A472" s="332">
        <f t="shared" si="24"/>
        <v>461</v>
      </c>
      <c r="G472" s="349" t="s">
        <v>821</v>
      </c>
      <c r="H472" s="350">
        <v>5000</v>
      </c>
      <c r="I472" s="350">
        <v>600</v>
      </c>
      <c r="J472" s="350">
        <v>4650</v>
      </c>
      <c r="K472" s="351">
        <f t="shared" ca="1" si="22"/>
        <v>40394</v>
      </c>
      <c r="L472" s="350" t="s">
        <v>362</v>
      </c>
      <c r="M472" s="50"/>
      <c r="N472" s="50"/>
      <c r="O472" s="352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339"/>
      <c r="AJ472" s="353">
        <f t="shared" si="23"/>
        <v>461</v>
      </c>
    </row>
    <row r="473" spans="1:36">
      <c r="A473" s="332">
        <f t="shared" si="24"/>
        <v>462</v>
      </c>
      <c r="G473" s="349" t="s">
        <v>822</v>
      </c>
      <c r="H473" s="350">
        <v>5000</v>
      </c>
      <c r="I473" s="350">
        <v>600</v>
      </c>
      <c r="J473" s="350">
        <v>12400</v>
      </c>
      <c r="K473" s="351">
        <f t="shared" ca="1" si="22"/>
        <v>40394</v>
      </c>
      <c r="L473" s="350" t="s">
        <v>362</v>
      </c>
      <c r="M473" s="50"/>
      <c r="N473" s="50"/>
      <c r="O473" s="352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339"/>
      <c r="AJ473" s="353">
        <f t="shared" si="23"/>
        <v>462</v>
      </c>
    </row>
    <row r="474" spans="1:36">
      <c r="A474" s="332">
        <f t="shared" si="24"/>
        <v>463</v>
      </c>
      <c r="G474" s="349" t="s">
        <v>823</v>
      </c>
      <c r="H474" s="350">
        <v>8000</v>
      </c>
      <c r="I474" s="350">
        <v>700</v>
      </c>
      <c r="J474" s="350">
        <v>11200</v>
      </c>
      <c r="K474" s="351">
        <f t="shared" ca="1" si="22"/>
        <v>40394</v>
      </c>
      <c r="L474" s="350" t="s">
        <v>359</v>
      </c>
      <c r="M474" s="50"/>
      <c r="N474" s="50"/>
      <c r="O474" s="352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339"/>
      <c r="AJ474" s="353">
        <f t="shared" si="23"/>
        <v>463</v>
      </c>
    </row>
    <row r="475" spans="1:36">
      <c r="A475" s="332">
        <f t="shared" si="24"/>
        <v>464</v>
      </c>
      <c r="G475" s="349" t="s">
        <v>824</v>
      </c>
      <c r="H475" s="350">
        <v>8000</v>
      </c>
      <c r="I475" s="350">
        <v>600</v>
      </c>
      <c r="J475" s="350">
        <v>19300</v>
      </c>
      <c r="K475" s="351">
        <f t="shared" ca="1" si="22"/>
        <v>40394</v>
      </c>
      <c r="L475" s="350" t="s">
        <v>362</v>
      </c>
      <c r="M475" s="50"/>
      <c r="N475" s="50"/>
      <c r="O475" s="352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339"/>
      <c r="AJ475" s="353">
        <f t="shared" si="23"/>
        <v>464</v>
      </c>
    </row>
    <row r="476" spans="1:36">
      <c r="A476" s="332">
        <f t="shared" si="24"/>
        <v>465</v>
      </c>
      <c r="G476" s="349" t="s">
        <v>825</v>
      </c>
      <c r="H476" s="350">
        <v>10000</v>
      </c>
      <c r="I476" s="350">
        <v>600</v>
      </c>
      <c r="J476" s="350">
        <v>12200</v>
      </c>
      <c r="K476" s="351">
        <f t="shared" ca="1" si="22"/>
        <v>40394</v>
      </c>
      <c r="L476" s="350" t="s">
        <v>362</v>
      </c>
      <c r="M476" s="50"/>
      <c r="N476" s="50"/>
      <c r="O476" s="352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339"/>
      <c r="AJ476" s="353">
        <f t="shared" si="23"/>
        <v>465</v>
      </c>
    </row>
    <row r="477" spans="1:36">
      <c r="A477" s="332">
        <f t="shared" si="24"/>
        <v>466</v>
      </c>
      <c r="G477" s="349" t="s">
        <v>826</v>
      </c>
      <c r="H477" s="350">
        <v>13000</v>
      </c>
      <c r="I477" s="350">
        <v>600</v>
      </c>
      <c r="J477" s="350">
        <v>5100</v>
      </c>
      <c r="K477" s="351">
        <f t="shared" ca="1" si="22"/>
        <v>40394</v>
      </c>
      <c r="L477" s="350" t="s">
        <v>362</v>
      </c>
      <c r="M477" s="50"/>
      <c r="N477" s="50"/>
      <c r="O477" s="352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339"/>
      <c r="AJ477" s="353">
        <f t="shared" si="23"/>
        <v>466</v>
      </c>
    </row>
    <row r="478" spans="1:36">
      <c r="A478" s="332">
        <f t="shared" si="24"/>
        <v>467</v>
      </c>
      <c r="G478" s="349" t="s">
        <v>827</v>
      </c>
      <c r="H478" s="350">
        <v>6000</v>
      </c>
      <c r="I478" s="350">
        <v>600</v>
      </c>
      <c r="J478" s="350">
        <v>5550</v>
      </c>
      <c r="K478" s="351">
        <f t="shared" ca="1" si="22"/>
        <v>40394</v>
      </c>
      <c r="L478" s="350" t="s">
        <v>362</v>
      </c>
      <c r="M478" s="50"/>
      <c r="N478" s="50"/>
      <c r="O478" s="352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339"/>
      <c r="AJ478" s="353">
        <f t="shared" si="23"/>
        <v>467</v>
      </c>
    </row>
    <row r="479" spans="1:36">
      <c r="A479" s="332">
        <f t="shared" si="24"/>
        <v>468</v>
      </c>
      <c r="G479" s="349" t="s">
        <v>828</v>
      </c>
      <c r="H479" s="350">
        <v>5000</v>
      </c>
      <c r="I479" s="350">
        <v>600</v>
      </c>
      <c r="J479" s="350">
        <v>26000</v>
      </c>
      <c r="K479" s="351">
        <f t="shared" ca="1" si="22"/>
        <v>40394</v>
      </c>
      <c r="L479" s="350" t="s">
        <v>362</v>
      </c>
      <c r="M479" s="50"/>
      <c r="N479" s="50"/>
      <c r="O479" s="352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339"/>
      <c r="AJ479" s="353">
        <f t="shared" si="23"/>
        <v>468</v>
      </c>
    </row>
    <row r="480" spans="1:36">
      <c r="A480" s="332">
        <f t="shared" si="24"/>
        <v>469</v>
      </c>
      <c r="G480" s="349" t="s">
        <v>829</v>
      </c>
      <c r="H480" s="350">
        <v>18000</v>
      </c>
      <c r="I480" s="350">
        <v>500</v>
      </c>
      <c r="J480" s="350">
        <v>20500</v>
      </c>
      <c r="K480" s="351">
        <f t="shared" ca="1" si="22"/>
        <v>40394</v>
      </c>
      <c r="L480" s="350" t="s">
        <v>359</v>
      </c>
      <c r="M480" s="50"/>
      <c r="N480" s="50"/>
      <c r="O480" s="352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339"/>
      <c r="AJ480" s="353">
        <f t="shared" si="23"/>
        <v>469</v>
      </c>
    </row>
    <row r="481" spans="1:36">
      <c r="A481" s="332">
        <f t="shared" si="24"/>
        <v>470</v>
      </c>
      <c r="G481" s="349" t="s">
        <v>830</v>
      </c>
      <c r="H481" s="350">
        <v>8000</v>
      </c>
      <c r="I481" s="350">
        <v>600</v>
      </c>
      <c r="J481" s="350">
        <v>17800</v>
      </c>
      <c r="K481" s="351">
        <f t="shared" ca="1" si="22"/>
        <v>40394</v>
      </c>
      <c r="L481" s="350" t="s">
        <v>362</v>
      </c>
      <c r="M481" s="50"/>
      <c r="N481" s="50"/>
      <c r="O481" s="352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339"/>
      <c r="AJ481" s="353">
        <f t="shared" si="23"/>
        <v>470</v>
      </c>
    </row>
    <row r="482" spans="1:36">
      <c r="A482" s="332">
        <f t="shared" si="24"/>
        <v>471</v>
      </c>
      <c r="G482" s="349" t="s">
        <v>831</v>
      </c>
      <c r="H482" s="350">
        <v>5000</v>
      </c>
      <c r="I482" s="350">
        <v>600</v>
      </c>
      <c r="J482" s="350">
        <v>6200</v>
      </c>
      <c r="K482" s="351">
        <f t="shared" ca="1" si="22"/>
        <v>40394</v>
      </c>
      <c r="L482" s="350" t="s">
        <v>362</v>
      </c>
      <c r="M482" s="50"/>
      <c r="N482" s="50"/>
      <c r="O482" s="352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339"/>
      <c r="AJ482" s="353">
        <f t="shared" si="23"/>
        <v>471</v>
      </c>
    </row>
    <row r="483" spans="1:36">
      <c r="A483" s="332">
        <f t="shared" si="24"/>
        <v>472</v>
      </c>
      <c r="G483" s="349" t="s">
        <v>832</v>
      </c>
      <c r="H483" s="350">
        <v>5000</v>
      </c>
      <c r="I483" s="350">
        <v>500</v>
      </c>
      <c r="J483" s="350">
        <v>6000</v>
      </c>
      <c r="K483" s="351">
        <f t="shared" ca="1" si="22"/>
        <v>40394</v>
      </c>
      <c r="L483" s="350" t="s">
        <v>362</v>
      </c>
      <c r="M483" s="50"/>
      <c r="N483" s="50"/>
      <c r="O483" s="352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339"/>
      <c r="AJ483" s="353">
        <f t="shared" si="23"/>
        <v>472</v>
      </c>
    </row>
    <row r="484" spans="1:36">
      <c r="A484" s="332">
        <f t="shared" si="24"/>
        <v>473</v>
      </c>
      <c r="G484" s="349" t="s">
        <v>833</v>
      </c>
      <c r="H484" s="350">
        <v>7500</v>
      </c>
      <c r="I484" s="350">
        <v>600</v>
      </c>
      <c r="J484" s="350">
        <v>20000</v>
      </c>
      <c r="K484" s="351">
        <f t="shared" ca="1" si="22"/>
        <v>40394</v>
      </c>
      <c r="L484" s="350" t="s">
        <v>362</v>
      </c>
      <c r="M484" s="50"/>
      <c r="N484" s="50"/>
      <c r="O484" s="352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339"/>
      <c r="AJ484" s="353">
        <f t="shared" si="23"/>
        <v>473</v>
      </c>
    </row>
    <row r="485" spans="1:36">
      <c r="A485" s="332">
        <f t="shared" si="24"/>
        <v>474</v>
      </c>
      <c r="G485" s="349" t="s">
        <v>834</v>
      </c>
      <c r="H485" s="350">
        <v>10000</v>
      </c>
      <c r="I485" s="350">
        <v>600</v>
      </c>
      <c r="J485" s="350">
        <v>5500</v>
      </c>
      <c r="K485" s="351">
        <f t="shared" ca="1" si="22"/>
        <v>40394</v>
      </c>
      <c r="L485" s="350" t="s">
        <v>362</v>
      </c>
      <c r="M485" s="50"/>
      <c r="N485" s="50"/>
      <c r="O485" s="352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339"/>
      <c r="AJ485" s="353">
        <f t="shared" si="23"/>
        <v>474</v>
      </c>
    </row>
    <row r="486" spans="1:36">
      <c r="A486" s="332">
        <f t="shared" si="24"/>
        <v>475</v>
      </c>
      <c r="G486" s="349" t="s">
        <v>835</v>
      </c>
      <c r="H486" s="350">
        <v>10000</v>
      </c>
      <c r="I486" s="350">
        <v>500</v>
      </c>
      <c r="J486" s="350">
        <v>8000</v>
      </c>
      <c r="K486" s="351">
        <f t="shared" ca="1" si="22"/>
        <v>40394</v>
      </c>
      <c r="L486" s="350" t="s">
        <v>362</v>
      </c>
      <c r="M486" s="50"/>
      <c r="N486" s="50"/>
      <c r="O486" s="352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339"/>
      <c r="AJ486" s="353">
        <f t="shared" si="23"/>
        <v>475</v>
      </c>
    </row>
    <row r="487" spans="1:36">
      <c r="A487" s="332">
        <f t="shared" si="24"/>
        <v>476</v>
      </c>
      <c r="G487" s="349" t="s">
        <v>836</v>
      </c>
      <c r="H487" s="350">
        <v>5000</v>
      </c>
      <c r="I487" s="350">
        <v>500</v>
      </c>
      <c r="J487" s="350">
        <v>6250</v>
      </c>
      <c r="K487" s="351">
        <f t="shared" ca="1" si="22"/>
        <v>40394</v>
      </c>
      <c r="L487" s="350" t="s">
        <v>362</v>
      </c>
      <c r="M487" s="50"/>
      <c r="N487" s="50"/>
      <c r="O487" s="352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339"/>
      <c r="AJ487" s="353">
        <f t="shared" si="23"/>
        <v>476</v>
      </c>
    </row>
    <row r="488" spans="1:36">
      <c r="A488" s="332">
        <f t="shared" si="24"/>
        <v>477</v>
      </c>
      <c r="G488" s="349" t="s">
        <v>837</v>
      </c>
      <c r="H488" s="350">
        <v>5000</v>
      </c>
      <c r="I488" s="350">
        <v>500</v>
      </c>
      <c r="J488" s="350">
        <v>13500</v>
      </c>
      <c r="K488" s="351">
        <f t="shared" ca="1" si="22"/>
        <v>40394</v>
      </c>
      <c r="L488" s="350" t="s">
        <v>359</v>
      </c>
      <c r="M488" s="50"/>
      <c r="N488" s="50"/>
      <c r="O488" s="352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339"/>
      <c r="AJ488" s="353">
        <f t="shared" si="23"/>
        <v>477</v>
      </c>
    </row>
    <row r="489" spans="1:36">
      <c r="A489" s="332">
        <f t="shared" si="24"/>
        <v>478</v>
      </c>
      <c r="G489" s="349" t="s">
        <v>838</v>
      </c>
      <c r="H489" s="350">
        <v>12000</v>
      </c>
      <c r="I489" s="350">
        <v>700</v>
      </c>
      <c r="J489" s="350">
        <v>23500</v>
      </c>
      <c r="K489" s="351">
        <f t="shared" ca="1" si="22"/>
        <v>40394</v>
      </c>
      <c r="L489" s="350" t="s">
        <v>359</v>
      </c>
      <c r="M489" s="50"/>
      <c r="N489" s="50"/>
      <c r="O489" s="352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339"/>
      <c r="AJ489" s="353">
        <f t="shared" si="23"/>
        <v>478</v>
      </c>
    </row>
    <row r="490" spans="1:36">
      <c r="A490" s="332">
        <f t="shared" si="24"/>
        <v>479</v>
      </c>
      <c r="G490" s="349" t="s">
        <v>839</v>
      </c>
      <c r="H490" s="350">
        <v>10000</v>
      </c>
      <c r="I490" s="350">
        <v>600</v>
      </c>
      <c r="J490" s="350">
        <v>30650</v>
      </c>
      <c r="K490" s="351">
        <f t="shared" ca="1" si="22"/>
        <v>40394</v>
      </c>
      <c r="L490" s="350" t="s">
        <v>362</v>
      </c>
      <c r="M490" s="50"/>
      <c r="N490" s="50"/>
      <c r="O490" s="352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339"/>
      <c r="AJ490" s="353">
        <f t="shared" si="23"/>
        <v>479</v>
      </c>
    </row>
    <row r="491" spans="1:36">
      <c r="A491" s="332">
        <f t="shared" si="24"/>
        <v>480</v>
      </c>
      <c r="G491" s="349" t="s">
        <v>840</v>
      </c>
      <c r="H491" s="350">
        <v>5000</v>
      </c>
      <c r="I491" s="350">
        <v>500</v>
      </c>
      <c r="J491" s="350">
        <v>34500</v>
      </c>
      <c r="K491" s="351">
        <f t="shared" ca="1" si="22"/>
        <v>40394</v>
      </c>
      <c r="L491" s="350" t="s">
        <v>359</v>
      </c>
      <c r="M491" s="50"/>
      <c r="N491" s="50"/>
      <c r="O491" s="352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339"/>
      <c r="AJ491" s="353">
        <f t="shared" si="23"/>
        <v>480</v>
      </c>
    </row>
    <row r="492" spans="1:36">
      <c r="A492" s="332">
        <f t="shared" si="24"/>
        <v>481</v>
      </c>
      <c r="G492" s="349" t="s">
        <v>841</v>
      </c>
      <c r="H492" s="350">
        <v>8000</v>
      </c>
      <c r="I492" s="350">
        <v>700</v>
      </c>
      <c r="J492" s="350">
        <v>3800</v>
      </c>
      <c r="K492" s="351">
        <f t="shared" ca="1" si="22"/>
        <v>40394</v>
      </c>
      <c r="L492" s="350" t="s">
        <v>362</v>
      </c>
      <c r="M492" s="50"/>
      <c r="N492" s="50"/>
      <c r="O492" s="352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339"/>
      <c r="AJ492" s="353">
        <f t="shared" si="23"/>
        <v>481</v>
      </c>
    </row>
    <row r="493" spans="1:36">
      <c r="A493" s="332">
        <f t="shared" si="24"/>
        <v>482</v>
      </c>
      <c r="G493" s="349" t="s">
        <v>842</v>
      </c>
      <c r="H493" s="350">
        <v>8000</v>
      </c>
      <c r="I493" s="350">
        <v>600</v>
      </c>
      <c r="J493" s="350">
        <v>29400</v>
      </c>
      <c r="K493" s="351">
        <f t="shared" ca="1" si="22"/>
        <v>40394</v>
      </c>
      <c r="L493" s="350" t="s">
        <v>359</v>
      </c>
      <c r="M493" s="50"/>
      <c r="N493" s="50"/>
      <c r="O493" s="352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339"/>
      <c r="AJ493" s="353">
        <f t="shared" si="23"/>
        <v>482</v>
      </c>
    </row>
    <row r="494" spans="1:36">
      <c r="A494" s="332">
        <f t="shared" si="24"/>
        <v>483</v>
      </c>
      <c r="G494" s="349" t="s">
        <v>843</v>
      </c>
      <c r="H494" s="350">
        <v>7000</v>
      </c>
      <c r="I494" s="350">
        <v>1000</v>
      </c>
      <c r="J494" s="350">
        <v>15000</v>
      </c>
      <c r="K494" s="351">
        <f t="shared" ca="1" si="22"/>
        <v>40394</v>
      </c>
      <c r="L494" s="350" t="s">
        <v>359</v>
      </c>
      <c r="M494" s="50"/>
      <c r="N494" s="50"/>
      <c r="O494" s="352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339"/>
      <c r="AJ494" s="353">
        <f t="shared" si="23"/>
        <v>483</v>
      </c>
    </row>
    <row r="495" spans="1:36">
      <c r="A495" s="332">
        <f t="shared" si="24"/>
        <v>484</v>
      </c>
      <c r="G495" s="349" t="s">
        <v>844</v>
      </c>
      <c r="H495" s="350">
        <v>13155</v>
      </c>
      <c r="I495" s="350">
        <v>500</v>
      </c>
      <c r="J495" s="350">
        <v>13000</v>
      </c>
      <c r="K495" s="351">
        <f t="shared" ca="1" si="22"/>
        <v>40394</v>
      </c>
      <c r="L495" s="350" t="s">
        <v>359</v>
      </c>
      <c r="M495" s="50"/>
      <c r="N495" s="50"/>
      <c r="O495" s="352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339"/>
      <c r="AJ495" s="353">
        <f t="shared" si="23"/>
        <v>484</v>
      </c>
    </row>
    <row r="496" spans="1:36">
      <c r="A496" s="332">
        <f t="shared" si="24"/>
        <v>485</v>
      </c>
      <c r="G496" s="349" t="s">
        <v>845</v>
      </c>
      <c r="H496" s="350">
        <v>5000</v>
      </c>
      <c r="I496" s="350">
        <v>600</v>
      </c>
      <c r="J496" s="350">
        <v>6000</v>
      </c>
      <c r="K496" s="351">
        <f t="shared" ca="1" si="22"/>
        <v>40394</v>
      </c>
      <c r="L496" s="350" t="s">
        <v>362</v>
      </c>
      <c r="M496" s="50"/>
      <c r="N496" s="50"/>
      <c r="O496" s="352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339"/>
      <c r="AJ496" s="353">
        <f t="shared" si="23"/>
        <v>485</v>
      </c>
    </row>
    <row r="497" spans="1:36">
      <c r="A497" s="332">
        <f t="shared" si="24"/>
        <v>486</v>
      </c>
      <c r="G497" s="349" t="s">
        <v>846</v>
      </c>
      <c r="H497" s="350">
        <v>14000</v>
      </c>
      <c r="I497" s="350">
        <v>500</v>
      </c>
      <c r="J497" s="350">
        <v>12825</v>
      </c>
      <c r="K497" s="351">
        <f t="shared" ca="1" si="22"/>
        <v>40394</v>
      </c>
      <c r="L497" s="350" t="s">
        <v>362</v>
      </c>
      <c r="M497" s="50"/>
      <c r="N497" s="50"/>
      <c r="O497" s="352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339"/>
      <c r="AJ497" s="353">
        <f t="shared" si="23"/>
        <v>486</v>
      </c>
    </row>
    <row r="498" spans="1:36">
      <c r="A498" s="332">
        <f t="shared" si="24"/>
        <v>487</v>
      </c>
      <c r="G498" s="349" t="s">
        <v>847</v>
      </c>
      <c r="H498" s="350">
        <v>5000</v>
      </c>
      <c r="I498" s="350">
        <v>500</v>
      </c>
      <c r="J498" s="350">
        <v>3500</v>
      </c>
      <c r="K498" s="351">
        <f t="shared" ca="1" si="22"/>
        <v>40394</v>
      </c>
      <c r="L498" s="350" t="s">
        <v>359</v>
      </c>
      <c r="M498" s="50"/>
      <c r="N498" s="50"/>
      <c r="O498" s="352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339"/>
      <c r="AJ498" s="353">
        <f t="shared" si="23"/>
        <v>487</v>
      </c>
    </row>
    <row r="499" spans="1:36">
      <c r="A499" s="332">
        <f t="shared" si="24"/>
        <v>488</v>
      </c>
      <c r="G499" s="349" t="s">
        <v>848</v>
      </c>
      <c r="H499" s="350">
        <v>10000</v>
      </c>
      <c r="I499" s="350">
        <v>500</v>
      </c>
      <c r="J499" s="350">
        <v>48000</v>
      </c>
      <c r="K499" s="351">
        <f t="shared" ca="1" si="22"/>
        <v>40394</v>
      </c>
      <c r="L499" s="350" t="s">
        <v>359</v>
      </c>
      <c r="M499" s="50"/>
      <c r="N499" s="50"/>
      <c r="O499" s="352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339"/>
      <c r="AJ499" s="353">
        <f t="shared" si="23"/>
        <v>488</v>
      </c>
    </row>
    <row r="500" spans="1:36">
      <c r="A500" s="332">
        <f t="shared" si="24"/>
        <v>489</v>
      </c>
      <c r="G500" s="349" t="s">
        <v>849</v>
      </c>
      <c r="H500" s="350">
        <v>5000</v>
      </c>
      <c r="I500" s="350">
        <v>700</v>
      </c>
      <c r="J500" s="350">
        <v>3500</v>
      </c>
      <c r="K500" s="351">
        <f t="shared" ca="1" si="22"/>
        <v>40394</v>
      </c>
      <c r="L500" s="350" t="s">
        <v>359</v>
      </c>
      <c r="M500" s="50"/>
      <c r="N500" s="50"/>
      <c r="O500" s="352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339"/>
      <c r="AJ500" s="353">
        <f t="shared" si="23"/>
        <v>489</v>
      </c>
    </row>
    <row r="501" spans="1:36">
      <c r="A501" s="332">
        <f t="shared" si="24"/>
        <v>490</v>
      </c>
      <c r="G501" s="349" t="s">
        <v>850</v>
      </c>
      <c r="H501" s="350">
        <v>10000</v>
      </c>
      <c r="I501" s="350">
        <v>500</v>
      </c>
      <c r="J501" s="350">
        <v>9300</v>
      </c>
      <c r="K501" s="351">
        <f t="shared" ca="1" si="22"/>
        <v>40394</v>
      </c>
      <c r="L501" s="350" t="s">
        <v>359</v>
      </c>
      <c r="M501" s="50"/>
      <c r="N501" s="50"/>
      <c r="O501" s="352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339"/>
      <c r="AJ501" s="353">
        <f t="shared" si="23"/>
        <v>490</v>
      </c>
    </row>
    <row r="502" spans="1:36">
      <c r="A502" s="332">
        <f t="shared" si="24"/>
        <v>491</v>
      </c>
      <c r="G502" s="349" t="s">
        <v>851</v>
      </c>
      <c r="H502" s="350">
        <v>5000</v>
      </c>
      <c r="I502" s="350">
        <v>1000</v>
      </c>
      <c r="J502" s="350">
        <v>28000</v>
      </c>
      <c r="K502" s="351">
        <f t="shared" ca="1" si="22"/>
        <v>40394</v>
      </c>
      <c r="L502" s="350" t="s">
        <v>359</v>
      </c>
      <c r="M502" s="50"/>
      <c r="N502" s="50"/>
      <c r="O502" s="352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339"/>
      <c r="AJ502" s="353">
        <f t="shared" si="23"/>
        <v>491</v>
      </c>
    </row>
    <row r="503" spans="1:36">
      <c r="A503" s="332">
        <f t="shared" si="24"/>
        <v>492</v>
      </c>
      <c r="G503" s="349" t="s">
        <v>852</v>
      </c>
      <c r="H503" s="350">
        <v>5000</v>
      </c>
      <c r="I503" s="350">
        <v>500</v>
      </c>
      <c r="J503" s="350">
        <v>26500</v>
      </c>
      <c r="K503" s="351">
        <f t="shared" ca="1" si="22"/>
        <v>40394</v>
      </c>
      <c r="L503" s="350" t="s">
        <v>359</v>
      </c>
      <c r="M503" s="50"/>
      <c r="N503" s="50"/>
      <c r="O503" s="352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339"/>
      <c r="AJ503" s="353">
        <f t="shared" si="23"/>
        <v>492</v>
      </c>
    </row>
    <row r="504" spans="1:36">
      <c r="A504" s="332">
        <f t="shared" si="24"/>
        <v>493</v>
      </c>
      <c r="G504" s="349" t="s">
        <v>853</v>
      </c>
      <c r="H504" s="350">
        <v>10000</v>
      </c>
      <c r="I504" s="350">
        <v>600</v>
      </c>
      <c r="J504" s="350">
        <v>9450</v>
      </c>
      <c r="K504" s="351">
        <f t="shared" ca="1" si="22"/>
        <v>40394</v>
      </c>
      <c r="L504" s="350" t="s">
        <v>359</v>
      </c>
      <c r="M504" s="50"/>
      <c r="N504" s="50"/>
      <c r="O504" s="352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339"/>
      <c r="AJ504" s="353">
        <f t="shared" si="23"/>
        <v>493</v>
      </c>
    </row>
    <row r="505" spans="1:36">
      <c r="A505" s="332">
        <f t="shared" si="24"/>
        <v>494</v>
      </c>
      <c r="G505" s="349" t="s">
        <v>854</v>
      </c>
      <c r="H505" s="350">
        <v>8000</v>
      </c>
      <c r="I505" s="350">
        <v>1000</v>
      </c>
      <c r="J505" s="350">
        <v>20900</v>
      </c>
      <c r="K505" s="351">
        <f t="shared" ca="1" si="22"/>
        <v>40394</v>
      </c>
      <c r="L505" s="350" t="s">
        <v>359</v>
      </c>
      <c r="M505" s="50"/>
      <c r="N505" s="50"/>
      <c r="O505" s="352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339"/>
      <c r="AJ505" s="353">
        <f t="shared" si="23"/>
        <v>494</v>
      </c>
    </row>
    <row r="506" spans="1:36">
      <c r="A506" s="332">
        <f t="shared" si="24"/>
        <v>495</v>
      </c>
      <c r="G506" s="349" t="s">
        <v>855</v>
      </c>
      <c r="H506" s="350">
        <v>9000</v>
      </c>
      <c r="I506" s="350">
        <v>800</v>
      </c>
      <c r="J506" s="350">
        <v>10000</v>
      </c>
      <c r="K506" s="351">
        <f t="shared" ca="1" si="22"/>
        <v>40394</v>
      </c>
      <c r="L506" s="350" t="s">
        <v>359</v>
      </c>
      <c r="M506" s="50"/>
      <c r="N506" s="50"/>
      <c r="O506" s="352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339"/>
      <c r="AJ506" s="353">
        <f t="shared" si="23"/>
        <v>495</v>
      </c>
    </row>
    <row r="507" spans="1:36">
      <c r="A507" s="332">
        <f t="shared" si="24"/>
        <v>496</v>
      </c>
      <c r="G507" s="349" t="s">
        <v>856</v>
      </c>
      <c r="H507" s="350">
        <v>10000</v>
      </c>
      <c r="I507" s="350">
        <v>500</v>
      </c>
      <c r="J507" s="350">
        <v>23790</v>
      </c>
      <c r="K507" s="351">
        <f t="shared" ca="1" si="22"/>
        <v>40394</v>
      </c>
      <c r="L507" s="350" t="s">
        <v>359</v>
      </c>
      <c r="M507" s="50"/>
      <c r="N507" s="50"/>
      <c r="O507" s="352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339"/>
      <c r="AJ507" s="353">
        <f t="shared" si="23"/>
        <v>496</v>
      </c>
    </row>
    <row r="508" spans="1:36">
      <c r="A508" s="332">
        <f t="shared" si="24"/>
        <v>497</v>
      </c>
      <c r="G508" s="349" t="s">
        <v>857</v>
      </c>
      <c r="H508" s="350">
        <v>10000</v>
      </c>
      <c r="I508" s="350">
        <v>500</v>
      </c>
      <c r="J508" s="350">
        <v>19400</v>
      </c>
      <c r="K508" s="351">
        <f t="shared" ca="1" si="22"/>
        <v>40394</v>
      </c>
      <c r="L508" s="350" t="s">
        <v>359</v>
      </c>
      <c r="M508" s="50"/>
      <c r="N508" s="50"/>
      <c r="O508" s="352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339"/>
      <c r="AJ508" s="353">
        <f t="shared" si="23"/>
        <v>497</v>
      </c>
    </row>
    <row r="509" spans="1:36">
      <c r="A509" s="332">
        <f t="shared" si="24"/>
        <v>498</v>
      </c>
      <c r="G509" s="349" t="s">
        <v>858</v>
      </c>
      <c r="H509" s="350">
        <v>5000</v>
      </c>
      <c r="I509" s="350">
        <v>600</v>
      </c>
      <c r="J509" s="350">
        <v>2900</v>
      </c>
      <c r="K509" s="351">
        <f t="shared" ca="1" si="22"/>
        <v>40394</v>
      </c>
      <c r="L509" s="350" t="s">
        <v>362</v>
      </c>
      <c r="M509" s="50"/>
      <c r="N509" s="50"/>
      <c r="O509" s="352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339"/>
      <c r="AJ509" s="353">
        <f t="shared" si="23"/>
        <v>498</v>
      </c>
    </row>
    <row r="510" spans="1:36">
      <c r="A510" s="332">
        <f t="shared" si="24"/>
        <v>499</v>
      </c>
      <c r="G510" s="360" t="s">
        <v>859</v>
      </c>
      <c r="H510" s="361">
        <v>5000</v>
      </c>
      <c r="I510" s="361">
        <v>500</v>
      </c>
      <c r="J510" s="361">
        <v>21490</v>
      </c>
      <c r="K510" s="351">
        <f t="shared" ca="1" si="22"/>
        <v>40394</v>
      </c>
      <c r="L510" s="361" t="s">
        <v>359</v>
      </c>
      <c r="M510" s="319"/>
      <c r="N510" s="319"/>
      <c r="O510" s="362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  <c r="AA510" s="319"/>
      <c r="AB510" s="319"/>
      <c r="AC510" s="319"/>
      <c r="AD510" s="319"/>
      <c r="AE510" s="319"/>
      <c r="AF510" s="342"/>
      <c r="AJ510" s="353">
        <f t="shared" si="23"/>
        <v>499</v>
      </c>
    </row>
    <row r="514" spans="1:36">
      <c r="G514" s="333" t="str">
        <f>LE_DECLARE_DATA("Driver1", "Driver",G516:T1015)</f>
        <v>Declared data instance DRIVER1 of type DRIVER</v>
      </c>
    </row>
    <row r="515" spans="1:36">
      <c r="G515" s="334" t="s">
        <v>353</v>
      </c>
      <c r="H515" s="326"/>
      <c r="I515" s="326"/>
      <c r="J515" s="326"/>
      <c r="K515" s="326"/>
      <c r="L515" s="326"/>
      <c r="M515" s="326"/>
      <c r="N515" s="326"/>
      <c r="O515" s="326"/>
      <c r="P515" s="326"/>
      <c r="Q515" s="326"/>
      <c r="R515" s="326"/>
      <c r="S515" s="326"/>
      <c r="T515" s="326"/>
      <c r="U515" s="326"/>
      <c r="V515" s="326"/>
      <c r="W515" s="326"/>
      <c r="X515" s="326"/>
      <c r="Y515" s="326"/>
      <c r="Z515" s="326"/>
      <c r="AA515" s="326"/>
      <c r="AB515" s="326"/>
      <c r="AC515" s="326"/>
      <c r="AD515" s="326"/>
      <c r="AE515" s="326"/>
      <c r="AF515" s="335"/>
    </row>
    <row r="516" spans="1:36" s="343" customFormat="1" ht="22.5">
      <c r="A516" s="363"/>
      <c r="B516" s="907" t="s">
        <v>354</v>
      </c>
      <c r="C516" s="907"/>
      <c r="D516"/>
      <c r="E516"/>
      <c r="G516" s="344" t="s">
        <v>3063</v>
      </c>
      <c r="H516" s="345" t="s">
        <v>329</v>
      </c>
      <c r="I516" s="345" t="s">
        <v>330</v>
      </c>
      <c r="J516" s="345" t="s">
        <v>3083</v>
      </c>
      <c r="K516" s="345" t="s">
        <v>331</v>
      </c>
      <c r="L516" s="345" t="s">
        <v>3064</v>
      </c>
      <c r="M516" s="345" t="s">
        <v>3065</v>
      </c>
      <c r="N516" s="345" t="s">
        <v>3066</v>
      </c>
      <c r="O516" s="345" t="s">
        <v>3067</v>
      </c>
      <c r="P516" s="345" t="s">
        <v>332</v>
      </c>
      <c r="Q516" s="345" t="s">
        <v>333</v>
      </c>
      <c r="R516" s="345" t="s">
        <v>334</v>
      </c>
      <c r="S516" s="345" t="s">
        <v>3068</v>
      </c>
      <c r="T516" s="345" t="s">
        <v>335</v>
      </c>
      <c r="U516" s="345"/>
      <c r="V516" s="345"/>
      <c r="W516" s="345"/>
      <c r="X516" s="345"/>
      <c r="Y516" s="345"/>
      <c r="Z516" s="345"/>
      <c r="AA516" s="345"/>
      <c r="AB516" s="345"/>
      <c r="AC516" s="345"/>
      <c r="AD516" s="345"/>
      <c r="AE516" s="345"/>
      <c r="AF516" s="364"/>
      <c r="AJ516"/>
    </row>
    <row r="517" spans="1:36">
      <c r="A517" s="332">
        <v>1</v>
      </c>
      <c r="B517" s="346"/>
      <c r="C517" s="347" t="s">
        <v>860</v>
      </c>
      <c r="D517" s="348" t="str">
        <f>IF(B517&lt;&gt;"",B517,C517)</f>
        <v>AU0041-09-213</v>
      </c>
      <c r="E517" s="348"/>
      <c r="F517" s="365"/>
      <c r="G517" s="366" t="s">
        <v>861</v>
      </c>
      <c r="H517" s="367">
        <v>23375</v>
      </c>
      <c r="I517" s="351" t="s">
        <v>862</v>
      </c>
      <c r="J517" s="350" t="s">
        <v>863</v>
      </c>
      <c r="K517" s="350">
        <f>INT(('Run Time Parameters'!$E$5-'Data Sample'!H517)/365.25)</f>
        <v>45</v>
      </c>
      <c r="L517" s="368">
        <v>1982</v>
      </c>
      <c r="M517" s="368">
        <v>0</v>
      </c>
      <c r="N517" s="350" t="s">
        <v>864</v>
      </c>
      <c r="O517" s="368">
        <v>0</v>
      </c>
      <c r="P517" s="368">
        <v>0</v>
      </c>
      <c r="Q517" s="367">
        <v>23375</v>
      </c>
      <c r="R517" s="368" t="s">
        <v>862</v>
      </c>
      <c r="S517" s="368" t="s">
        <v>863</v>
      </c>
      <c r="T517" s="350">
        <f>INT(('Run Time Parameters'!$E$5-'Data Sample'!Q517)/365.25)</f>
        <v>45</v>
      </c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339"/>
      <c r="AJ517" s="353">
        <v>1</v>
      </c>
    </row>
    <row r="518" spans="1:36">
      <c r="A518" s="332">
        <f>A517+1</f>
        <v>2</v>
      </c>
      <c r="B518" s="908" t="s">
        <v>84</v>
      </c>
      <c r="C518" s="915"/>
      <c r="D518" s="354" t="e">
        <f>PGENDER(D517)</f>
        <v>#REF!</v>
      </c>
      <c r="E518" s="355"/>
      <c r="F518" s="365"/>
      <c r="G518" s="366" t="s">
        <v>865</v>
      </c>
      <c r="H518" s="367">
        <v>21549</v>
      </c>
      <c r="I518" s="351" t="s">
        <v>862</v>
      </c>
      <c r="J518" s="350" t="s">
        <v>866</v>
      </c>
      <c r="K518" s="350">
        <f>INT(('Run Time Parameters'!$E$5-'Data Sample'!H518)/365.25)</f>
        <v>50</v>
      </c>
      <c r="L518" s="368">
        <v>1975</v>
      </c>
      <c r="M518" s="368">
        <v>1</v>
      </c>
      <c r="N518" s="350" t="s">
        <v>867</v>
      </c>
      <c r="O518" s="368">
        <v>0</v>
      </c>
      <c r="P518" s="368">
        <v>0</v>
      </c>
      <c r="Q518" s="367">
        <v>21549</v>
      </c>
      <c r="R518" s="368" t="s">
        <v>862</v>
      </c>
      <c r="S518" s="368" t="s">
        <v>866</v>
      </c>
      <c r="T518" s="350">
        <f>INT(('Run Time Parameters'!$E$5-'Data Sample'!Q518)/365.25)</f>
        <v>50</v>
      </c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339"/>
      <c r="AJ518" s="353">
        <f>AJ517+1</f>
        <v>2</v>
      </c>
    </row>
    <row r="519" spans="1:36">
      <c r="A519" s="332">
        <f t="shared" ref="A519:A520" si="25">A518+1</f>
        <v>3</v>
      </c>
      <c r="B519" s="903" t="s">
        <v>868</v>
      </c>
      <c r="C519" s="904"/>
      <c r="D519" s="356" t="e">
        <f>P_DOB(D517)</f>
        <v>#REF!</v>
      </c>
      <c r="E519" s="357"/>
      <c r="F519" s="365"/>
      <c r="G519" s="366" t="s">
        <v>869</v>
      </c>
      <c r="H519" s="367">
        <v>19647.041666666668</v>
      </c>
      <c r="I519" s="351" t="s">
        <v>870</v>
      </c>
      <c r="J519" s="350" t="s">
        <v>863</v>
      </c>
      <c r="K519" s="350">
        <f>INT(('Run Time Parameters'!$E$5-'Data Sample'!H519)/365.25)</f>
        <v>56</v>
      </c>
      <c r="L519" s="368">
        <v>2000</v>
      </c>
      <c r="M519" s="368">
        <v>0</v>
      </c>
      <c r="N519" s="350" t="s">
        <v>864</v>
      </c>
      <c r="O519" s="368">
        <v>0</v>
      </c>
      <c r="P519" s="368">
        <v>0</v>
      </c>
      <c r="Q519" s="367">
        <v>20636</v>
      </c>
      <c r="R519" s="368" t="s">
        <v>862</v>
      </c>
      <c r="S519" s="368" t="s">
        <v>863</v>
      </c>
      <c r="T519" s="350">
        <f>INT(('Run Time Parameters'!$E$5-'Data Sample'!Q519)/365.25)</f>
        <v>53</v>
      </c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339"/>
      <c r="AJ519" s="353">
        <f t="shared" ref="AJ519:AJ582" si="26">AJ518+1</f>
        <v>3</v>
      </c>
    </row>
    <row r="520" spans="1:36">
      <c r="A520" s="332">
        <f t="shared" si="25"/>
        <v>4</v>
      </c>
      <c r="B520" s="905" t="s">
        <v>871</v>
      </c>
      <c r="C520" s="906"/>
      <c r="D520" s="358" t="e">
        <f>PYEAR_LICENCE_OBTAINED(D517)</f>
        <v>#REF!</v>
      </c>
      <c r="E520" s="355"/>
      <c r="F520" s="365"/>
      <c r="G520" s="366" t="s">
        <v>872</v>
      </c>
      <c r="H520" s="367">
        <v>20636</v>
      </c>
      <c r="I520" s="351" t="s">
        <v>862</v>
      </c>
      <c r="J520" s="350" t="s">
        <v>863</v>
      </c>
      <c r="K520" s="350">
        <f>INT(('Run Time Parameters'!$E$5-'Data Sample'!H520)/365.25)</f>
        <v>53</v>
      </c>
      <c r="L520" s="368">
        <v>2000</v>
      </c>
      <c r="M520" s="368">
        <v>1</v>
      </c>
      <c r="N520" s="350" t="s">
        <v>864</v>
      </c>
      <c r="O520" s="368">
        <v>0</v>
      </c>
      <c r="P520" s="368">
        <v>0</v>
      </c>
      <c r="Q520" s="367">
        <v>20636</v>
      </c>
      <c r="R520" s="368" t="s">
        <v>862</v>
      </c>
      <c r="S520" s="368" t="s">
        <v>863</v>
      </c>
      <c r="T520" s="350">
        <f>INT(('Run Time Parameters'!$E$5-'Data Sample'!Q520)/365.25)</f>
        <v>53</v>
      </c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339"/>
      <c r="AJ520" s="353">
        <f t="shared" si="26"/>
        <v>4</v>
      </c>
    </row>
    <row r="521" spans="1:36">
      <c r="A521" s="332">
        <f>1+A520</f>
        <v>5</v>
      </c>
      <c r="F521" s="365"/>
      <c r="G521" s="366" t="s">
        <v>860</v>
      </c>
      <c r="H521" s="367">
        <v>26301</v>
      </c>
      <c r="I521" s="351" t="s">
        <v>870</v>
      </c>
      <c r="J521" s="350" t="s">
        <v>863</v>
      </c>
      <c r="K521" s="350">
        <f>INT(('Run Time Parameters'!$E$5-'Data Sample'!H521)/365.25)</f>
        <v>37</v>
      </c>
      <c r="L521" s="368">
        <v>1990</v>
      </c>
      <c r="M521" s="368">
        <v>0</v>
      </c>
      <c r="N521" s="350" t="s">
        <v>864</v>
      </c>
      <c r="O521" s="368">
        <v>0</v>
      </c>
      <c r="P521" s="368">
        <v>0</v>
      </c>
      <c r="Q521" s="367">
        <v>26301</v>
      </c>
      <c r="R521" s="368" t="s">
        <v>870</v>
      </c>
      <c r="S521" s="368" t="s">
        <v>863</v>
      </c>
      <c r="T521" s="350">
        <f>INT(('Run Time Parameters'!$E$5-'Data Sample'!Q521)/365.25)</f>
        <v>37</v>
      </c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339"/>
      <c r="AJ521" s="353">
        <f t="shared" si="26"/>
        <v>5</v>
      </c>
    </row>
    <row r="522" spans="1:36">
      <c r="A522" s="332">
        <f t="shared" ref="A522:A585" si="27">1+A521</f>
        <v>6</v>
      </c>
      <c r="F522" s="365"/>
      <c r="G522" s="366" t="s">
        <v>873</v>
      </c>
      <c r="H522" s="367">
        <v>30400.041666666668</v>
      </c>
      <c r="I522" s="351" t="s">
        <v>862</v>
      </c>
      <c r="J522" s="350" t="s">
        <v>874</v>
      </c>
      <c r="K522" s="350">
        <f>INT(('Run Time Parameters'!$E$5-'Data Sample'!H522)/365.25)</f>
        <v>26</v>
      </c>
      <c r="L522" s="368">
        <v>2000</v>
      </c>
      <c r="M522" s="368">
        <v>0</v>
      </c>
      <c r="N522" s="350" t="s">
        <v>867</v>
      </c>
      <c r="O522" s="368">
        <v>0</v>
      </c>
      <c r="P522" s="368">
        <v>0</v>
      </c>
      <c r="Q522" s="367">
        <v>30400.041666666668</v>
      </c>
      <c r="R522" s="368" t="s">
        <v>862</v>
      </c>
      <c r="S522" s="368" t="s">
        <v>874</v>
      </c>
      <c r="T522" s="350">
        <f>INT(('Run Time Parameters'!$E$5-'Data Sample'!Q522)/365.25)</f>
        <v>26</v>
      </c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339"/>
      <c r="AJ522" s="353">
        <f t="shared" si="26"/>
        <v>6</v>
      </c>
    </row>
    <row r="523" spans="1:36">
      <c r="A523" s="332">
        <f t="shared" si="27"/>
        <v>7</v>
      </c>
      <c r="F523" s="365"/>
      <c r="G523" s="366" t="s">
        <v>875</v>
      </c>
      <c r="H523" s="367">
        <v>25426</v>
      </c>
      <c r="I523" s="351" t="s">
        <v>862</v>
      </c>
      <c r="J523" s="350" t="s">
        <v>866</v>
      </c>
      <c r="K523" s="350">
        <f>INT(('Run Time Parameters'!$E$5-'Data Sample'!H523)/365.25)</f>
        <v>40</v>
      </c>
      <c r="L523" s="368">
        <v>1996</v>
      </c>
      <c r="M523" s="368">
        <v>1</v>
      </c>
      <c r="N523" s="350" t="s">
        <v>867</v>
      </c>
      <c r="O523" s="368">
        <v>0</v>
      </c>
      <c r="P523" s="368">
        <v>0</v>
      </c>
      <c r="Q523" s="367">
        <v>25426</v>
      </c>
      <c r="R523" s="368" t="s">
        <v>862</v>
      </c>
      <c r="S523" s="368" t="s">
        <v>866</v>
      </c>
      <c r="T523" s="350">
        <f>INT(('Run Time Parameters'!$E$5-'Data Sample'!Q523)/365.25)</f>
        <v>40</v>
      </c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339"/>
      <c r="AJ523" s="353">
        <f t="shared" si="26"/>
        <v>7</v>
      </c>
    </row>
    <row r="524" spans="1:36">
      <c r="A524" s="332">
        <f t="shared" si="27"/>
        <v>8</v>
      </c>
      <c r="F524" s="365"/>
      <c r="G524" s="366" t="s">
        <v>876</v>
      </c>
      <c r="H524" s="367">
        <v>27784</v>
      </c>
      <c r="I524" s="351" t="s">
        <v>870</v>
      </c>
      <c r="J524" s="350" t="s">
        <v>866</v>
      </c>
      <c r="K524" s="350">
        <f>INT(('Run Time Parameters'!$E$5-'Data Sample'!H524)/365.25)</f>
        <v>33</v>
      </c>
      <c r="L524" s="368">
        <v>1993</v>
      </c>
      <c r="M524" s="368">
        <v>0</v>
      </c>
      <c r="N524" s="350" t="s">
        <v>867</v>
      </c>
      <c r="O524" s="368">
        <v>0</v>
      </c>
      <c r="P524" s="368">
        <v>0</v>
      </c>
      <c r="Q524" s="367">
        <v>27784</v>
      </c>
      <c r="R524" s="368" t="s">
        <v>870</v>
      </c>
      <c r="S524" s="368" t="s">
        <v>866</v>
      </c>
      <c r="T524" s="350">
        <f>INT(('Run Time Parameters'!$E$5-'Data Sample'!Q524)/365.25)</f>
        <v>33</v>
      </c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339"/>
      <c r="AJ524" s="353">
        <f t="shared" si="26"/>
        <v>8</v>
      </c>
    </row>
    <row r="525" spans="1:36">
      <c r="A525" s="332">
        <f t="shared" si="27"/>
        <v>9</v>
      </c>
      <c r="F525" s="365"/>
      <c r="G525" s="366" t="s">
        <v>877</v>
      </c>
      <c r="H525" s="367">
        <v>27721</v>
      </c>
      <c r="I525" s="351" t="s">
        <v>870</v>
      </c>
      <c r="J525" s="350" t="s">
        <v>874</v>
      </c>
      <c r="K525" s="350">
        <f>INT(('Run Time Parameters'!$E$5-'Data Sample'!H525)/365.25)</f>
        <v>33</v>
      </c>
      <c r="L525" s="368">
        <v>1995</v>
      </c>
      <c r="M525" s="368">
        <v>0</v>
      </c>
      <c r="N525" s="350" t="s">
        <v>864</v>
      </c>
      <c r="O525" s="368">
        <v>0</v>
      </c>
      <c r="P525" s="368">
        <v>0</v>
      </c>
      <c r="Q525" s="367">
        <v>29850</v>
      </c>
      <c r="R525" s="368" t="s">
        <v>862</v>
      </c>
      <c r="S525" s="368" t="s">
        <v>874</v>
      </c>
      <c r="T525" s="350">
        <f>INT(('Run Time Parameters'!$E$5-'Data Sample'!Q525)/365.25)</f>
        <v>28</v>
      </c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339"/>
      <c r="AJ525" s="353">
        <f t="shared" si="26"/>
        <v>9</v>
      </c>
    </row>
    <row r="526" spans="1:36">
      <c r="A526" s="332">
        <f t="shared" si="27"/>
        <v>10</v>
      </c>
      <c r="F526" s="365"/>
      <c r="G526" s="366" t="s">
        <v>878</v>
      </c>
      <c r="H526" s="367">
        <v>24189.041666666668</v>
      </c>
      <c r="I526" s="351" t="s">
        <v>862</v>
      </c>
      <c r="J526" s="350" t="s">
        <v>863</v>
      </c>
      <c r="K526" s="350">
        <f>INT(('Run Time Parameters'!$E$5-'Data Sample'!H526)/365.25)</f>
        <v>43</v>
      </c>
      <c r="L526" s="368">
        <v>1986</v>
      </c>
      <c r="M526" s="368">
        <v>1</v>
      </c>
      <c r="N526" s="350" t="s">
        <v>867</v>
      </c>
      <c r="O526" s="368">
        <v>0</v>
      </c>
      <c r="P526" s="368">
        <v>0</v>
      </c>
      <c r="Q526" s="367">
        <v>24638</v>
      </c>
      <c r="R526" s="368" t="s">
        <v>870</v>
      </c>
      <c r="S526" s="368" t="s">
        <v>863</v>
      </c>
      <c r="T526" s="350">
        <f>INT(('Run Time Parameters'!$E$5-'Data Sample'!Q526)/365.25)</f>
        <v>42</v>
      </c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339"/>
      <c r="AJ526" s="353">
        <f t="shared" si="26"/>
        <v>10</v>
      </c>
    </row>
    <row r="527" spans="1:36">
      <c r="A527" s="332">
        <f t="shared" si="27"/>
        <v>11</v>
      </c>
      <c r="F527" s="365"/>
      <c r="G527" s="366" t="s">
        <v>879</v>
      </c>
      <c r="H527" s="367">
        <v>24729</v>
      </c>
      <c r="I527" s="351" t="s">
        <v>862</v>
      </c>
      <c r="J527" s="350" t="s">
        <v>863</v>
      </c>
      <c r="K527" s="350">
        <f>INT(('Run Time Parameters'!$E$5-'Data Sample'!H527)/365.25)</f>
        <v>42</v>
      </c>
      <c r="L527" s="368">
        <v>1985</v>
      </c>
      <c r="M527" s="368">
        <v>0</v>
      </c>
      <c r="N527" s="350" t="s">
        <v>867</v>
      </c>
      <c r="O527" s="368">
        <v>0</v>
      </c>
      <c r="P527" s="368">
        <v>0</v>
      </c>
      <c r="Q527" s="367">
        <v>24729</v>
      </c>
      <c r="R527" s="368" t="s">
        <v>862</v>
      </c>
      <c r="S527" s="368" t="s">
        <v>863</v>
      </c>
      <c r="T527" s="350">
        <f>INT(('Run Time Parameters'!$E$5-'Data Sample'!Q527)/365.25)</f>
        <v>42</v>
      </c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339"/>
      <c r="AJ527" s="353">
        <f t="shared" si="26"/>
        <v>11</v>
      </c>
    </row>
    <row r="528" spans="1:36">
      <c r="A528" s="332">
        <f t="shared" si="27"/>
        <v>12</v>
      </c>
      <c r="F528" s="365"/>
      <c r="G528" s="366" t="s">
        <v>880</v>
      </c>
      <c r="H528" s="367">
        <v>23809.041666666668</v>
      </c>
      <c r="I528" s="351" t="s">
        <v>870</v>
      </c>
      <c r="J528" s="350" t="s">
        <v>863</v>
      </c>
      <c r="K528" s="350">
        <f>INT(('Run Time Parameters'!$E$5-'Data Sample'!H528)/365.25)</f>
        <v>44</v>
      </c>
      <c r="L528" s="368">
        <v>1997</v>
      </c>
      <c r="M528" s="368">
        <v>0</v>
      </c>
      <c r="N528" s="350" t="s">
        <v>864</v>
      </c>
      <c r="O528" s="368">
        <v>0</v>
      </c>
      <c r="P528" s="368">
        <v>0</v>
      </c>
      <c r="Q528" s="367">
        <v>26201</v>
      </c>
      <c r="R528" s="368" t="s">
        <v>862</v>
      </c>
      <c r="S528" s="368" t="s">
        <v>863</v>
      </c>
      <c r="T528" s="350">
        <f>INT(('Run Time Parameters'!$E$5-'Data Sample'!Q528)/365.25)</f>
        <v>38</v>
      </c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339"/>
      <c r="AJ528" s="353">
        <f t="shared" si="26"/>
        <v>12</v>
      </c>
    </row>
    <row r="529" spans="1:36">
      <c r="A529" s="332">
        <f t="shared" si="27"/>
        <v>13</v>
      </c>
      <c r="F529" s="365"/>
      <c r="G529" s="366" t="s">
        <v>881</v>
      </c>
      <c r="H529" s="367">
        <v>26201</v>
      </c>
      <c r="I529" s="351" t="s">
        <v>862</v>
      </c>
      <c r="J529" s="350" t="s">
        <v>863</v>
      </c>
      <c r="K529" s="350">
        <f>INT(('Run Time Parameters'!$E$5-'Data Sample'!H529)/365.25)</f>
        <v>38</v>
      </c>
      <c r="L529" s="368">
        <v>1988</v>
      </c>
      <c r="M529" s="368">
        <v>0</v>
      </c>
      <c r="N529" s="350" t="s">
        <v>867</v>
      </c>
      <c r="O529" s="368">
        <v>0</v>
      </c>
      <c r="P529" s="368">
        <v>0</v>
      </c>
      <c r="Q529" s="367">
        <v>26201</v>
      </c>
      <c r="R529" s="368" t="s">
        <v>862</v>
      </c>
      <c r="S529" s="368" t="s">
        <v>863</v>
      </c>
      <c r="T529" s="350">
        <f>INT(('Run Time Parameters'!$E$5-'Data Sample'!Q529)/365.25)</f>
        <v>38</v>
      </c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339"/>
      <c r="AJ529" s="353">
        <f t="shared" si="26"/>
        <v>13</v>
      </c>
    </row>
    <row r="530" spans="1:36">
      <c r="A530" s="332">
        <f t="shared" si="27"/>
        <v>14</v>
      </c>
      <c r="F530" s="365"/>
      <c r="G530" s="366" t="s">
        <v>882</v>
      </c>
      <c r="H530" s="367">
        <v>23912</v>
      </c>
      <c r="I530" s="351" t="s">
        <v>862</v>
      </c>
      <c r="J530" s="350" t="s">
        <v>863</v>
      </c>
      <c r="K530" s="350">
        <f>INT(('Run Time Parameters'!$E$5-'Data Sample'!H530)/365.25)</f>
        <v>44</v>
      </c>
      <c r="L530" s="368">
        <v>2002</v>
      </c>
      <c r="M530" s="368">
        <v>0</v>
      </c>
      <c r="N530" s="350" t="s">
        <v>867</v>
      </c>
      <c r="O530" s="368">
        <v>0</v>
      </c>
      <c r="P530" s="368">
        <v>0</v>
      </c>
      <c r="Q530" s="367">
        <v>23912</v>
      </c>
      <c r="R530" s="368" t="s">
        <v>862</v>
      </c>
      <c r="S530" s="368" t="s">
        <v>863</v>
      </c>
      <c r="T530" s="350">
        <f>INT(('Run Time Parameters'!$E$5-'Data Sample'!Q530)/365.25)</f>
        <v>44</v>
      </c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339"/>
      <c r="AJ530" s="353">
        <f t="shared" si="26"/>
        <v>14</v>
      </c>
    </row>
    <row r="531" spans="1:36">
      <c r="A531" s="332">
        <f t="shared" si="27"/>
        <v>15</v>
      </c>
      <c r="F531" s="365"/>
      <c r="G531" s="366" t="s">
        <v>883</v>
      </c>
      <c r="H531" s="367">
        <v>28621</v>
      </c>
      <c r="I531" s="351" t="s">
        <v>862</v>
      </c>
      <c r="J531" s="350" t="s">
        <v>863</v>
      </c>
      <c r="K531" s="350">
        <f>INT(('Run Time Parameters'!$E$5-'Data Sample'!H531)/365.25)</f>
        <v>31</v>
      </c>
      <c r="L531" s="368">
        <v>1995</v>
      </c>
      <c r="M531" s="368">
        <v>0</v>
      </c>
      <c r="N531" s="350" t="s">
        <v>867</v>
      </c>
      <c r="O531" s="368">
        <v>0</v>
      </c>
      <c r="P531" s="368">
        <v>0</v>
      </c>
      <c r="Q531" s="367">
        <v>28621</v>
      </c>
      <c r="R531" s="368" t="s">
        <v>862</v>
      </c>
      <c r="S531" s="368" t="s">
        <v>863</v>
      </c>
      <c r="T531" s="350">
        <f>INT(('Run Time Parameters'!$E$5-'Data Sample'!Q531)/365.25)</f>
        <v>31</v>
      </c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339"/>
      <c r="AJ531" s="353">
        <f t="shared" si="26"/>
        <v>15</v>
      </c>
    </row>
    <row r="532" spans="1:36">
      <c r="A532" s="332">
        <f t="shared" si="27"/>
        <v>16</v>
      </c>
      <c r="F532" s="365"/>
      <c r="G532" s="366" t="s">
        <v>884</v>
      </c>
      <c r="H532" s="367">
        <v>30120</v>
      </c>
      <c r="I532" s="351" t="s">
        <v>870</v>
      </c>
      <c r="J532" s="350" t="s">
        <v>874</v>
      </c>
      <c r="K532" s="350">
        <f>INT(('Run Time Parameters'!$E$5-'Data Sample'!H532)/365.25)</f>
        <v>27</v>
      </c>
      <c r="L532" s="368">
        <v>2002</v>
      </c>
      <c r="M532" s="368">
        <v>0</v>
      </c>
      <c r="N532" s="350" t="s">
        <v>867</v>
      </c>
      <c r="O532" s="368">
        <v>0</v>
      </c>
      <c r="P532" s="368">
        <v>0</v>
      </c>
      <c r="Q532" s="367">
        <v>30460</v>
      </c>
      <c r="R532" s="368" t="s">
        <v>862</v>
      </c>
      <c r="S532" s="368" t="s">
        <v>874</v>
      </c>
      <c r="T532" s="350">
        <f>INT(('Run Time Parameters'!$E$5-'Data Sample'!Q532)/365.25)</f>
        <v>26</v>
      </c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339"/>
      <c r="AJ532" s="353">
        <f t="shared" si="26"/>
        <v>16</v>
      </c>
    </row>
    <row r="533" spans="1:36">
      <c r="A533" s="332">
        <f t="shared" si="27"/>
        <v>17</v>
      </c>
      <c r="F533" s="365"/>
      <c r="G533" s="366" t="s">
        <v>885</v>
      </c>
      <c r="H533" s="367">
        <v>20860.041666666668</v>
      </c>
      <c r="I533" s="351" t="s">
        <v>870</v>
      </c>
      <c r="J533" s="350" t="s">
        <v>863</v>
      </c>
      <c r="K533" s="350">
        <f>INT(('Run Time Parameters'!$E$5-'Data Sample'!H533)/365.25)</f>
        <v>52</v>
      </c>
      <c r="L533" s="368">
        <v>1974</v>
      </c>
      <c r="M533" s="368">
        <v>1</v>
      </c>
      <c r="N533" s="350" t="s">
        <v>864</v>
      </c>
      <c r="O533" s="368">
        <v>0</v>
      </c>
      <c r="P533" s="368">
        <v>0</v>
      </c>
      <c r="Q533" s="367">
        <v>20860.041666666668</v>
      </c>
      <c r="R533" s="368" t="s">
        <v>870</v>
      </c>
      <c r="S533" s="368" t="s">
        <v>863</v>
      </c>
      <c r="T533" s="350">
        <f>INT(('Run Time Parameters'!$E$5-'Data Sample'!Q533)/365.25)</f>
        <v>52</v>
      </c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339"/>
      <c r="AJ533" s="353">
        <f t="shared" si="26"/>
        <v>17</v>
      </c>
    </row>
    <row r="534" spans="1:36">
      <c r="A534" s="332">
        <f t="shared" si="27"/>
        <v>18</v>
      </c>
      <c r="F534" s="365"/>
      <c r="G534" s="366" t="s">
        <v>886</v>
      </c>
      <c r="H534" s="367">
        <v>20912.041666666668</v>
      </c>
      <c r="I534" s="351" t="s">
        <v>870</v>
      </c>
      <c r="J534" s="350" t="s">
        <v>887</v>
      </c>
      <c r="K534" s="350">
        <f>INT(('Run Time Parameters'!$E$5-'Data Sample'!H534)/365.25)</f>
        <v>52</v>
      </c>
      <c r="L534" s="368">
        <v>1975</v>
      </c>
      <c r="M534" s="368">
        <v>0</v>
      </c>
      <c r="N534" s="350" t="s">
        <v>867</v>
      </c>
      <c r="O534" s="368">
        <v>0</v>
      </c>
      <c r="P534" s="368">
        <v>0</v>
      </c>
      <c r="Q534" s="367">
        <v>20912.041666666668</v>
      </c>
      <c r="R534" s="368" t="s">
        <v>870</v>
      </c>
      <c r="S534" s="368" t="s">
        <v>887</v>
      </c>
      <c r="T534" s="350">
        <f>INT(('Run Time Parameters'!$E$5-'Data Sample'!Q534)/365.25)</f>
        <v>52</v>
      </c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339"/>
      <c r="AJ534" s="353">
        <f t="shared" si="26"/>
        <v>18</v>
      </c>
    </row>
    <row r="535" spans="1:36">
      <c r="A535" s="332">
        <f t="shared" si="27"/>
        <v>19</v>
      </c>
      <c r="F535" s="365"/>
      <c r="G535" s="366" t="s">
        <v>888</v>
      </c>
      <c r="H535" s="367">
        <v>26486</v>
      </c>
      <c r="I535" s="351" t="s">
        <v>870</v>
      </c>
      <c r="J535" s="350" t="s">
        <v>863</v>
      </c>
      <c r="K535" s="350">
        <f>INT(('Run Time Parameters'!$E$5-'Data Sample'!H535)/365.25)</f>
        <v>37</v>
      </c>
      <c r="L535" s="368">
        <v>1994</v>
      </c>
      <c r="M535" s="368">
        <v>0</v>
      </c>
      <c r="N535" s="350" t="s">
        <v>867</v>
      </c>
      <c r="O535" s="368">
        <v>0</v>
      </c>
      <c r="P535" s="368">
        <v>0</v>
      </c>
      <c r="Q535" s="367">
        <v>26486</v>
      </c>
      <c r="R535" s="368" t="s">
        <v>870</v>
      </c>
      <c r="S535" s="368" t="s">
        <v>863</v>
      </c>
      <c r="T535" s="350">
        <f>INT(('Run Time Parameters'!$E$5-'Data Sample'!Q535)/365.25)</f>
        <v>37</v>
      </c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339"/>
      <c r="AJ535" s="353">
        <f t="shared" si="26"/>
        <v>19</v>
      </c>
    </row>
    <row r="536" spans="1:36">
      <c r="A536" s="332">
        <f t="shared" si="27"/>
        <v>20</v>
      </c>
      <c r="F536" s="365"/>
      <c r="G536" s="366" t="s">
        <v>889</v>
      </c>
      <c r="H536" s="367">
        <v>22711.041666666668</v>
      </c>
      <c r="I536" s="351" t="s">
        <v>862</v>
      </c>
      <c r="J536" s="350" t="s">
        <v>863</v>
      </c>
      <c r="K536" s="350">
        <f>INT(('Run Time Parameters'!$E$5-'Data Sample'!H536)/365.25)</f>
        <v>47</v>
      </c>
      <c r="L536" s="368">
        <v>1981</v>
      </c>
      <c r="M536" s="368">
        <v>0</v>
      </c>
      <c r="N536" s="350" t="s">
        <v>867</v>
      </c>
      <c r="O536" s="368">
        <v>0</v>
      </c>
      <c r="P536" s="368">
        <v>0</v>
      </c>
      <c r="Q536" s="367">
        <v>22711.041666666668</v>
      </c>
      <c r="R536" s="368" t="s">
        <v>862</v>
      </c>
      <c r="S536" s="368" t="s">
        <v>863</v>
      </c>
      <c r="T536" s="350">
        <f>INT(('Run Time Parameters'!$E$5-'Data Sample'!Q536)/365.25)</f>
        <v>47</v>
      </c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339"/>
      <c r="AJ536" s="353">
        <f t="shared" si="26"/>
        <v>20</v>
      </c>
    </row>
    <row r="537" spans="1:36">
      <c r="A537" s="332">
        <f t="shared" si="27"/>
        <v>21</v>
      </c>
      <c r="F537" s="365"/>
      <c r="G537" s="366" t="s">
        <v>890</v>
      </c>
      <c r="H537" s="367">
        <v>27501</v>
      </c>
      <c r="I537" s="351" t="s">
        <v>870</v>
      </c>
      <c r="J537" s="350" t="s">
        <v>863</v>
      </c>
      <c r="K537" s="350">
        <f>INT(('Run Time Parameters'!$E$5-'Data Sample'!H537)/365.25)</f>
        <v>34</v>
      </c>
      <c r="L537" s="368">
        <v>2000</v>
      </c>
      <c r="M537" s="368">
        <v>0</v>
      </c>
      <c r="N537" s="350" t="s">
        <v>867</v>
      </c>
      <c r="O537" s="368">
        <v>0</v>
      </c>
      <c r="P537" s="368">
        <v>0</v>
      </c>
      <c r="Q537" s="367">
        <v>27501</v>
      </c>
      <c r="R537" s="368" t="s">
        <v>870</v>
      </c>
      <c r="S537" s="368" t="s">
        <v>863</v>
      </c>
      <c r="T537" s="350">
        <f>INT(('Run Time Parameters'!$E$5-'Data Sample'!Q537)/365.25)</f>
        <v>34</v>
      </c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339"/>
      <c r="AJ537" s="353">
        <f t="shared" si="26"/>
        <v>21</v>
      </c>
    </row>
    <row r="538" spans="1:36">
      <c r="A538" s="332">
        <f t="shared" si="27"/>
        <v>22</v>
      </c>
      <c r="F538" s="365"/>
      <c r="G538" s="366" t="s">
        <v>891</v>
      </c>
      <c r="H538" s="367">
        <v>19590</v>
      </c>
      <c r="I538" s="351" t="s">
        <v>862</v>
      </c>
      <c r="J538" s="350" t="s">
        <v>863</v>
      </c>
      <c r="K538" s="350">
        <f>INT(('Run Time Parameters'!$E$5-'Data Sample'!H538)/365.25)</f>
        <v>56</v>
      </c>
      <c r="L538" s="368">
        <v>1984</v>
      </c>
      <c r="M538" s="368">
        <v>0</v>
      </c>
      <c r="N538" s="350" t="s">
        <v>867</v>
      </c>
      <c r="O538" s="368">
        <v>0</v>
      </c>
      <c r="P538" s="368">
        <v>0</v>
      </c>
      <c r="Q538" s="367">
        <v>20335</v>
      </c>
      <c r="R538" s="368" t="s">
        <v>870</v>
      </c>
      <c r="S538" s="368" t="s">
        <v>863</v>
      </c>
      <c r="T538" s="350">
        <f>INT(('Run Time Parameters'!$E$5-'Data Sample'!Q538)/365.25)</f>
        <v>54</v>
      </c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339"/>
      <c r="AJ538" s="353">
        <f t="shared" si="26"/>
        <v>22</v>
      </c>
    </row>
    <row r="539" spans="1:36">
      <c r="A539" s="332">
        <f t="shared" si="27"/>
        <v>23</v>
      </c>
      <c r="F539" s="365"/>
      <c r="G539" s="366" t="s">
        <v>892</v>
      </c>
      <c r="H539" s="367">
        <v>26606</v>
      </c>
      <c r="I539" s="351" t="s">
        <v>862</v>
      </c>
      <c r="J539" s="350" t="s">
        <v>863</v>
      </c>
      <c r="K539" s="350">
        <f>INT(('Run Time Parameters'!$E$5-'Data Sample'!H539)/365.25)</f>
        <v>36</v>
      </c>
      <c r="L539" s="368">
        <v>1990</v>
      </c>
      <c r="M539" s="368">
        <v>0</v>
      </c>
      <c r="N539" s="350" t="s">
        <v>864</v>
      </c>
      <c r="O539" s="368">
        <v>0</v>
      </c>
      <c r="P539" s="368">
        <v>0</v>
      </c>
      <c r="Q539" s="367">
        <v>26606</v>
      </c>
      <c r="R539" s="368" t="s">
        <v>862</v>
      </c>
      <c r="S539" s="368" t="s">
        <v>863</v>
      </c>
      <c r="T539" s="350">
        <f>INT(('Run Time Parameters'!$E$5-'Data Sample'!Q539)/365.25)</f>
        <v>36</v>
      </c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339"/>
      <c r="AJ539" s="353">
        <f t="shared" si="26"/>
        <v>23</v>
      </c>
    </row>
    <row r="540" spans="1:36">
      <c r="A540" s="332">
        <f t="shared" si="27"/>
        <v>24</v>
      </c>
      <c r="F540" s="365"/>
      <c r="G540" s="366" t="s">
        <v>893</v>
      </c>
      <c r="H540" s="367">
        <v>29643</v>
      </c>
      <c r="I540" s="351" t="s">
        <v>862</v>
      </c>
      <c r="J540" s="350" t="s">
        <v>874</v>
      </c>
      <c r="K540" s="350">
        <f>INT(('Run Time Parameters'!$E$5-'Data Sample'!H540)/365.25)</f>
        <v>28</v>
      </c>
      <c r="L540" s="368">
        <v>1998</v>
      </c>
      <c r="M540" s="368">
        <v>0</v>
      </c>
      <c r="N540" s="350" t="s">
        <v>867</v>
      </c>
      <c r="O540" s="368">
        <v>0</v>
      </c>
      <c r="P540" s="368">
        <v>0</v>
      </c>
      <c r="Q540" s="367">
        <v>29643</v>
      </c>
      <c r="R540" s="368" t="s">
        <v>862</v>
      </c>
      <c r="S540" s="368" t="s">
        <v>874</v>
      </c>
      <c r="T540" s="350">
        <f>INT(('Run Time Parameters'!$E$5-'Data Sample'!Q540)/365.25)</f>
        <v>28</v>
      </c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339"/>
      <c r="AJ540" s="353">
        <f t="shared" si="26"/>
        <v>24</v>
      </c>
    </row>
    <row r="541" spans="1:36">
      <c r="A541" s="332">
        <f t="shared" si="27"/>
        <v>25</v>
      </c>
      <c r="F541" s="365"/>
      <c r="G541" s="366" t="s">
        <v>894</v>
      </c>
      <c r="H541" s="367">
        <v>27443</v>
      </c>
      <c r="I541" s="351" t="s">
        <v>870</v>
      </c>
      <c r="J541" s="350" t="s">
        <v>874</v>
      </c>
      <c r="K541" s="350">
        <f>INT(('Run Time Parameters'!$E$5-'Data Sample'!H541)/365.25)</f>
        <v>34</v>
      </c>
      <c r="L541" s="368">
        <v>1992</v>
      </c>
      <c r="M541" s="368">
        <v>0</v>
      </c>
      <c r="N541" s="350" t="s">
        <v>867</v>
      </c>
      <c r="O541" s="368">
        <v>0</v>
      </c>
      <c r="P541" s="368">
        <v>0</v>
      </c>
      <c r="Q541" s="367">
        <v>27524</v>
      </c>
      <c r="R541" s="368" t="s">
        <v>870</v>
      </c>
      <c r="S541" s="368" t="s">
        <v>874</v>
      </c>
      <c r="T541" s="350">
        <f>INT(('Run Time Parameters'!$E$5-'Data Sample'!Q541)/365.25)</f>
        <v>34</v>
      </c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339"/>
      <c r="AJ541" s="353">
        <f t="shared" si="26"/>
        <v>25</v>
      </c>
    </row>
    <row r="542" spans="1:36">
      <c r="A542" s="332">
        <f t="shared" si="27"/>
        <v>26</v>
      </c>
      <c r="F542" s="365"/>
      <c r="G542" s="366" t="s">
        <v>895</v>
      </c>
      <c r="H542" s="367">
        <v>21829.041666666668</v>
      </c>
      <c r="I542" s="351" t="s">
        <v>870</v>
      </c>
      <c r="J542" s="350" t="s">
        <v>863</v>
      </c>
      <c r="K542" s="350">
        <f>INT(('Run Time Parameters'!$E$5-'Data Sample'!H542)/365.25)</f>
        <v>50</v>
      </c>
      <c r="L542" s="368">
        <v>1977</v>
      </c>
      <c r="M542" s="368">
        <v>0</v>
      </c>
      <c r="N542" s="350" t="s">
        <v>867</v>
      </c>
      <c r="O542" s="368">
        <v>0</v>
      </c>
      <c r="P542" s="368">
        <v>0</v>
      </c>
      <c r="Q542" s="367">
        <v>21829.041666666668</v>
      </c>
      <c r="R542" s="368" t="s">
        <v>870</v>
      </c>
      <c r="S542" s="368" t="s">
        <v>863</v>
      </c>
      <c r="T542" s="350">
        <f>INT(('Run Time Parameters'!$E$5-'Data Sample'!Q542)/365.25)</f>
        <v>50</v>
      </c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339"/>
      <c r="AJ542" s="353">
        <f t="shared" si="26"/>
        <v>26</v>
      </c>
    </row>
    <row r="543" spans="1:36">
      <c r="A543" s="332">
        <f t="shared" si="27"/>
        <v>27</v>
      </c>
      <c r="F543" s="365"/>
      <c r="G543" s="366" t="s">
        <v>896</v>
      </c>
      <c r="H543" s="367">
        <v>26946.041666666668</v>
      </c>
      <c r="I543" s="351" t="s">
        <v>870</v>
      </c>
      <c r="J543" s="350" t="s">
        <v>866</v>
      </c>
      <c r="K543" s="350">
        <f>INT(('Run Time Parameters'!$E$5-'Data Sample'!H543)/365.25)</f>
        <v>36</v>
      </c>
      <c r="L543" s="368">
        <v>1991</v>
      </c>
      <c r="M543" s="368">
        <v>0</v>
      </c>
      <c r="N543" s="350" t="s">
        <v>867</v>
      </c>
      <c r="O543" s="368">
        <v>0</v>
      </c>
      <c r="P543" s="368">
        <v>0</v>
      </c>
      <c r="Q543" s="367">
        <v>26946.041666666668</v>
      </c>
      <c r="R543" s="368" t="s">
        <v>870</v>
      </c>
      <c r="S543" s="368" t="s">
        <v>866</v>
      </c>
      <c r="T543" s="350">
        <f>INT(('Run Time Parameters'!$E$5-'Data Sample'!Q543)/365.25)</f>
        <v>36</v>
      </c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339"/>
      <c r="AJ543" s="353">
        <f t="shared" si="26"/>
        <v>27</v>
      </c>
    </row>
    <row r="544" spans="1:36">
      <c r="A544" s="332">
        <f t="shared" si="27"/>
        <v>28</v>
      </c>
      <c r="F544" s="365"/>
      <c r="G544" s="366" t="s">
        <v>897</v>
      </c>
      <c r="H544" s="367">
        <v>25068</v>
      </c>
      <c r="I544" s="351" t="s">
        <v>870</v>
      </c>
      <c r="J544" s="350" t="s">
        <v>863</v>
      </c>
      <c r="K544" s="350">
        <f>INT(('Run Time Parameters'!$E$5-'Data Sample'!H544)/365.25)</f>
        <v>41</v>
      </c>
      <c r="L544" s="368">
        <v>1986</v>
      </c>
      <c r="M544" s="368">
        <v>0</v>
      </c>
      <c r="N544" s="350" t="s">
        <v>864</v>
      </c>
      <c r="O544" s="368">
        <v>0</v>
      </c>
      <c r="P544" s="368">
        <v>0</v>
      </c>
      <c r="Q544" s="367">
        <v>25787</v>
      </c>
      <c r="R544" s="368" t="s">
        <v>862</v>
      </c>
      <c r="S544" s="368" t="s">
        <v>863</v>
      </c>
      <c r="T544" s="350">
        <f>INT(('Run Time Parameters'!$E$5-'Data Sample'!Q544)/365.25)</f>
        <v>39</v>
      </c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339"/>
      <c r="AJ544" s="353">
        <f t="shared" si="26"/>
        <v>28</v>
      </c>
    </row>
    <row r="545" spans="1:36">
      <c r="A545" s="332">
        <f t="shared" si="27"/>
        <v>29</v>
      </c>
      <c r="F545" s="365"/>
      <c r="G545" s="366" t="s">
        <v>898</v>
      </c>
      <c r="H545" s="367">
        <v>28039.041666666668</v>
      </c>
      <c r="I545" s="351" t="s">
        <v>870</v>
      </c>
      <c r="J545" s="350" t="s">
        <v>874</v>
      </c>
      <c r="K545" s="350">
        <f>INT(('Run Time Parameters'!$E$5-'Data Sample'!H545)/365.25)</f>
        <v>33</v>
      </c>
      <c r="L545" s="368">
        <v>1993</v>
      </c>
      <c r="M545" s="368">
        <v>0</v>
      </c>
      <c r="N545" s="350" t="s">
        <v>867</v>
      </c>
      <c r="O545" s="368">
        <v>0</v>
      </c>
      <c r="P545" s="368">
        <v>0</v>
      </c>
      <c r="Q545" s="367">
        <v>28039.041666666668</v>
      </c>
      <c r="R545" s="368" t="s">
        <v>870</v>
      </c>
      <c r="S545" s="368" t="s">
        <v>874</v>
      </c>
      <c r="T545" s="350">
        <f>INT(('Run Time Parameters'!$E$5-'Data Sample'!Q545)/365.25)</f>
        <v>33</v>
      </c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339"/>
      <c r="AJ545" s="353">
        <f t="shared" si="26"/>
        <v>29</v>
      </c>
    </row>
    <row r="546" spans="1:36">
      <c r="A546" s="332">
        <f t="shared" si="27"/>
        <v>30</v>
      </c>
      <c r="F546" s="365"/>
      <c r="G546" s="366" t="s">
        <v>899</v>
      </c>
      <c r="H546" s="367">
        <v>28743</v>
      </c>
      <c r="I546" s="351" t="s">
        <v>870</v>
      </c>
      <c r="J546" s="350" t="s">
        <v>863</v>
      </c>
      <c r="K546" s="350">
        <f>INT(('Run Time Parameters'!$E$5-'Data Sample'!H546)/365.25)</f>
        <v>31</v>
      </c>
      <c r="L546" s="368">
        <v>1995</v>
      </c>
      <c r="M546" s="368">
        <v>0</v>
      </c>
      <c r="N546" s="350" t="s">
        <v>864</v>
      </c>
      <c r="O546" s="368">
        <v>0</v>
      </c>
      <c r="P546" s="368">
        <v>0</v>
      </c>
      <c r="Q546" s="367">
        <v>28911</v>
      </c>
      <c r="R546" s="368" t="s">
        <v>862</v>
      </c>
      <c r="S546" s="368" t="s">
        <v>863</v>
      </c>
      <c r="T546" s="350">
        <f>INT(('Run Time Parameters'!$E$5-'Data Sample'!Q546)/365.25)</f>
        <v>30</v>
      </c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339"/>
      <c r="AJ546" s="353">
        <f t="shared" si="26"/>
        <v>30</v>
      </c>
    </row>
    <row r="547" spans="1:36">
      <c r="A547" s="332">
        <f t="shared" si="27"/>
        <v>31</v>
      </c>
      <c r="F547" s="365"/>
      <c r="G547" s="366" t="s">
        <v>900</v>
      </c>
      <c r="H547" s="367">
        <v>26041</v>
      </c>
      <c r="I547" s="351" t="s">
        <v>862</v>
      </c>
      <c r="J547" s="350" t="s">
        <v>863</v>
      </c>
      <c r="K547" s="350">
        <f>INT(('Run Time Parameters'!$E$5-'Data Sample'!H547)/365.25)</f>
        <v>38</v>
      </c>
      <c r="L547" s="368">
        <v>1990</v>
      </c>
      <c r="M547" s="368">
        <v>0</v>
      </c>
      <c r="N547" s="350" t="s">
        <v>864</v>
      </c>
      <c r="O547" s="368">
        <v>0</v>
      </c>
      <c r="P547" s="368">
        <v>0</v>
      </c>
      <c r="Q547" s="367">
        <v>30378</v>
      </c>
      <c r="R547" s="368" t="s">
        <v>870</v>
      </c>
      <c r="S547" s="368" t="s">
        <v>863</v>
      </c>
      <c r="T547" s="350">
        <f>INT(('Run Time Parameters'!$E$5-'Data Sample'!Q547)/365.25)</f>
        <v>26</v>
      </c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339"/>
      <c r="AJ547" s="353">
        <f t="shared" si="26"/>
        <v>31</v>
      </c>
    </row>
    <row r="548" spans="1:36">
      <c r="A548" s="332">
        <f t="shared" si="27"/>
        <v>32</v>
      </c>
      <c r="F548" s="365"/>
      <c r="G548" s="366" t="s">
        <v>901</v>
      </c>
      <c r="H548" s="367">
        <v>28856</v>
      </c>
      <c r="I548" s="351" t="s">
        <v>870</v>
      </c>
      <c r="J548" s="350" t="s">
        <v>866</v>
      </c>
      <c r="K548" s="350">
        <f>INT(('Run Time Parameters'!$E$5-'Data Sample'!H548)/365.25)</f>
        <v>30</v>
      </c>
      <c r="L548" s="368">
        <v>1996</v>
      </c>
      <c r="M548" s="368">
        <v>0</v>
      </c>
      <c r="N548" s="350" t="s">
        <v>864</v>
      </c>
      <c r="O548" s="368">
        <v>0</v>
      </c>
      <c r="P548" s="368">
        <v>0</v>
      </c>
      <c r="Q548" s="367">
        <v>28856</v>
      </c>
      <c r="R548" s="368" t="s">
        <v>870</v>
      </c>
      <c r="S548" s="368" t="s">
        <v>866</v>
      </c>
      <c r="T548" s="350">
        <f>INT(('Run Time Parameters'!$E$5-'Data Sample'!Q548)/365.25)</f>
        <v>30</v>
      </c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339"/>
      <c r="AJ548" s="353">
        <f t="shared" si="26"/>
        <v>32</v>
      </c>
    </row>
    <row r="549" spans="1:36">
      <c r="A549" s="332">
        <f t="shared" si="27"/>
        <v>33</v>
      </c>
      <c r="F549" s="365"/>
      <c r="G549" s="366" t="s">
        <v>902</v>
      </c>
      <c r="H549" s="367">
        <v>28938.041666666668</v>
      </c>
      <c r="I549" s="351" t="s">
        <v>862</v>
      </c>
      <c r="J549" s="350" t="s">
        <v>866</v>
      </c>
      <c r="K549" s="350">
        <f>INT(('Run Time Parameters'!$E$5-'Data Sample'!H549)/365.25)</f>
        <v>30</v>
      </c>
      <c r="L549" s="368">
        <v>1996</v>
      </c>
      <c r="M549" s="368">
        <v>0</v>
      </c>
      <c r="N549" s="350" t="s">
        <v>867</v>
      </c>
      <c r="O549" s="368">
        <v>0</v>
      </c>
      <c r="P549" s="368">
        <v>0</v>
      </c>
      <c r="Q549" s="367">
        <v>28938.041666666668</v>
      </c>
      <c r="R549" s="368" t="s">
        <v>862</v>
      </c>
      <c r="S549" s="368" t="s">
        <v>866</v>
      </c>
      <c r="T549" s="350">
        <f>INT(('Run Time Parameters'!$E$5-'Data Sample'!Q549)/365.25)</f>
        <v>30</v>
      </c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339"/>
      <c r="AJ549" s="353">
        <f t="shared" si="26"/>
        <v>33</v>
      </c>
    </row>
    <row r="550" spans="1:36">
      <c r="A550" s="332">
        <f t="shared" si="27"/>
        <v>34</v>
      </c>
      <c r="F550" s="365"/>
      <c r="G550" s="366" t="s">
        <v>903</v>
      </c>
      <c r="H550" s="367">
        <v>27668</v>
      </c>
      <c r="I550" s="351" t="s">
        <v>870</v>
      </c>
      <c r="J550" s="350" t="s">
        <v>887</v>
      </c>
      <c r="K550" s="350">
        <f>INT(('Run Time Parameters'!$E$5-'Data Sample'!H550)/365.25)</f>
        <v>34</v>
      </c>
      <c r="L550" s="368">
        <v>1994</v>
      </c>
      <c r="M550" s="368">
        <v>0</v>
      </c>
      <c r="N550" s="350" t="s">
        <v>867</v>
      </c>
      <c r="O550" s="368">
        <v>0</v>
      </c>
      <c r="P550" s="368">
        <v>0</v>
      </c>
      <c r="Q550" s="367">
        <v>27668</v>
      </c>
      <c r="R550" s="368" t="s">
        <v>870</v>
      </c>
      <c r="S550" s="368" t="s">
        <v>887</v>
      </c>
      <c r="T550" s="350">
        <f>INT(('Run Time Parameters'!$E$5-'Data Sample'!Q550)/365.25)</f>
        <v>34</v>
      </c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339"/>
      <c r="AJ550" s="353">
        <f t="shared" si="26"/>
        <v>34</v>
      </c>
    </row>
    <row r="551" spans="1:36">
      <c r="A551" s="332">
        <f t="shared" si="27"/>
        <v>35</v>
      </c>
      <c r="F551" s="365"/>
      <c r="G551" s="366" t="s">
        <v>904</v>
      </c>
      <c r="H551" s="367">
        <v>27111.041666666668</v>
      </c>
      <c r="I551" s="351" t="s">
        <v>862</v>
      </c>
      <c r="J551" s="350" t="s">
        <v>866</v>
      </c>
      <c r="K551" s="350">
        <f>INT(('Run Time Parameters'!$E$5-'Data Sample'!H551)/365.25)</f>
        <v>35</v>
      </c>
      <c r="L551" s="368">
        <v>1991</v>
      </c>
      <c r="M551" s="368">
        <v>1</v>
      </c>
      <c r="N551" s="350" t="s">
        <v>867</v>
      </c>
      <c r="O551" s="368">
        <v>0</v>
      </c>
      <c r="P551" s="368">
        <v>0</v>
      </c>
      <c r="Q551" s="367">
        <v>27111.041666666668</v>
      </c>
      <c r="R551" s="368" t="s">
        <v>862</v>
      </c>
      <c r="S551" s="368" t="s">
        <v>866</v>
      </c>
      <c r="T551" s="350">
        <f>INT(('Run Time Parameters'!$E$5-'Data Sample'!Q551)/365.25)</f>
        <v>35</v>
      </c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339"/>
      <c r="AJ551" s="353">
        <f t="shared" si="26"/>
        <v>35</v>
      </c>
    </row>
    <row r="552" spans="1:36">
      <c r="A552" s="332">
        <f t="shared" si="27"/>
        <v>36</v>
      </c>
      <c r="F552" s="365"/>
      <c r="G552" s="366" t="s">
        <v>905</v>
      </c>
      <c r="H552" s="367">
        <v>25025</v>
      </c>
      <c r="I552" s="351" t="s">
        <v>862</v>
      </c>
      <c r="J552" s="350" t="s">
        <v>863</v>
      </c>
      <c r="K552" s="350">
        <f>INT(('Run Time Parameters'!$E$5-'Data Sample'!H552)/365.25)</f>
        <v>41</v>
      </c>
      <c r="L552" s="368">
        <v>1993</v>
      </c>
      <c r="M552" s="368">
        <v>1</v>
      </c>
      <c r="N552" s="350" t="s">
        <v>864</v>
      </c>
      <c r="O552" s="368">
        <v>0</v>
      </c>
      <c r="P552" s="368">
        <v>0</v>
      </c>
      <c r="Q552" s="367">
        <v>25025</v>
      </c>
      <c r="R552" s="368" t="s">
        <v>862</v>
      </c>
      <c r="S552" s="368" t="s">
        <v>863</v>
      </c>
      <c r="T552" s="350">
        <f>INT(('Run Time Parameters'!$E$5-'Data Sample'!Q552)/365.25)</f>
        <v>41</v>
      </c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339"/>
      <c r="AJ552" s="353">
        <f t="shared" si="26"/>
        <v>36</v>
      </c>
    </row>
    <row r="553" spans="1:36">
      <c r="A553" s="332">
        <f t="shared" si="27"/>
        <v>37</v>
      </c>
      <c r="F553" s="365"/>
      <c r="G553" s="366" t="s">
        <v>906</v>
      </c>
      <c r="H553" s="367">
        <v>27710</v>
      </c>
      <c r="I553" s="351" t="s">
        <v>862</v>
      </c>
      <c r="J553" s="350" t="s">
        <v>866</v>
      </c>
      <c r="K553" s="350">
        <f>INT(('Run Time Parameters'!$E$5-'Data Sample'!H553)/365.25)</f>
        <v>33</v>
      </c>
      <c r="L553" s="368">
        <v>1992</v>
      </c>
      <c r="M553" s="368">
        <v>1</v>
      </c>
      <c r="N553" s="350" t="s">
        <v>867</v>
      </c>
      <c r="O553" s="368">
        <v>0</v>
      </c>
      <c r="P553" s="368">
        <v>0</v>
      </c>
      <c r="Q553" s="367">
        <v>27710</v>
      </c>
      <c r="R553" s="368" t="s">
        <v>862</v>
      </c>
      <c r="S553" s="368" t="s">
        <v>866</v>
      </c>
      <c r="T553" s="350">
        <f>INT(('Run Time Parameters'!$E$5-'Data Sample'!Q553)/365.25)</f>
        <v>33</v>
      </c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339"/>
      <c r="AJ553" s="353">
        <f t="shared" si="26"/>
        <v>37</v>
      </c>
    </row>
    <row r="554" spans="1:36">
      <c r="A554" s="332">
        <f t="shared" si="27"/>
        <v>38</v>
      </c>
      <c r="F554" s="365"/>
      <c r="G554" s="366" t="s">
        <v>907</v>
      </c>
      <c r="H554" s="367">
        <v>24849.041666666668</v>
      </c>
      <c r="I554" s="351" t="s">
        <v>870</v>
      </c>
      <c r="J554" s="350" t="s">
        <v>863</v>
      </c>
      <c r="K554" s="350">
        <f>INT(('Run Time Parameters'!$E$5-'Data Sample'!H554)/365.25)</f>
        <v>41</v>
      </c>
      <c r="L554" s="368">
        <v>1985</v>
      </c>
      <c r="M554" s="368">
        <v>0</v>
      </c>
      <c r="N554" s="350" t="s">
        <v>864</v>
      </c>
      <c r="O554" s="368">
        <v>0</v>
      </c>
      <c r="P554" s="368">
        <v>0</v>
      </c>
      <c r="Q554" s="367">
        <v>24849.041666666668</v>
      </c>
      <c r="R554" s="368" t="s">
        <v>870</v>
      </c>
      <c r="S554" s="368" t="s">
        <v>863</v>
      </c>
      <c r="T554" s="350">
        <f>INT(('Run Time Parameters'!$E$5-'Data Sample'!Q554)/365.25)</f>
        <v>41</v>
      </c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339"/>
      <c r="AJ554" s="353">
        <f t="shared" si="26"/>
        <v>38</v>
      </c>
    </row>
    <row r="555" spans="1:36">
      <c r="A555" s="332">
        <f t="shared" si="27"/>
        <v>39</v>
      </c>
      <c r="F555" s="365"/>
      <c r="G555" s="366" t="s">
        <v>908</v>
      </c>
      <c r="H555" s="367">
        <v>20707</v>
      </c>
      <c r="I555" s="351" t="s">
        <v>862</v>
      </c>
      <c r="J555" s="350" t="s">
        <v>863</v>
      </c>
      <c r="K555" s="350">
        <f>INT(('Run Time Parameters'!$E$5-'Data Sample'!H555)/365.25)</f>
        <v>53</v>
      </c>
      <c r="L555" s="368">
        <v>1981</v>
      </c>
      <c r="M555" s="368">
        <v>0</v>
      </c>
      <c r="N555" s="350" t="s">
        <v>867</v>
      </c>
      <c r="O555" s="368">
        <v>0</v>
      </c>
      <c r="P555" s="368">
        <v>0</v>
      </c>
      <c r="Q555" s="367">
        <v>20707</v>
      </c>
      <c r="R555" s="368" t="s">
        <v>862</v>
      </c>
      <c r="S555" s="368" t="s">
        <v>863</v>
      </c>
      <c r="T555" s="350">
        <f>INT(('Run Time Parameters'!$E$5-'Data Sample'!Q555)/365.25)</f>
        <v>53</v>
      </c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339"/>
      <c r="AJ555" s="353">
        <f t="shared" si="26"/>
        <v>39</v>
      </c>
    </row>
    <row r="556" spans="1:36">
      <c r="A556" s="332">
        <f t="shared" si="27"/>
        <v>40</v>
      </c>
      <c r="F556" s="365"/>
      <c r="G556" s="366" t="s">
        <v>909</v>
      </c>
      <c r="H556" s="367">
        <v>16831.041666666668</v>
      </c>
      <c r="I556" s="351" t="s">
        <v>870</v>
      </c>
      <c r="J556" s="350" t="s">
        <v>863</v>
      </c>
      <c r="K556" s="350">
        <f>INT(('Run Time Parameters'!$E$5-'Data Sample'!H556)/365.25)</f>
        <v>63</v>
      </c>
      <c r="L556" s="368">
        <v>1964</v>
      </c>
      <c r="M556" s="368">
        <v>1</v>
      </c>
      <c r="N556" s="350" t="s">
        <v>864</v>
      </c>
      <c r="O556" s="368">
        <v>0</v>
      </c>
      <c r="P556" s="368">
        <v>0</v>
      </c>
      <c r="Q556" s="367">
        <v>29220</v>
      </c>
      <c r="R556" s="368" t="s">
        <v>870</v>
      </c>
      <c r="S556" s="368" t="s">
        <v>866</v>
      </c>
      <c r="T556" s="350">
        <f>INT(('Run Time Parameters'!$E$5-'Data Sample'!Q556)/365.25)</f>
        <v>29</v>
      </c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339"/>
      <c r="AJ556" s="353">
        <f t="shared" si="26"/>
        <v>40</v>
      </c>
    </row>
    <row r="557" spans="1:36">
      <c r="A557" s="332">
        <f t="shared" si="27"/>
        <v>41</v>
      </c>
      <c r="F557" s="365"/>
      <c r="G557" s="366" t="s">
        <v>910</v>
      </c>
      <c r="H557" s="367">
        <v>27616</v>
      </c>
      <c r="I557" s="351" t="s">
        <v>870</v>
      </c>
      <c r="J557" s="350" t="s">
        <v>866</v>
      </c>
      <c r="K557" s="350">
        <f>INT(('Run Time Parameters'!$E$5-'Data Sample'!H557)/365.25)</f>
        <v>34</v>
      </c>
      <c r="L557" s="368">
        <v>1992</v>
      </c>
      <c r="M557" s="368">
        <v>0</v>
      </c>
      <c r="N557" s="350" t="s">
        <v>864</v>
      </c>
      <c r="O557" s="368">
        <v>0</v>
      </c>
      <c r="P557" s="368">
        <v>0</v>
      </c>
      <c r="Q557" s="367">
        <v>27616</v>
      </c>
      <c r="R557" s="368" t="s">
        <v>870</v>
      </c>
      <c r="S557" s="368" t="s">
        <v>866</v>
      </c>
      <c r="T557" s="350">
        <f>INT(('Run Time Parameters'!$E$5-'Data Sample'!Q557)/365.25)</f>
        <v>34</v>
      </c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339"/>
      <c r="AJ557" s="353">
        <f t="shared" si="26"/>
        <v>41</v>
      </c>
    </row>
    <row r="558" spans="1:36">
      <c r="A558" s="332">
        <f t="shared" si="27"/>
        <v>42</v>
      </c>
      <c r="F558" s="365"/>
      <c r="G558" s="366" t="s">
        <v>911</v>
      </c>
      <c r="H558" s="367">
        <v>26867</v>
      </c>
      <c r="I558" s="351" t="s">
        <v>870</v>
      </c>
      <c r="J558" s="350" t="s">
        <v>863</v>
      </c>
      <c r="K558" s="350">
        <f>INT(('Run Time Parameters'!$E$5-'Data Sample'!H558)/365.25)</f>
        <v>36</v>
      </c>
      <c r="L558" s="368">
        <v>1990</v>
      </c>
      <c r="M558" s="368">
        <v>0</v>
      </c>
      <c r="N558" s="350" t="s">
        <v>864</v>
      </c>
      <c r="O558" s="368">
        <v>0</v>
      </c>
      <c r="P558" s="368">
        <v>0</v>
      </c>
      <c r="Q558" s="367">
        <v>28072</v>
      </c>
      <c r="R558" s="368" t="s">
        <v>862</v>
      </c>
      <c r="S558" s="368" t="s">
        <v>863</v>
      </c>
      <c r="T558" s="350">
        <f>INT(('Run Time Parameters'!$E$5-'Data Sample'!Q558)/365.25)</f>
        <v>32</v>
      </c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339"/>
      <c r="AJ558" s="353">
        <f t="shared" si="26"/>
        <v>42</v>
      </c>
    </row>
    <row r="559" spans="1:36">
      <c r="A559" s="332">
        <f t="shared" si="27"/>
        <v>43</v>
      </c>
      <c r="F559" s="365"/>
      <c r="G559" s="366" t="s">
        <v>912</v>
      </c>
      <c r="H559" s="367">
        <v>19921</v>
      </c>
      <c r="I559" s="351" t="s">
        <v>862</v>
      </c>
      <c r="J559" s="350" t="s">
        <v>866</v>
      </c>
      <c r="K559" s="350">
        <f>INT(('Run Time Parameters'!$E$5-'Data Sample'!H559)/365.25)</f>
        <v>55</v>
      </c>
      <c r="L559" s="368">
        <v>1990</v>
      </c>
      <c r="M559" s="368">
        <v>0</v>
      </c>
      <c r="N559" s="350" t="s">
        <v>867</v>
      </c>
      <c r="O559" s="368">
        <v>0</v>
      </c>
      <c r="P559" s="368">
        <v>0</v>
      </c>
      <c r="Q559" s="367">
        <v>19921</v>
      </c>
      <c r="R559" s="368" t="s">
        <v>862</v>
      </c>
      <c r="S559" s="368" t="s">
        <v>866</v>
      </c>
      <c r="T559" s="350">
        <f>INT(('Run Time Parameters'!$E$5-'Data Sample'!Q559)/365.25)</f>
        <v>55</v>
      </c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339"/>
      <c r="AJ559" s="353">
        <f t="shared" si="26"/>
        <v>43</v>
      </c>
    </row>
    <row r="560" spans="1:36">
      <c r="A560" s="332">
        <f t="shared" si="27"/>
        <v>44</v>
      </c>
      <c r="F560" s="365"/>
      <c r="G560" s="366" t="s">
        <v>913</v>
      </c>
      <c r="H560" s="367">
        <v>25949.041666666668</v>
      </c>
      <c r="I560" s="351" t="s">
        <v>870</v>
      </c>
      <c r="J560" s="350" t="s">
        <v>863</v>
      </c>
      <c r="K560" s="350">
        <f>INT(('Run Time Parameters'!$E$5-'Data Sample'!H560)/365.25)</f>
        <v>38</v>
      </c>
      <c r="L560" s="368">
        <v>1989</v>
      </c>
      <c r="M560" s="368">
        <v>0</v>
      </c>
      <c r="N560" s="350" t="s">
        <v>864</v>
      </c>
      <c r="O560" s="368">
        <v>0</v>
      </c>
      <c r="P560" s="368">
        <v>0</v>
      </c>
      <c r="Q560" s="367">
        <v>26664</v>
      </c>
      <c r="R560" s="368" t="s">
        <v>862</v>
      </c>
      <c r="S560" s="368" t="s">
        <v>863</v>
      </c>
      <c r="T560" s="350">
        <f>INT(('Run Time Parameters'!$E$5-'Data Sample'!Q560)/365.25)</f>
        <v>36</v>
      </c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339"/>
      <c r="AJ560" s="353">
        <f t="shared" si="26"/>
        <v>44</v>
      </c>
    </row>
    <row r="561" spans="1:36">
      <c r="A561" s="332">
        <f t="shared" si="27"/>
        <v>45</v>
      </c>
      <c r="F561" s="365"/>
      <c r="G561" s="366" t="s">
        <v>914</v>
      </c>
      <c r="H561" s="367">
        <v>15356</v>
      </c>
      <c r="I561" s="351" t="s">
        <v>862</v>
      </c>
      <c r="J561" s="350" t="s">
        <v>915</v>
      </c>
      <c r="K561" s="350">
        <f>INT(('Run Time Parameters'!$E$5-'Data Sample'!H561)/365.25)</f>
        <v>67</v>
      </c>
      <c r="L561" s="368">
        <v>1966</v>
      </c>
      <c r="M561" s="368">
        <v>0</v>
      </c>
      <c r="N561" s="350" t="s">
        <v>867</v>
      </c>
      <c r="O561" s="368">
        <v>0</v>
      </c>
      <c r="P561" s="368">
        <v>0</v>
      </c>
      <c r="Q561" s="367">
        <v>15356</v>
      </c>
      <c r="R561" s="368" t="s">
        <v>862</v>
      </c>
      <c r="S561" s="368" t="s">
        <v>915</v>
      </c>
      <c r="T561" s="350">
        <f>INT(('Run Time Parameters'!$E$5-'Data Sample'!Q561)/365.25)</f>
        <v>67</v>
      </c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339"/>
      <c r="AJ561" s="353">
        <f t="shared" si="26"/>
        <v>45</v>
      </c>
    </row>
    <row r="562" spans="1:36">
      <c r="A562" s="332">
        <f t="shared" si="27"/>
        <v>46</v>
      </c>
      <c r="F562" s="365"/>
      <c r="G562" s="366" t="s">
        <v>916</v>
      </c>
      <c r="H562" s="367">
        <v>18537</v>
      </c>
      <c r="I562" s="351" t="s">
        <v>870</v>
      </c>
      <c r="J562" s="350" t="s">
        <v>887</v>
      </c>
      <c r="K562" s="350">
        <f>INT(('Run Time Parameters'!$E$5-'Data Sample'!H562)/365.25)</f>
        <v>59</v>
      </c>
      <c r="L562" s="368">
        <v>1967</v>
      </c>
      <c r="M562" s="368">
        <v>0</v>
      </c>
      <c r="N562" s="350" t="s">
        <v>867</v>
      </c>
      <c r="O562" s="368">
        <v>0</v>
      </c>
      <c r="P562" s="368">
        <v>0</v>
      </c>
      <c r="Q562" s="367">
        <v>18537</v>
      </c>
      <c r="R562" s="368" t="s">
        <v>870</v>
      </c>
      <c r="S562" s="368" t="s">
        <v>887</v>
      </c>
      <c r="T562" s="350">
        <f>INT(('Run Time Parameters'!$E$5-'Data Sample'!Q562)/365.25)</f>
        <v>59</v>
      </c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339"/>
      <c r="AJ562" s="353">
        <f t="shared" si="26"/>
        <v>46</v>
      </c>
    </row>
    <row r="563" spans="1:36">
      <c r="A563" s="332">
        <f t="shared" si="27"/>
        <v>47</v>
      </c>
      <c r="F563" s="365"/>
      <c r="G563" s="366" t="s">
        <v>917</v>
      </c>
      <c r="H563" s="367">
        <v>22623.041666666668</v>
      </c>
      <c r="I563" s="351" t="s">
        <v>870</v>
      </c>
      <c r="J563" s="350" t="s">
        <v>866</v>
      </c>
      <c r="K563" s="350">
        <f>INT(('Run Time Parameters'!$E$5-'Data Sample'!H563)/365.25)</f>
        <v>47</v>
      </c>
      <c r="L563" s="368">
        <v>1982</v>
      </c>
      <c r="M563" s="368">
        <v>0</v>
      </c>
      <c r="N563" s="350" t="s">
        <v>867</v>
      </c>
      <c r="O563" s="368">
        <v>0</v>
      </c>
      <c r="P563" s="368">
        <v>0</v>
      </c>
      <c r="Q563" s="367">
        <v>22623.041666666668</v>
      </c>
      <c r="R563" s="368" t="s">
        <v>870</v>
      </c>
      <c r="S563" s="368" t="s">
        <v>866</v>
      </c>
      <c r="T563" s="350">
        <f>INT(('Run Time Parameters'!$E$5-'Data Sample'!Q563)/365.25)</f>
        <v>47</v>
      </c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339"/>
      <c r="AJ563" s="353">
        <f t="shared" si="26"/>
        <v>47</v>
      </c>
    </row>
    <row r="564" spans="1:36">
      <c r="A564" s="332">
        <f t="shared" si="27"/>
        <v>48</v>
      </c>
      <c r="F564" s="365"/>
      <c r="G564" s="366" t="s">
        <v>918</v>
      </c>
      <c r="H564" s="367">
        <v>15726</v>
      </c>
      <c r="I564" s="351" t="s">
        <v>870</v>
      </c>
      <c r="J564" s="350" t="s">
        <v>863</v>
      </c>
      <c r="K564" s="350">
        <f>INT(('Run Time Parameters'!$E$5-'Data Sample'!H564)/365.25)</f>
        <v>66</v>
      </c>
      <c r="L564" s="368">
        <v>1960</v>
      </c>
      <c r="M564" s="368">
        <v>0</v>
      </c>
      <c r="N564" s="350" t="s">
        <v>864</v>
      </c>
      <c r="O564" s="368">
        <v>0</v>
      </c>
      <c r="P564" s="368">
        <v>0</v>
      </c>
      <c r="Q564" s="367">
        <v>17003</v>
      </c>
      <c r="R564" s="368" t="s">
        <v>862</v>
      </c>
      <c r="S564" s="368" t="s">
        <v>863</v>
      </c>
      <c r="T564" s="350">
        <f>INT(('Run Time Parameters'!$E$5-'Data Sample'!Q564)/365.25)</f>
        <v>63</v>
      </c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339"/>
      <c r="AJ564" s="353">
        <f t="shared" si="26"/>
        <v>48</v>
      </c>
    </row>
    <row r="565" spans="1:36">
      <c r="A565" s="332">
        <f t="shared" si="27"/>
        <v>49</v>
      </c>
      <c r="F565" s="365"/>
      <c r="G565" s="366" t="s">
        <v>919</v>
      </c>
      <c r="H565" s="367">
        <v>24949</v>
      </c>
      <c r="I565" s="351" t="s">
        <v>870</v>
      </c>
      <c r="J565" s="350" t="s">
        <v>863</v>
      </c>
      <c r="K565" s="350">
        <f>INT(('Run Time Parameters'!$E$5-'Data Sample'!H565)/365.25)</f>
        <v>41</v>
      </c>
      <c r="L565" s="368">
        <v>2004</v>
      </c>
      <c r="M565" s="368">
        <v>0</v>
      </c>
      <c r="N565" s="350" t="s">
        <v>867</v>
      </c>
      <c r="O565" s="368">
        <v>0</v>
      </c>
      <c r="P565" s="368">
        <v>0</v>
      </c>
      <c r="Q565" s="367">
        <v>24949</v>
      </c>
      <c r="R565" s="368" t="s">
        <v>870</v>
      </c>
      <c r="S565" s="368" t="s">
        <v>863</v>
      </c>
      <c r="T565" s="350">
        <f>INT(('Run Time Parameters'!$E$5-'Data Sample'!Q565)/365.25)</f>
        <v>41</v>
      </c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339"/>
      <c r="AJ565" s="353">
        <f t="shared" si="26"/>
        <v>49</v>
      </c>
    </row>
    <row r="566" spans="1:36">
      <c r="A566" s="332">
        <f t="shared" si="27"/>
        <v>50</v>
      </c>
      <c r="F566" s="365"/>
      <c r="G566" s="366" t="s">
        <v>920</v>
      </c>
      <c r="H566" s="367">
        <v>28382</v>
      </c>
      <c r="I566" s="351" t="s">
        <v>870</v>
      </c>
      <c r="J566" s="350" t="s">
        <v>863</v>
      </c>
      <c r="K566" s="350">
        <f>INT(('Run Time Parameters'!$E$5-'Data Sample'!H566)/365.25)</f>
        <v>32</v>
      </c>
      <c r="L566" s="368">
        <v>1996</v>
      </c>
      <c r="M566" s="368">
        <v>0</v>
      </c>
      <c r="N566" s="350" t="s">
        <v>864</v>
      </c>
      <c r="O566" s="368">
        <v>0</v>
      </c>
      <c r="P566" s="368">
        <v>0</v>
      </c>
      <c r="Q566" s="367">
        <v>28382</v>
      </c>
      <c r="R566" s="368" t="s">
        <v>870</v>
      </c>
      <c r="S566" s="368" t="s">
        <v>863</v>
      </c>
      <c r="T566" s="350">
        <f>INT(('Run Time Parameters'!$E$5-'Data Sample'!Q566)/365.25)</f>
        <v>32</v>
      </c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339"/>
      <c r="AJ566" s="353">
        <f t="shared" si="26"/>
        <v>50</v>
      </c>
    </row>
    <row r="567" spans="1:36">
      <c r="A567" s="332">
        <f t="shared" si="27"/>
        <v>51</v>
      </c>
      <c r="F567" s="365"/>
      <c r="G567" s="366" t="s">
        <v>921</v>
      </c>
      <c r="H567" s="367">
        <v>27144</v>
      </c>
      <c r="I567" s="351" t="s">
        <v>862</v>
      </c>
      <c r="J567" s="350" t="s">
        <v>866</v>
      </c>
      <c r="K567" s="350">
        <f>INT(('Run Time Parameters'!$E$5-'Data Sample'!H567)/365.25)</f>
        <v>35</v>
      </c>
      <c r="L567" s="368">
        <v>1992</v>
      </c>
      <c r="M567" s="368">
        <v>0</v>
      </c>
      <c r="N567" s="350" t="s">
        <v>867</v>
      </c>
      <c r="O567" s="368">
        <v>0</v>
      </c>
      <c r="P567" s="368">
        <v>0</v>
      </c>
      <c r="Q567" s="367">
        <v>27144</v>
      </c>
      <c r="R567" s="368" t="s">
        <v>862</v>
      </c>
      <c r="S567" s="368" t="s">
        <v>866</v>
      </c>
      <c r="T567" s="350">
        <f>INT(('Run Time Parameters'!$E$5-'Data Sample'!Q567)/365.25)</f>
        <v>35</v>
      </c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339"/>
      <c r="AJ567" s="353">
        <f t="shared" si="26"/>
        <v>51</v>
      </c>
    </row>
    <row r="568" spans="1:36">
      <c r="A568" s="332">
        <f t="shared" si="27"/>
        <v>52</v>
      </c>
      <c r="F568" s="365"/>
      <c r="G568" s="366" t="s">
        <v>922</v>
      </c>
      <c r="H568" s="367">
        <v>26295</v>
      </c>
      <c r="I568" s="351" t="s">
        <v>870</v>
      </c>
      <c r="J568" s="350" t="s">
        <v>863</v>
      </c>
      <c r="K568" s="350">
        <f>INT(('Run Time Parameters'!$E$5-'Data Sample'!H568)/365.25)</f>
        <v>37</v>
      </c>
      <c r="L568" s="368">
        <v>1989</v>
      </c>
      <c r="M568" s="368">
        <v>1</v>
      </c>
      <c r="N568" s="350" t="s">
        <v>867</v>
      </c>
      <c r="O568" s="368">
        <v>0</v>
      </c>
      <c r="P568" s="368">
        <v>0</v>
      </c>
      <c r="Q568" s="367">
        <v>26424</v>
      </c>
      <c r="R568" s="368" t="s">
        <v>862</v>
      </c>
      <c r="S568" s="368" t="s">
        <v>863</v>
      </c>
      <c r="T568" s="350">
        <f>INT(('Run Time Parameters'!$E$5-'Data Sample'!Q568)/365.25)</f>
        <v>37</v>
      </c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339"/>
      <c r="AJ568" s="353">
        <f t="shared" si="26"/>
        <v>52</v>
      </c>
    </row>
    <row r="569" spans="1:36">
      <c r="A569" s="332">
        <f t="shared" si="27"/>
        <v>53</v>
      </c>
      <c r="F569" s="365"/>
      <c r="G569" s="366" t="s">
        <v>923</v>
      </c>
      <c r="H569" s="367">
        <v>30490</v>
      </c>
      <c r="I569" s="351" t="s">
        <v>862</v>
      </c>
      <c r="J569" s="350" t="s">
        <v>866</v>
      </c>
      <c r="K569" s="350">
        <f>INT(('Run Time Parameters'!$E$5-'Data Sample'!H569)/365.25)</f>
        <v>26</v>
      </c>
      <c r="L569" s="368">
        <v>2001</v>
      </c>
      <c r="M569" s="368">
        <v>1</v>
      </c>
      <c r="N569" s="350" t="s">
        <v>867</v>
      </c>
      <c r="O569" s="368">
        <v>0</v>
      </c>
      <c r="P569" s="368">
        <v>0</v>
      </c>
      <c r="Q569" s="367">
        <v>30490</v>
      </c>
      <c r="R569" s="368" t="s">
        <v>862</v>
      </c>
      <c r="S569" s="368" t="s">
        <v>866</v>
      </c>
      <c r="T569" s="350">
        <f>INT(('Run Time Parameters'!$E$5-'Data Sample'!Q569)/365.25)</f>
        <v>26</v>
      </c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339"/>
      <c r="AJ569" s="353">
        <f t="shared" si="26"/>
        <v>53</v>
      </c>
    </row>
    <row r="570" spans="1:36">
      <c r="A570" s="332">
        <f t="shared" si="27"/>
        <v>54</v>
      </c>
      <c r="F570" s="365"/>
      <c r="G570" s="366" t="s">
        <v>924</v>
      </c>
      <c r="H570" s="367">
        <v>28911</v>
      </c>
      <c r="I570" s="351" t="s">
        <v>862</v>
      </c>
      <c r="J570" s="350" t="s">
        <v>863</v>
      </c>
      <c r="K570" s="350">
        <f>INT(('Run Time Parameters'!$E$5-'Data Sample'!H570)/365.25)</f>
        <v>30</v>
      </c>
      <c r="L570" s="368">
        <v>1997</v>
      </c>
      <c r="M570" s="368">
        <v>0</v>
      </c>
      <c r="N570" s="350" t="s">
        <v>864</v>
      </c>
      <c r="O570" s="368">
        <v>0</v>
      </c>
      <c r="P570" s="368">
        <v>0</v>
      </c>
      <c r="Q570" s="367">
        <v>28911</v>
      </c>
      <c r="R570" s="368" t="s">
        <v>862</v>
      </c>
      <c r="S570" s="368" t="s">
        <v>863</v>
      </c>
      <c r="T570" s="350">
        <f>INT(('Run Time Parameters'!$E$5-'Data Sample'!Q570)/365.25)</f>
        <v>30</v>
      </c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339"/>
      <c r="AJ570" s="353">
        <f t="shared" si="26"/>
        <v>54</v>
      </c>
    </row>
    <row r="571" spans="1:36">
      <c r="A571" s="332">
        <f t="shared" si="27"/>
        <v>55</v>
      </c>
      <c r="F571" s="365"/>
      <c r="G571" s="366" t="s">
        <v>925</v>
      </c>
      <c r="H571" s="367">
        <v>17474.041666666668</v>
      </c>
      <c r="I571" s="351" t="s">
        <v>862</v>
      </c>
      <c r="J571" s="350" t="s">
        <v>863</v>
      </c>
      <c r="K571" s="350">
        <f>INT(('Run Time Parameters'!$E$5-'Data Sample'!H571)/365.25)</f>
        <v>61</v>
      </c>
      <c r="L571" s="368">
        <v>1964</v>
      </c>
      <c r="M571" s="368">
        <v>0</v>
      </c>
      <c r="N571" s="350" t="s">
        <v>867</v>
      </c>
      <c r="O571" s="368">
        <v>0</v>
      </c>
      <c r="P571" s="368">
        <v>0</v>
      </c>
      <c r="Q571" s="367">
        <v>19609</v>
      </c>
      <c r="R571" s="368" t="s">
        <v>870</v>
      </c>
      <c r="S571" s="368" t="s">
        <v>863</v>
      </c>
      <c r="T571" s="350">
        <f>INT(('Run Time Parameters'!$E$5-'Data Sample'!Q571)/365.25)</f>
        <v>56</v>
      </c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339"/>
      <c r="AJ571" s="353">
        <f t="shared" si="26"/>
        <v>55</v>
      </c>
    </row>
    <row r="572" spans="1:36">
      <c r="A572" s="332">
        <f t="shared" si="27"/>
        <v>56</v>
      </c>
      <c r="F572" s="365"/>
      <c r="G572" s="366" t="s">
        <v>926</v>
      </c>
      <c r="H572" s="367">
        <v>21372</v>
      </c>
      <c r="I572" s="351" t="s">
        <v>870</v>
      </c>
      <c r="J572" s="350" t="s">
        <v>863</v>
      </c>
      <c r="K572" s="350">
        <f>INT(('Run Time Parameters'!$E$5-'Data Sample'!H572)/365.25)</f>
        <v>51</v>
      </c>
      <c r="L572" s="368">
        <v>1975</v>
      </c>
      <c r="M572" s="368">
        <v>0</v>
      </c>
      <c r="N572" s="350" t="s">
        <v>867</v>
      </c>
      <c r="O572" s="368">
        <v>0</v>
      </c>
      <c r="P572" s="368">
        <v>0</v>
      </c>
      <c r="Q572" s="367">
        <v>21895.041666666668</v>
      </c>
      <c r="R572" s="368" t="s">
        <v>862</v>
      </c>
      <c r="S572" s="368" t="s">
        <v>863</v>
      </c>
      <c r="T572" s="350">
        <f>INT(('Run Time Parameters'!$E$5-'Data Sample'!Q572)/365.25)</f>
        <v>49</v>
      </c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339"/>
      <c r="AJ572" s="353">
        <f t="shared" si="26"/>
        <v>56</v>
      </c>
    </row>
    <row r="573" spans="1:36">
      <c r="A573" s="332">
        <f t="shared" si="27"/>
        <v>57</v>
      </c>
      <c r="F573" s="365"/>
      <c r="G573" s="366" t="s">
        <v>927</v>
      </c>
      <c r="H573" s="367">
        <v>27598</v>
      </c>
      <c r="I573" s="351" t="s">
        <v>862</v>
      </c>
      <c r="J573" s="350" t="s">
        <v>863</v>
      </c>
      <c r="K573" s="350">
        <f>INT(('Run Time Parameters'!$E$5-'Data Sample'!H573)/365.25)</f>
        <v>34</v>
      </c>
      <c r="L573" s="368">
        <v>1992</v>
      </c>
      <c r="M573" s="368">
        <v>1</v>
      </c>
      <c r="N573" s="350" t="s">
        <v>864</v>
      </c>
      <c r="O573" s="368">
        <v>0</v>
      </c>
      <c r="P573" s="368">
        <v>0</v>
      </c>
      <c r="Q573" s="367">
        <v>27598</v>
      </c>
      <c r="R573" s="368" t="s">
        <v>862</v>
      </c>
      <c r="S573" s="368" t="s">
        <v>863</v>
      </c>
      <c r="T573" s="350">
        <f>INT(('Run Time Parameters'!$E$5-'Data Sample'!Q573)/365.25)</f>
        <v>34</v>
      </c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339"/>
      <c r="AJ573" s="353">
        <f t="shared" si="26"/>
        <v>57</v>
      </c>
    </row>
    <row r="574" spans="1:36">
      <c r="A574" s="332">
        <f t="shared" si="27"/>
        <v>58</v>
      </c>
      <c r="F574" s="365"/>
      <c r="G574" s="366" t="s">
        <v>928</v>
      </c>
      <c r="H574" s="367">
        <v>29843</v>
      </c>
      <c r="I574" s="351" t="s">
        <v>862</v>
      </c>
      <c r="J574" s="350" t="s">
        <v>866</v>
      </c>
      <c r="K574" s="350">
        <f>INT(('Run Time Parameters'!$E$5-'Data Sample'!H574)/365.25)</f>
        <v>28</v>
      </c>
      <c r="L574" s="368">
        <v>1999</v>
      </c>
      <c r="M574" s="368">
        <v>0</v>
      </c>
      <c r="N574" s="350" t="s">
        <v>867</v>
      </c>
      <c r="O574" s="368">
        <v>0</v>
      </c>
      <c r="P574" s="368">
        <v>0</v>
      </c>
      <c r="Q574" s="367">
        <v>29843</v>
      </c>
      <c r="R574" s="368" t="s">
        <v>862</v>
      </c>
      <c r="S574" s="368" t="s">
        <v>866</v>
      </c>
      <c r="T574" s="350">
        <f>INT(('Run Time Parameters'!$E$5-'Data Sample'!Q574)/365.25)</f>
        <v>28</v>
      </c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339"/>
      <c r="AJ574" s="353">
        <f t="shared" si="26"/>
        <v>58</v>
      </c>
    </row>
    <row r="575" spans="1:36">
      <c r="A575" s="332">
        <f t="shared" si="27"/>
        <v>59</v>
      </c>
      <c r="F575" s="365"/>
      <c r="G575" s="366" t="s">
        <v>929</v>
      </c>
      <c r="H575" s="367">
        <v>14127</v>
      </c>
      <c r="I575" s="351" t="s">
        <v>870</v>
      </c>
      <c r="J575" s="350" t="s">
        <v>863</v>
      </c>
      <c r="K575" s="350">
        <f>INT(('Run Time Parameters'!$E$5-'Data Sample'!H575)/365.25)</f>
        <v>71</v>
      </c>
      <c r="L575" s="368">
        <v>1956</v>
      </c>
      <c r="M575" s="368">
        <v>0</v>
      </c>
      <c r="N575" s="350" t="s">
        <v>864</v>
      </c>
      <c r="O575" s="368">
        <v>0</v>
      </c>
      <c r="P575" s="368">
        <v>0</v>
      </c>
      <c r="Q575" s="367">
        <v>14127</v>
      </c>
      <c r="R575" s="368" t="s">
        <v>870</v>
      </c>
      <c r="S575" s="368" t="s">
        <v>863</v>
      </c>
      <c r="T575" s="350">
        <f>INT(('Run Time Parameters'!$E$5-'Data Sample'!Q575)/365.25)</f>
        <v>71</v>
      </c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339"/>
      <c r="AJ575" s="353">
        <f t="shared" si="26"/>
        <v>59</v>
      </c>
    </row>
    <row r="576" spans="1:36">
      <c r="A576" s="332">
        <f t="shared" si="27"/>
        <v>60</v>
      </c>
      <c r="F576" s="365"/>
      <c r="G576" s="366" t="s">
        <v>930</v>
      </c>
      <c r="H576" s="367">
        <v>19866</v>
      </c>
      <c r="I576" s="351" t="s">
        <v>862</v>
      </c>
      <c r="J576" s="350" t="s">
        <v>863</v>
      </c>
      <c r="K576" s="350">
        <f>INT(('Run Time Parameters'!$E$5-'Data Sample'!H576)/365.25)</f>
        <v>55</v>
      </c>
      <c r="L576" s="368">
        <v>1971</v>
      </c>
      <c r="M576" s="368">
        <v>0</v>
      </c>
      <c r="N576" s="350" t="s">
        <v>867</v>
      </c>
      <c r="O576" s="368">
        <v>0</v>
      </c>
      <c r="P576" s="368">
        <v>0</v>
      </c>
      <c r="Q576" s="367">
        <v>19866</v>
      </c>
      <c r="R576" s="368" t="s">
        <v>862</v>
      </c>
      <c r="S576" s="368" t="s">
        <v>863</v>
      </c>
      <c r="T576" s="350">
        <f>INT(('Run Time Parameters'!$E$5-'Data Sample'!Q576)/365.25)</f>
        <v>55</v>
      </c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339"/>
      <c r="AJ576" s="353">
        <f t="shared" si="26"/>
        <v>60</v>
      </c>
    </row>
    <row r="577" spans="1:36">
      <c r="A577" s="332">
        <f t="shared" si="27"/>
        <v>61</v>
      </c>
      <c r="F577" s="365"/>
      <c r="G577" s="366" t="s">
        <v>931</v>
      </c>
      <c r="H577" s="367">
        <v>23632</v>
      </c>
      <c r="I577" s="351" t="s">
        <v>870</v>
      </c>
      <c r="J577" s="350" t="s">
        <v>874</v>
      </c>
      <c r="K577" s="350">
        <f>INT(('Run Time Parameters'!$E$5-'Data Sample'!H577)/365.25)</f>
        <v>45</v>
      </c>
      <c r="L577" s="368">
        <v>1981</v>
      </c>
      <c r="M577" s="368">
        <v>0</v>
      </c>
      <c r="N577" s="350" t="s">
        <v>867</v>
      </c>
      <c r="O577" s="368">
        <v>0</v>
      </c>
      <c r="P577" s="368">
        <v>0</v>
      </c>
      <c r="Q577" s="367">
        <v>24147.041666666668</v>
      </c>
      <c r="R577" s="368" t="s">
        <v>862</v>
      </c>
      <c r="S577" s="368" t="s">
        <v>874</v>
      </c>
      <c r="T577" s="350">
        <f>INT(('Run Time Parameters'!$E$5-'Data Sample'!Q577)/365.25)</f>
        <v>43</v>
      </c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339"/>
      <c r="AJ577" s="353">
        <f t="shared" si="26"/>
        <v>61</v>
      </c>
    </row>
    <row r="578" spans="1:36">
      <c r="A578" s="332">
        <f t="shared" si="27"/>
        <v>62</v>
      </c>
      <c r="F578" s="365"/>
      <c r="G578" s="366" t="s">
        <v>932</v>
      </c>
      <c r="H578" s="367">
        <v>28636</v>
      </c>
      <c r="I578" s="351" t="s">
        <v>870</v>
      </c>
      <c r="J578" s="350" t="s">
        <v>863</v>
      </c>
      <c r="K578" s="350">
        <f>INT(('Run Time Parameters'!$E$5-'Data Sample'!H578)/365.25)</f>
        <v>31</v>
      </c>
      <c r="L578" s="368">
        <v>1998</v>
      </c>
      <c r="M578" s="368">
        <v>0</v>
      </c>
      <c r="N578" s="350" t="s">
        <v>867</v>
      </c>
      <c r="O578" s="368">
        <v>0</v>
      </c>
      <c r="P578" s="368">
        <v>0</v>
      </c>
      <c r="Q578" s="367">
        <v>28636</v>
      </c>
      <c r="R578" s="368" t="s">
        <v>870</v>
      </c>
      <c r="S578" s="368" t="s">
        <v>863</v>
      </c>
      <c r="T578" s="350">
        <f>INT(('Run Time Parameters'!$E$5-'Data Sample'!Q578)/365.25)</f>
        <v>31</v>
      </c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339"/>
      <c r="AJ578" s="353">
        <f t="shared" si="26"/>
        <v>62</v>
      </c>
    </row>
    <row r="579" spans="1:36">
      <c r="A579" s="332">
        <f t="shared" si="27"/>
        <v>63</v>
      </c>
      <c r="F579" s="365"/>
      <c r="G579" s="366" t="s">
        <v>933</v>
      </c>
      <c r="H579" s="367">
        <v>18007</v>
      </c>
      <c r="I579" s="351" t="s">
        <v>862</v>
      </c>
      <c r="J579" s="350" t="s">
        <v>915</v>
      </c>
      <c r="K579" s="350">
        <f>INT(('Run Time Parameters'!$E$5-'Data Sample'!H579)/365.25)</f>
        <v>60</v>
      </c>
      <c r="L579" s="368">
        <v>1972</v>
      </c>
      <c r="M579" s="368">
        <v>0</v>
      </c>
      <c r="N579" s="350" t="s">
        <v>867</v>
      </c>
      <c r="O579" s="368">
        <v>0</v>
      </c>
      <c r="P579" s="368">
        <v>0</v>
      </c>
      <c r="Q579" s="367">
        <v>27196</v>
      </c>
      <c r="R579" s="368" t="s">
        <v>862</v>
      </c>
      <c r="S579" s="368" t="s">
        <v>863</v>
      </c>
      <c r="T579" s="350">
        <f>INT(('Run Time Parameters'!$E$5-'Data Sample'!Q579)/365.25)</f>
        <v>35</v>
      </c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339"/>
      <c r="AJ579" s="353">
        <f t="shared" si="26"/>
        <v>63</v>
      </c>
    </row>
    <row r="580" spans="1:36">
      <c r="A580" s="332">
        <f t="shared" si="27"/>
        <v>64</v>
      </c>
      <c r="F580" s="365"/>
      <c r="G580" s="366" t="s">
        <v>934</v>
      </c>
      <c r="H580" s="367">
        <v>15649</v>
      </c>
      <c r="I580" s="351" t="s">
        <v>870</v>
      </c>
      <c r="J580" s="350" t="s">
        <v>863</v>
      </c>
      <c r="K580" s="350">
        <f>INT(('Run Time Parameters'!$E$5-'Data Sample'!H580)/365.25)</f>
        <v>66</v>
      </c>
      <c r="L580" s="368">
        <v>1959</v>
      </c>
      <c r="M580" s="368">
        <v>0</v>
      </c>
      <c r="N580" s="350" t="s">
        <v>867</v>
      </c>
      <c r="O580" s="368">
        <v>0</v>
      </c>
      <c r="P580" s="368">
        <v>0</v>
      </c>
      <c r="Q580" s="367">
        <v>18813</v>
      </c>
      <c r="R580" s="368" t="s">
        <v>862</v>
      </c>
      <c r="S580" s="368" t="s">
        <v>863</v>
      </c>
      <c r="T580" s="350">
        <f>INT(('Run Time Parameters'!$E$5-'Data Sample'!Q580)/365.25)</f>
        <v>58</v>
      </c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339"/>
      <c r="AJ580" s="353">
        <f t="shared" si="26"/>
        <v>64</v>
      </c>
    </row>
    <row r="581" spans="1:36">
      <c r="A581" s="332">
        <f t="shared" si="27"/>
        <v>65</v>
      </c>
      <c r="F581" s="365"/>
      <c r="G581" s="366" t="s">
        <v>935</v>
      </c>
      <c r="H581" s="367">
        <v>18813</v>
      </c>
      <c r="I581" s="351" t="s">
        <v>862</v>
      </c>
      <c r="J581" s="350" t="s">
        <v>863</v>
      </c>
      <c r="K581" s="350">
        <f>INT(('Run Time Parameters'!$E$5-'Data Sample'!H581)/365.25)</f>
        <v>58</v>
      </c>
      <c r="L581" s="368">
        <v>1979</v>
      </c>
      <c r="M581" s="368">
        <v>0</v>
      </c>
      <c r="N581" s="350" t="s">
        <v>867</v>
      </c>
      <c r="O581" s="368">
        <v>0</v>
      </c>
      <c r="P581" s="368">
        <v>0</v>
      </c>
      <c r="Q581" s="367">
        <v>18813</v>
      </c>
      <c r="R581" s="368" t="s">
        <v>862</v>
      </c>
      <c r="S581" s="368" t="s">
        <v>863</v>
      </c>
      <c r="T581" s="350">
        <f>INT(('Run Time Parameters'!$E$5-'Data Sample'!Q581)/365.25)</f>
        <v>58</v>
      </c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339"/>
      <c r="AJ581" s="353">
        <f t="shared" si="26"/>
        <v>65</v>
      </c>
    </row>
    <row r="582" spans="1:36">
      <c r="A582" s="332">
        <f t="shared" si="27"/>
        <v>66</v>
      </c>
      <c r="F582" s="365"/>
      <c r="G582" s="366" t="s">
        <v>936</v>
      </c>
      <c r="H582" s="367">
        <v>21043</v>
      </c>
      <c r="I582" s="351" t="s">
        <v>870</v>
      </c>
      <c r="J582" s="350" t="s">
        <v>863</v>
      </c>
      <c r="K582" s="350">
        <f>INT(('Run Time Parameters'!$E$5-'Data Sample'!H582)/365.25)</f>
        <v>52</v>
      </c>
      <c r="L582" s="368">
        <v>1989</v>
      </c>
      <c r="M582" s="368">
        <v>1</v>
      </c>
      <c r="N582" s="350" t="s">
        <v>867</v>
      </c>
      <c r="O582" s="368">
        <v>0</v>
      </c>
      <c r="P582" s="368">
        <v>0</v>
      </c>
      <c r="Q582" s="367">
        <v>21046</v>
      </c>
      <c r="R582" s="368" t="s">
        <v>862</v>
      </c>
      <c r="S582" s="368" t="s">
        <v>863</v>
      </c>
      <c r="T582" s="350">
        <f>INT(('Run Time Parameters'!$E$5-'Data Sample'!Q582)/365.25)</f>
        <v>52</v>
      </c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339"/>
      <c r="AJ582" s="353">
        <f t="shared" si="26"/>
        <v>66</v>
      </c>
    </row>
    <row r="583" spans="1:36">
      <c r="A583" s="332">
        <f t="shared" si="27"/>
        <v>67</v>
      </c>
      <c r="F583" s="365"/>
      <c r="G583" s="366" t="s">
        <v>937</v>
      </c>
      <c r="H583" s="367">
        <v>21046</v>
      </c>
      <c r="I583" s="351" t="s">
        <v>862</v>
      </c>
      <c r="J583" s="350" t="s">
        <v>863</v>
      </c>
      <c r="K583" s="350">
        <f>INT(('Run Time Parameters'!$E$5-'Data Sample'!H583)/365.25)</f>
        <v>52</v>
      </c>
      <c r="L583" s="368">
        <v>1989</v>
      </c>
      <c r="M583" s="368">
        <v>0</v>
      </c>
      <c r="N583" s="350" t="s">
        <v>864</v>
      </c>
      <c r="O583" s="368">
        <v>0</v>
      </c>
      <c r="P583" s="368">
        <v>0</v>
      </c>
      <c r="Q583" s="367">
        <v>21043</v>
      </c>
      <c r="R583" s="368" t="s">
        <v>870</v>
      </c>
      <c r="S583" s="368" t="s">
        <v>863</v>
      </c>
      <c r="T583" s="350">
        <f>INT(('Run Time Parameters'!$E$5-'Data Sample'!Q583)/365.25)</f>
        <v>52</v>
      </c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339"/>
      <c r="AJ583" s="353">
        <f t="shared" ref="AJ583:AJ646" si="28">AJ582+1</f>
        <v>67</v>
      </c>
    </row>
    <row r="584" spans="1:36">
      <c r="A584" s="332">
        <f t="shared" si="27"/>
        <v>68</v>
      </c>
      <c r="F584" s="365"/>
      <c r="G584" s="366" t="s">
        <v>938</v>
      </c>
      <c r="H584" s="367">
        <v>14561.041666666666</v>
      </c>
      <c r="I584" s="351" t="s">
        <v>870</v>
      </c>
      <c r="J584" s="350" t="s">
        <v>866</v>
      </c>
      <c r="K584" s="350">
        <f>INT(('Run Time Parameters'!$E$5-'Data Sample'!H584)/365.25)</f>
        <v>69</v>
      </c>
      <c r="L584" s="368">
        <v>1963</v>
      </c>
      <c r="M584" s="368">
        <v>0</v>
      </c>
      <c r="N584" s="350" t="s">
        <v>867</v>
      </c>
      <c r="O584" s="368">
        <v>0</v>
      </c>
      <c r="P584" s="368">
        <v>0</v>
      </c>
      <c r="Q584" s="367">
        <v>14561.041666666666</v>
      </c>
      <c r="R584" s="368" t="s">
        <v>870</v>
      </c>
      <c r="S584" s="368" t="s">
        <v>866</v>
      </c>
      <c r="T584" s="350">
        <f>INT(('Run Time Parameters'!$E$5-'Data Sample'!Q584)/365.25)</f>
        <v>69</v>
      </c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339"/>
      <c r="AJ584" s="353">
        <f t="shared" si="28"/>
        <v>68</v>
      </c>
    </row>
    <row r="585" spans="1:36">
      <c r="A585" s="332">
        <f t="shared" si="27"/>
        <v>69</v>
      </c>
      <c r="F585" s="365"/>
      <c r="G585" s="366" t="s">
        <v>939</v>
      </c>
      <c r="H585" s="367">
        <v>28189</v>
      </c>
      <c r="I585" s="351" t="s">
        <v>862</v>
      </c>
      <c r="J585" s="350" t="s">
        <v>940</v>
      </c>
      <c r="K585" s="350">
        <f>INT(('Run Time Parameters'!$E$5-'Data Sample'!H585)/365.25)</f>
        <v>32</v>
      </c>
      <c r="L585" s="368">
        <v>1994</v>
      </c>
      <c r="M585" s="368">
        <v>0</v>
      </c>
      <c r="N585" s="350" t="s">
        <v>867</v>
      </c>
      <c r="O585" s="368">
        <v>0</v>
      </c>
      <c r="P585" s="368">
        <v>0</v>
      </c>
      <c r="Q585" s="367">
        <v>28189</v>
      </c>
      <c r="R585" s="368" t="s">
        <v>862</v>
      </c>
      <c r="S585" s="368" t="s">
        <v>940</v>
      </c>
      <c r="T585" s="350">
        <f>INT(('Run Time Parameters'!$E$5-'Data Sample'!Q585)/365.25)</f>
        <v>32</v>
      </c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339"/>
      <c r="AJ585" s="353">
        <f t="shared" si="28"/>
        <v>69</v>
      </c>
    </row>
    <row r="586" spans="1:36">
      <c r="A586" s="332">
        <f t="shared" ref="A586:A649" si="29">1+A585</f>
        <v>70</v>
      </c>
      <c r="F586" s="365"/>
      <c r="G586" s="366" t="s">
        <v>941</v>
      </c>
      <c r="H586" s="367">
        <v>28724</v>
      </c>
      <c r="I586" s="351" t="s">
        <v>870</v>
      </c>
      <c r="J586" s="350" t="s">
        <v>874</v>
      </c>
      <c r="K586" s="350">
        <f>INT(('Run Time Parameters'!$E$5-'Data Sample'!H586)/365.25)</f>
        <v>31</v>
      </c>
      <c r="L586" s="368">
        <v>1997</v>
      </c>
      <c r="M586" s="368">
        <v>0</v>
      </c>
      <c r="N586" s="350" t="s">
        <v>864</v>
      </c>
      <c r="O586" s="368">
        <v>0</v>
      </c>
      <c r="P586" s="368">
        <v>0</v>
      </c>
      <c r="Q586" s="367">
        <v>28724</v>
      </c>
      <c r="R586" s="368" t="s">
        <v>870</v>
      </c>
      <c r="S586" s="368" t="s">
        <v>874</v>
      </c>
      <c r="T586" s="350">
        <f>INT(('Run Time Parameters'!$E$5-'Data Sample'!Q586)/365.25)</f>
        <v>31</v>
      </c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339"/>
      <c r="AJ586" s="353">
        <f t="shared" si="28"/>
        <v>70</v>
      </c>
    </row>
    <row r="587" spans="1:36">
      <c r="A587" s="332">
        <f t="shared" si="29"/>
        <v>71</v>
      </c>
      <c r="F587" s="365"/>
      <c r="G587" s="366" t="s">
        <v>942</v>
      </c>
      <c r="H587" s="367">
        <v>13287</v>
      </c>
      <c r="I587" s="351" t="s">
        <v>870</v>
      </c>
      <c r="J587" s="350" t="s">
        <v>915</v>
      </c>
      <c r="K587" s="350">
        <f>INT(('Run Time Parameters'!$E$5-'Data Sample'!H587)/365.25)</f>
        <v>73</v>
      </c>
      <c r="L587" s="368">
        <v>1953</v>
      </c>
      <c r="M587" s="368">
        <v>0</v>
      </c>
      <c r="N587" s="350" t="s">
        <v>867</v>
      </c>
      <c r="O587" s="368">
        <v>0</v>
      </c>
      <c r="P587" s="368">
        <v>0</v>
      </c>
      <c r="Q587" s="367">
        <v>13287</v>
      </c>
      <c r="R587" s="368" t="s">
        <v>870</v>
      </c>
      <c r="S587" s="368" t="s">
        <v>915</v>
      </c>
      <c r="T587" s="350">
        <f>INT(('Run Time Parameters'!$E$5-'Data Sample'!Q587)/365.25)</f>
        <v>73</v>
      </c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339"/>
      <c r="AJ587" s="353">
        <f t="shared" si="28"/>
        <v>71</v>
      </c>
    </row>
    <row r="588" spans="1:36">
      <c r="A588" s="332">
        <f t="shared" si="29"/>
        <v>72</v>
      </c>
      <c r="F588" s="365"/>
      <c r="G588" s="366" t="s">
        <v>943</v>
      </c>
      <c r="H588" s="367">
        <v>25532.041666666668</v>
      </c>
      <c r="I588" s="351" t="s">
        <v>862</v>
      </c>
      <c r="J588" s="350" t="s">
        <v>866</v>
      </c>
      <c r="K588" s="350">
        <f>INT(('Run Time Parameters'!$E$5-'Data Sample'!H588)/365.25)</f>
        <v>39</v>
      </c>
      <c r="L588" s="368">
        <v>1990</v>
      </c>
      <c r="M588" s="368">
        <v>0</v>
      </c>
      <c r="N588" s="350" t="s">
        <v>867</v>
      </c>
      <c r="O588" s="368">
        <v>0</v>
      </c>
      <c r="P588" s="368">
        <v>0</v>
      </c>
      <c r="Q588" s="367">
        <v>25532.041666666668</v>
      </c>
      <c r="R588" s="368" t="s">
        <v>862</v>
      </c>
      <c r="S588" s="368" t="s">
        <v>866</v>
      </c>
      <c r="T588" s="350">
        <f>INT(('Run Time Parameters'!$E$5-'Data Sample'!Q588)/365.25)</f>
        <v>39</v>
      </c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339"/>
      <c r="AJ588" s="353">
        <f t="shared" si="28"/>
        <v>72</v>
      </c>
    </row>
    <row r="589" spans="1:36">
      <c r="A589" s="332">
        <f t="shared" si="29"/>
        <v>73</v>
      </c>
      <c r="F589" s="365"/>
      <c r="G589" s="366" t="s">
        <v>944</v>
      </c>
      <c r="H589" s="367">
        <v>26696</v>
      </c>
      <c r="I589" s="351" t="s">
        <v>870</v>
      </c>
      <c r="J589" s="350" t="s">
        <v>863</v>
      </c>
      <c r="K589" s="350">
        <f>INT(('Run Time Parameters'!$E$5-'Data Sample'!H589)/365.25)</f>
        <v>36</v>
      </c>
      <c r="L589" s="368">
        <v>1991</v>
      </c>
      <c r="M589" s="368">
        <v>0</v>
      </c>
      <c r="N589" s="350" t="s">
        <v>867</v>
      </c>
      <c r="O589" s="368">
        <v>0</v>
      </c>
      <c r="P589" s="368">
        <v>0</v>
      </c>
      <c r="Q589" s="367">
        <v>27077</v>
      </c>
      <c r="R589" s="368" t="s">
        <v>862</v>
      </c>
      <c r="S589" s="368" t="s">
        <v>863</v>
      </c>
      <c r="T589" s="350">
        <f>INT(('Run Time Parameters'!$E$5-'Data Sample'!Q589)/365.25)</f>
        <v>35</v>
      </c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339"/>
      <c r="AJ589" s="353">
        <f t="shared" si="28"/>
        <v>73</v>
      </c>
    </row>
    <row r="590" spans="1:36">
      <c r="A590" s="332">
        <f t="shared" si="29"/>
        <v>74</v>
      </c>
      <c r="F590" s="365"/>
      <c r="G590" s="366" t="s">
        <v>945</v>
      </c>
      <c r="H590" s="367">
        <v>27983</v>
      </c>
      <c r="I590" s="351" t="s">
        <v>862</v>
      </c>
      <c r="J590" s="350" t="s">
        <v>863</v>
      </c>
      <c r="K590" s="350">
        <f>INT(('Run Time Parameters'!$E$5-'Data Sample'!H590)/365.25)</f>
        <v>33</v>
      </c>
      <c r="L590" s="368">
        <v>1997</v>
      </c>
      <c r="M590" s="368">
        <v>1</v>
      </c>
      <c r="N590" s="350" t="s">
        <v>867</v>
      </c>
      <c r="O590" s="368">
        <v>0</v>
      </c>
      <c r="P590" s="368">
        <v>0</v>
      </c>
      <c r="Q590" s="367">
        <v>27983</v>
      </c>
      <c r="R590" s="368" t="s">
        <v>862</v>
      </c>
      <c r="S590" s="368" t="s">
        <v>863</v>
      </c>
      <c r="T590" s="350">
        <f>INT(('Run Time Parameters'!$E$5-'Data Sample'!Q590)/365.25)</f>
        <v>33</v>
      </c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339"/>
      <c r="AJ590" s="353">
        <f t="shared" si="28"/>
        <v>74</v>
      </c>
    </row>
    <row r="591" spans="1:36">
      <c r="A591" s="332">
        <f t="shared" si="29"/>
        <v>75</v>
      </c>
      <c r="F591" s="365"/>
      <c r="G591" s="366" t="s">
        <v>946</v>
      </c>
      <c r="H591" s="367">
        <v>26862</v>
      </c>
      <c r="I591" s="351" t="s">
        <v>870</v>
      </c>
      <c r="J591" s="350" t="s">
        <v>863</v>
      </c>
      <c r="K591" s="350">
        <f>INT(('Run Time Parameters'!$E$5-'Data Sample'!H591)/365.25)</f>
        <v>36</v>
      </c>
      <c r="L591" s="368">
        <v>1991</v>
      </c>
      <c r="M591" s="368">
        <v>0</v>
      </c>
      <c r="N591" s="350" t="s">
        <v>864</v>
      </c>
      <c r="O591" s="368">
        <v>0</v>
      </c>
      <c r="P591" s="368">
        <v>0</v>
      </c>
      <c r="Q591" s="367">
        <v>27718</v>
      </c>
      <c r="R591" s="368" t="s">
        <v>862</v>
      </c>
      <c r="S591" s="368" t="s">
        <v>863</v>
      </c>
      <c r="T591" s="350">
        <f>INT(('Run Time Parameters'!$E$5-'Data Sample'!Q591)/365.25)</f>
        <v>33</v>
      </c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339"/>
      <c r="AJ591" s="353">
        <f t="shared" si="28"/>
        <v>75</v>
      </c>
    </row>
    <row r="592" spans="1:36">
      <c r="A592" s="332">
        <f t="shared" si="29"/>
        <v>76</v>
      </c>
      <c r="F592" s="365"/>
      <c r="G592" s="366" t="s">
        <v>947</v>
      </c>
      <c r="H592" s="367">
        <v>27111.041666666668</v>
      </c>
      <c r="I592" s="351" t="s">
        <v>862</v>
      </c>
      <c r="J592" s="350" t="s">
        <v>863</v>
      </c>
      <c r="K592" s="350">
        <f>INT(('Run Time Parameters'!$E$5-'Data Sample'!H592)/365.25)</f>
        <v>35</v>
      </c>
      <c r="L592" s="368">
        <v>1993</v>
      </c>
      <c r="M592" s="368">
        <v>0</v>
      </c>
      <c r="N592" s="350" t="s">
        <v>867</v>
      </c>
      <c r="O592" s="368">
        <v>0</v>
      </c>
      <c r="P592" s="368">
        <v>0</v>
      </c>
      <c r="Q592" s="367">
        <v>27111.041666666668</v>
      </c>
      <c r="R592" s="368" t="s">
        <v>862</v>
      </c>
      <c r="S592" s="368" t="s">
        <v>863</v>
      </c>
      <c r="T592" s="350">
        <f>INT(('Run Time Parameters'!$E$5-'Data Sample'!Q592)/365.25)</f>
        <v>35</v>
      </c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339"/>
      <c r="AJ592" s="353">
        <f t="shared" si="28"/>
        <v>76</v>
      </c>
    </row>
    <row r="593" spans="1:36">
      <c r="A593" s="332">
        <f t="shared" si="29"/>
        <v>77</v>
      </c>
      <c r="F593" s="365"/>
      <c r="G593" s="366" t="s">
        <v>948</v>
      </c>
      <c r="H593" s="367">
        <v>17419</v>
      </c>
      <c r="I593" s="351" t="s">
        <v>862</v>
      </c>
      <c r="J593" s="350" t="s">
        <v>863</v>
      </c>
      <c r="K593" s="350">
        <f>INT(('Run Time Parameters'!$E$5-'Data Sample'!H593)/365.25)</f>
        <v>62</v>
      </c>
      <c r="L593" s="368">
        <v>1964</v>
      </c>
      <c r="M593" s="368">
        <v>0</v>
      </c>
      <c r="N593" s="350" t="s">
        <v>867</v>
      </c>
      <c r="O593" s="368">
        <v>0</v>
      </c>
      <c r="P593" s="368">
        <v>0</v>
      </c>
      <c r="Q593" s="367">
        <v>17419</v>
      </c>
      <c r="R593" s="368" t="s">
        <v>862</v>
      </c>
      <c r="S593" s="368" t="s">
        <v>863</v>
      </c>
      <c r="T593" s="350">
        <f>INT(('Run Time Parameters'!$E$5-'Data Sample'!Q593)/365.25)</f>
        <v>62</v>
      </c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339"/>
      <c r="AJ593" s="353">
        <f t="shared" si="28"/>
        <v>77</v>
      </c>
    </row>
    <row r="594" spans="1:36">
      <c r="A594" s="332">
        <f t="shared" si="29"/>
        <v>78</v>
      </c>
      <c r="F594" s="365"/>
      <c r="G594" s="366" t="s">
        <v>949</v>
      </c>
      <c r="H594" s="367">
        <v>11712.041666666666</v>
      </c>
      <c r="I594" s="351" t="s">
        <v>870</v>
      </c>
      <c r="J594" s="350" t="s">
        <v>863</v>
      </c>
      <c r="K594" s="350">
        <f>INT(('Run Time Parameters'!$E$5-'Data Sample'!H594)/365.25)</f>
        <v>77</v>
      </c>
      <c r="L594" s="368">
        <v>1949</v>
      </c>
      <c r="M594" s="368">
        <v>1</v>
      </c>
      <c r="N594" s="350" t="s">
        <v>864</v>
      </c>
      <c r="O594" s="368">
        <v>0</v>
      </c>
      <c r="P594" s="368">
        <v>0</v>
      </c>
      <c r="Q594" s="367">
        <v>11712.041666666666</v>
      </c>
      <c r="R594" s="368" t="s">
        <v>870</v>
      </c>
      <c r="S594" s="368" t="s">
        <v>863</v>
      </c>
      <c r="T594" s="350">
        <f>INT(('Run Time Parameters'!$E$5-'Data Sample'!Q594)/365.25)</f>
        <v>77</v>
      </c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339"/>
      <c r="AJ594" s="353">
        <f t="shared" si="28"/>
        <v>78</v>
      </c>
    </row>
    <row r="595" spans="1:36">
      <c r="A595" s="332">
        <f t="shared" si="29"/>
        <v>79</v>
      </c>
      <c r="F595" s="365"/>
      <c r="G595" s="366" t="s">
        <v>950</v>
      </c>
      <c r="H595" s="367">
        <v>16019</v>
      </c>
      <c r="I595" s="351" t="s">
        <v>870</v>
      </c>
      <c r="J595" s="350" t="s">
        <v>863</v>
      </c>
      <c r="K595" s="350">
        <f>INT(('Run Time Parameters'!$E$5-'Data Sample'!H595)/365.25)</f>
        <v>65</v>
      </c>
      <c r="L595" s="368">
        <v>1964</v>
      </c>
      <c r="M595" s="368">
        <v>0</v>
      </c>
      <c r="N595" s="350" t="s">
        <v>867</v>
      </c>
      <c r="O595" s="368">
        <v>0</v>
      </c>
      <c r="P595" s="368">
        <v>0</v>
      </c>
      <c r="Q595" s="367">
        <v>16019</v>
      </c>
      <c r="R595" s="368" t="s">
        <v>870</v>
      </c>
      <c r="S595" s="368" t="s">
        <v>863</v>
      </c>
      <c r="T595" s="350">
        <f>INT(('Run Time Parameters'!$E$5-'Data Sample'!Q595)/365.25)</f>
        <v>65</v>
      </c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339"/>
      <c r="AJ595" s="353">
        <f t="shared" si="28"/>
        <v>79</v>
      </c>
    </row>
    <row r="596" spans="1:36">
      <c r="A596" s="332">
        <f t="shared" si="29"/>
        <v>80</v>
      </c>
      <c r="F596" s="365"/>
      <c r="G596" s="366" t="s">
        <v>951</v>
      </c>
      <c r="H596" s="367">
        <v>25228.041666666668</v>
      </c>
      <c r="I596" s="351" t="s">
        <v>870</v>
      </c>
      <c r="J596" s="350" t="s">
        <v>863</v>
      </c>
      <c r="K596" s="350">
        <f>INT(('Run Time Parameters'!$E$5-'Data Sample'!H596)/365.25)</f>
        <v>40</v>
      </c>
      <c r="L596" s="368">
        <v>1987</v>
      </c>
      <c r="M596" s="368">
        <v>0</v>
      </c>
      <c r="N596" s="350" t="s">
        <v>864</v>
      </c>
      <c r="O596" s="368">
        <v>0</v>
      </c>
      <c r="P596" s="368">
        <v>0</v>
      </c>
      <c r="Q596" s="367">
        <v>25710</v>
      </c>
      <c r="R596" s="368" t="s">
        <v>862</v>
      </c>
      <c r="S596" s="368" t="s">
        <v>863</v>
      </c>
      <c r="T596" s="350">
        <f>INT(('Run Time Parameters'!$E$5-'Data Sample'!Q596)/365.25)</f>
        <v>39</v>
      </c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339"/>
      <c r="AJ596" s="353">
        <f t="shared" si="28"/>
        <v>80</v>
      </c>
    </row>
    <row r="597" spans="1:36">
      <c r="A597" s="332">
        <f t="shared" si="29"/>
        <v>81</v>
      </c>
      <c r="F597" s="365"/>
      <c r="G597" s="366" t="s">
        <v>952</v>
      </c>
      <c r="H597" s="367">
        <v>25038</v>
      </c>
      <c r="I597" s="351" t="s">
        <v>862</v>
      </c>
      <c r="J597" s="350" t="s">
        <v>863</v>
      </c>
      <c r="K597" s="350">
        <f>INT(('Run Time Parameters'!$E$5-'Data Sample'!H597)/365.25)</f>
        <v>41</v>
      </c>
      <c r="L597" s="368">
        <v>1985</v>
      </c>
      <c r="M597" s="368">
        <v>1</v>
      </c>
      <c r="N597" s="350" t="s">
        <v>864</v>
      </c>
      <c r="O597" s="368">
        <v>0</v>
      </c>
      <c r="P597" s="368">
        <v>0</v>
      </c>
      <c r="Q597" s="367">
        <v>25038</v>
      </c>
      <c r="R597" s="368" t="s">
        <v>862</v>
      </c>
      <c r="S597" s="368" t="s">
        <v>863</v>
      </c>
      <c r="T597" s="350">
        <f>INT(('Run Time Parameters'!$E$5-'Data Sample'!Q597)/365.25)</f>
        <v>41</v>
      </c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339"/>
      <c r="AJ597" s="353">
        <f t="shared" si="28"/>
        <v>81</v>
      </c>
    </row>
    <row r="598" spans="1:36">
      <c r="A598" s="332">
        <f t="shared" si="29"/>
        <v>82</v>
      </c>
      <c r="F598" s="365"/>
      <c r="G598" s="366" t="s">
        <v>953</v>
      </c>
      <c r="H598" s="367">
        <v>28606</v>
      </c>
      <c r="I598" s="351" t="s">
        <v>862</v>
      </c>
      <c r="J598" s="350" t="s">
        <v>863</v>
      </c>
      <c r="K598" s="350">
        <f>INT(('Run Time Parameters'!$E$5-'Data Sample'!H598)/365.25)</f>
        <v>31</v>
      </c>
      <c r="L598" s="368">
        <v>1995</v>
      </c>
      <c r="M598" s="368">
        <v>0</v>
      </c>
      <c r="N598" s="350" t="s">
        <v>867</v>
      </c>
      <c r="O598" s="368">
        <v>0</v>
      </c>
      <c r="P598" s="368">
        <v>0</v>
      </c>
      <c r="Q598" s="367">
        <v>28606</v>
      </c>
      <c r="R598" s="368" t="s">
        <v>862</v>
      </c>
      <c r="S598" s="368" t="s">
        <v>863</v>
      </c>
      <c r="T598" s="350">
        <f>INT(('Run Time Parameters'!$E$5-'Data Sample'!Q598)/365.25)</f>
        <v>31</v>
      </c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339"/>
      <c r="AJ598" s="353">
        <f t="shared" si="28"/>
        <v>82</v>
      </c>
    </row>
    <row r="599" spans="1:36">
      <c r="A599" s="332">
        <f t="shared" si="29"/>
        <v>83</v>
      </c>
      <c r="F599" s="365"/>
      <c r="G599" s="366" t="s">
        <v>954</v>
      </c>
      <c r="H599" s="367">
        <v>24398.041666666668</v>
      </c>
      <c r="I599" s="351" t="s">
        <v>870</v>
      </c>
      <c r="J599" s="350" t="s">
        <v>863</v>
      </c>
      <c r="K599" s="350">
        <f>INT(('Run Time Parameters'!$E$5-'Data Sample'!H599)/365.25)</f>
        <v>43</v>
      </c>
      <c r="L599" s="368">
        <v>1986</v>
      </c>
      <c r="M599" s="368">
        <v>2</v>
      </c>
      <c r="N599" s="350" t="s">
        <v>864</v>
      </c>
      <c r="O599" s="368">
        <v>0</v>
      </c>
      <c r="P599" s="368">
        <v>0</v>
      </c>
      <c r="Q599" s="367">
        <v>24669</v>
      </c>
      <c r="R599" s="368" t="s">
        <v>862</v>
      </c>
      <c r="S599" s="368" t="s">
        <v>863</v>
      </c>
      <c r="T599" s="350">
        <f>INT(('Run Time Parameters'!$E$5-'Data Sample'!Q599)/365.25)</f>
        <v>42</v>
      </c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339"/>
      <c r="AJ599" s="353">
        <f t="shared" si="28"/>
        <v>83</v>
      </c>
    </row>
    <row r="600" spans="1:36">
      <c r="A600" s="332">
        <f t="shared" si="29"/>
        <v>84</v>
      </c>
      <c r="F600" s="365"/>
      <c r="G600" s="366" t="s">
        <v>955</v>
      </c>
      <c r="H600" s="367">
        <v>17398</v>
      </c>
      <c r="I600" s="351" t="s">
        <v>862</v>
      </c>
      <c r="J600" s="350" t="s">
        <v>940</v>
      </c>
      <c r="K600" s="350">
        <f>INT(('Run Time Parameters'!$E$5-'Data Sample'!H600)/365.25)</f>
        <v>62</v>
      </c>
      <c r="L600" s="368">
        <v>1964</v>
      </c>
      <c r="M600" s="368">
        <v>0</v>
      </c>
      <c r="N600" s="350" t="s">
        <v>867</v>
      </c>
      <c r="O600" s="368">
        <v>0</v>
      </c>
      <c r="P600" s="368">
        <v>0</v>
      </c>
      <c r="Q600" s="367">
        <v>17398</v>
      </c>
      <c r="R600" s="368" t="s">
        <v>862</v>
      </c>
      <c r="S600" s="368" t="s">
        <v>940</v>
      </c>
      <c r="T600" s="350">
        <f>INT(('Run Time Parameters'!$E$5-'Data Sample'!Q600)/365.25)</f>
        <v>62</v>
      </c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339"/>
      <c r="AJ600" s="353">
        <f t="shared" si="28"/>
        <v>84</v>
      </c>
    </row>
    <row r="601" spans="1:36">
      <c r="A601" s="332">
        <f t="shared" si="29"/>
        <v>85</v>
      </c>
      <c r="F601" s="365"/>
      <c r="G601" s="366" t="s">
        <v>956</v>
      </c>
      <c r="H601" s="367">
        <v>28870</v>
      </c>
      <c r="I601" s="351" t="s">
        <v>870</v>
      </c>
      <c r="J601" s="350" t="s">
        <v>863</v>
      </c>
      <c r="K601" s="350">
        <f>INT(('Run Time Parameters'!$E$5-'Data Sample'!H601)/365.25)</f>
        <v>30</v>
      </c>
      <c r="L601" s="368">
        <v>1996</v>
      </c>
      <c r="M601" s="368">
        <v>3</v>
      </c>
      <c r="N601" s="350" t="s">
        <v>864</v>
      </c>
      <c r="O601" s="368">
        <v>0</v>
      </c>
      <c r="P601" s="368">
        <v>0</v>
      </c>
      <c r="Q601" s="367">
        <v>28873</v>
      </c>
      <c r="R601" s="368" t="s">
        <v>862</v>
      </c>
      <c r="S601" s="368" t="s">
        <v>863</v>
      </c>
      <c r="T601" s="350">
        <f>INT(('Run Time Parameters'!$E$5-'Data Sample'!Q601)/365.25)</f>
        <v>30</v>
      </c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339"/>
      <c r="AJ601" s="353">
        <f t="shared" si="28"/>
        <v>85</v>
      </c>
    </row>
    <row r="602" spans="1:36">
      <c r="A602" s="332">
        <f t="shared" si="29"/>
        <v>86</v>
      </c>
      <c r="F602" s="365"/>
      <c r="G602" s="366" t="s">
        <v>957</v>
      </c>
      <c r="H602" s="367">
        <v>26328</v>
      </c>
      <c r="I602" s="351" t="s">
        <v>862</v>
      </c>
      <c r="J602" s="350" t="s">
        <v>863</v>
      </c>
      <c r="K602" s="350">
        <f>INT(('Run Time Parameters'!$E$5-'Data Sample'!H602)/365.25)</f>
        <v>37</v>
      </c>
      <c r="L602" s="368">
        <v>1989</v>
      </c>
      <c r="M602" s="368">
        <v>0</v>
      </c>
      <c r="N602" s="350" t="s">
        <v>867</v>
      </c>
      <c r="O602" s="368">
        <v>0</v>
      </c>
      <c r="P602" s="368">
        <v>0</v>
      </c>
      <c r="Q602" s="367">
        <v>26328</v>
      </c>
      <c r="R602" s="368" t="s">
        <v>862</v>
      </c>
      <c r="S602" s="368" t="s">
        <v>863</v>
      </c>
      <c r="T602" s="350">
        <f>INT(('Run Time Parameters'!$E$5-'Data Sample'!Q602)/365.25)</f>
        <v>37</v>
      </c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339"/>
      <c r="AJ602" s="353">
        <f t="shared" si="28"/>
        <v>86</v>
      </c>
    </row>
    <row r="603" spans="1:36">
      <c r="A603" s="332">
        <f t="shared" si="29"/>
        <v>87</v>
      </c>
      <c r="F603" s="365"/>
      <c r="G603" s="366" t="s">
        <v>958</v>
      </c>
      <c r="H603" s="367">
        <v>19623</v>
      </c>
      <c r="I603" s="351" t="s">
        <v>862</v>
      </c>
      <c r="J603" s="350" t="s">
        <v>874</v>
      </c>
      <c r="K603" s="350">
        <f>INT(('Run Time Parameters'!$E$5-'Data Sample'!H603)/365.25)</f>
        <v>56</v>
      </c>
      <c r="L603" s="368">
        <v>1971</v>
      </c>
      <c r="M603" s="368">
        <v>1</v>
      </c>
      <c r="N603" s="350" t="s">
        <v>867</v>
      </c>
      <c r="O603" s="368">
        <v>0</v>
      </c>
      <c r="P603" s="368">
        <v>0</v>
      </c>
      <c r="Q603" s="367">
        <v>19623</v>
      </c>
      <c r="R603" s="368" t="s">
        <v>862</v>
      </c>
      <c r="S603" s="368" t="s">
        <v>874</v>
      </c>
      <c r="T603" s="350">
        <f>INT(('Run Time Parameters'!$E$5-'Data Sample'!Q603)/365.25)</f>
        <v>56</v>
      </c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339"/>
      <c r="AJ603" s="353">
        <f t="shared" si="28"/>
        <v>87</v>
      </c>
    </row>
    <row r="604" spans="1:36">
      <c r="A604" s="332">
        <f t="shared" si="29"/>
        <v>88</v>
      </c>
      <c r="F604" s="365"/>
      <c r="G604" s="366" t="s">
        <v>959</v>
      </c>
      <c r="H604" s="367">
        <v>20372.041666666668</v>
      </c>
      <c r="I604" s="351" t="s">
        <v>870</v>
      </c>
      <c r="J604" s="350" t="s">
        <v>863</v>
      </c>
      <c r="K604" s="350">
        <f>INT(('Run Time Parameters'!$E$5-'Data Sample'!H604)/365.25)</f>
        <v>54</v>
      </c>
      <c r="L604" s="368">
        <v>1972</v>
      </c>
      <c r="M604" s="368">
        <v>0</v>
      </c>
      <c r="N604" s="350" t="s">
        <v>864</v>
      </c>
      <c r="O604" s="368">
        <v>0</v>
      </c>
      <c r="P604" s="368">
        <v>0</v>
      </c>
      <c r="Q604" s="367">
        <v>21178.041666666668</v>
      </c>
      <c r="R604" s="368" t="s">
        <v>862</v>
      </c>
      <c r="S604" s="368" t="s">
        <v>863</v>
      </c>
      <c r="T604" s="350">
        <f>INT(('Run Time Parameters'!$E$5-'Data Sample'!Q604)/365.25)</f>
        <v>51</v>
      </c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339"/>
      <c r="AJ604" s="353">
        <f t="shared" si="28"/>
        <v>88</v>
      </c>
    </row>
    <row r="605" spans="1:36">
      <c r="A605" s="332">
        <f t="shared" si="29"/>
        <v>89</v>
      </c>
      <c r="F605" s="365"/>
      <c r="G605" s="366" t="s">
        <v>960</v>
      </c>
      <c r="H605" s="367">
        <v>13462.041666666666</v>
      </c>
      <c r="I605" s="351" t="s">
        <v>870</v>
      </c>
      <c r="J605" s="350" t="s">
        <v>863</v>
      </c>
      <c r="K605" s="350">
        <f>INT(('Run Time Parameters'!$E$5-'Data Sample'!H605)/365.25)</f>
        <v>72</v>
      </c>
      <c r="L605" s="368">
        <v>1956</v>
      </c>
      <c r="M605" s="368">
        <v>0</v>
      </c>
      <c r="N605" s="350" t="s">
        <v>867</v>
      </c>
      <c r="O605" s="368">
        <v>0</v>
      </c>
      <c r="P605" s="368">
        <v>0</v>
      </c>
      <c r="Q605" s="367">
        <v>13462.041666666666</v>
      </c>
      <c r="R605" s="368" t="s">
        <v>870</v>
      </c>
      <c r="S605" s="368" t="s">
        <v>863</v>
      </c>
      <c r="T605" s="350">
        <f>INT(('Run Time Parameters'!$E$5-'Data Sample'!Q605)/365.25)</f>
        <v>72</v>
      </c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339"/>
      <c r="AJ605" s="353">
        <f t="shared" si="28"/>
        <v>89</v>
      </c>
    </row>
    <row r="606" spans="1:36">
      <c r="A606" s="332">
        <f t="shared" si="29"/>
        <v>90</v>
      </c>
      <c r="F606" s="365"/>
      <c r="G606" s="366" t="s">
        <v>961</v>
      </c>
      <c r="H606" s="367">
        <v>27216</v>
      </c>
      <c r="I606" s="351" t="s">
        <v>870</v>
      </c>
      <c r="J606" s="350" t="s">
        <v>863</v>
      </c>
      <c r="K606" s="350">
        <f>INT(('Run Time Parameters'!$E$5-'Data Sample'!H606)/365.25)</f>
        <v>35</v>
      </c>
      <c r="L606" s="368">
        <v>1995</v>
      </c>
      <c r="M606" s="368">
        <v>0</v>
      </c>
      <c r="N606" s="350" t="s">
        <v>867</v>
      </c>
      <c r="O606" s="368">
        <v>0</v>
      </c>
      <c r="P606" s="368">
        <v>0</v>
      </c>
      <c r="Q606" s="367">
        <v>27368</v>
      </c>
      <c r="R606" s="368" t="s">
        <v>862</v>
      </c>
      <c r="S606" s="368" t="s">
        <v>863</v>
      </c>
      <c r="T606" s="350">
        <f>INT(('Run Time Parameters'!$E$5-'Data Sample'!Q606)/365.25)</f>
        <v>34</v>
      </c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339"/>
      <c r="AJ606" s="353">
        <f t="shared" si="28"/>
        <v>90</v>
      </c>
    </row>
    <row r="607" spans="1:36">
      <c r="A607" s="332">
        <f t="shared" si="29"/>
        <v>91</v>
      </c>
      <c r="F607" s="365"/>
      <c r="G607" s="366" t="s">
        <v>962</v>
      </c>
      <c r="H607" s="367">
        <v>26410</v>
      </c>
      <c r="I607" s="351" t="s">
        <v>870</v>
      </c>
      <c r="J607" s="350" t="s">
        <v>866</v>
      </c>
      <c r="K607" s="350">
        <f>INT(('Run Time Parameters'!$E$5-'Data Sample'!H607)/365.25)</f>
        <v>37</v>
      </c>
      <c r="L607" s="368">
        <v>1989</v>
      </c>
      <c r="M607" s="368">
        <v>1</v>
      </c>
      <c r="N607" s="350" t="s">
        <v>867</v>
      </c>
      <c r="O607" s="368">
        <v>0</v>
      </c>
      <c r="P607" s="368">
        <v>0</v>
      </c>
      <c r="Q607" s="367">
        <v>26410</v>
      </c>
      <c r="R607" s="368" t="s">
        <v>870</v>
      </c>
      <c r="S607" s="368" t="s">
        <v>866</v>
      </c>
      <c r="T607" s="350">
        <f>INT(('Run Time Parameters'!$E$5-'Data Sample'!Q607)/365.25)</f>
        <v>37</v>
      </c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339"/>
      <c r="AJ607" s="353">
        <f t="shared" si="28"/>
        <v>91</v>
      </c>
    </row>
    <row r="608" spans="1:36">
      <c r="A608" s="332">
        <f t="shared" si="29"/>
        <v>92</v>
      </c>
      <c r="F608" s="365"/>
      <c r="G608" s="366" t="s">
        <v>963</v>
      </c>
      <c r="H608" s="367">
        <v>14549.041666666666</v>
      </c>
      <c r="I608" s="351" t="s">
        <v>862</v>
      </c>
      <c r="J608" s="350" t="s">
        <v>915</v>
      </c>
      <c r="K608" s="350">
        <f>INT(('Run Time Parameters'!$E$5-'Data Sample'!H608)/365.25)</f>
        <v>69</v>
      </c>
      <c r="L608" s="368">
        <v>1967</v>
      </c>
      <c r="M608" s="368">
        <v>0</v>
      </c>
      <c r="N608" s="350" t="s">
        <v>867</v>
      </c>
      <c r="O608" s="368">
        <v>0</v>
      </c>
      <c r="P608" s="368">
        <v>0</v>
      </c>
      <c r="Q608" s="367">
        <v>14549.041666666666</v>
      </c>
      <c r="R608" s="368" t="s">
        <v>862</v>
      </c>
      <c r="S608" s="368" t="s">
        <v>915</v>
      </c>
      <c r="T608" s="350">
        <f>INT(('Run Time Parameters'!$E$5-'Data Sample'!Q608)/365.25)</f>
        <v>69</v>
      </c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339"/>
      <c r="AJ608" s="353">
        <f t="shared" si="28"/>
        <v>92</v>
      </c>
    </row>
    <row r="609" spans="1:36">
      <c r="A609" s="332">
        <f t="shared" si="29"/>
        <v>93</v>
      </c>
      <c r="F609" s="365"/>
      <c r="G609" s="366" t="s">
        <v>964</v>
      </c>
      <c r="H609" s="367">
        <v>18734</v>
      </c>
      <c r="I609" s="351" t="s">
        <v>862</v>
      </c>
      <c r="J609" s="350" t="s">
        <v>866</v>
      </c>
      <c r="K609" s="350">
        <f>INT(('Run Time Parameters'!$E$5-'Data Sample'!H609)/365.25)</f>
        <v>58</v>
      </c>
      <c r="L609" s="368">
        <v>1969</v>
      </c>
      <c r="M609" s="368">
        <v>0</v>
      </c>
      <c r="N609" s="350" t="s">
        <v>864</v>
      </c>
      <c r="O609" s="368">
        <v>0</v>
      </c>
      <c r="P609" s="368">
        <v>0</v>
      </c>
      <c r="Q609" s="367">
        <v>18734</v>
      </c>
      <c r="R609" s="368" t="s">
        <v>862</v>
      </c>
      <c r="S609" s="368" t="s">
        <v>866</v>
      </c>
      <c r="T609" s="350">
        <f>INT(('Run Time Parameters'!$E$5-'Data Sample'!Q609)/365.25)</f>
        <v>58</v>
      </c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339"/>
      <c r="AJ609" s="353">
        <f t="shared" si="28"/>
        <v>93</v>
      </c>
    </row>
    <row r="610" spans="1:36">
      <c r="A610" s="332">
        <f t="shared" si="29"/>
        <v>94</v>
      </c>
      <c r="F610" s="365"/>
      <c r="G610" s="366" t="s">
        <v>965</v>
      </c>
      <c r="H610" s="367">
        <v>19616</v>
      </c>
      <c r="I610" s="351" t="s">
        <v>870</v>
      </c>
      <c r="J610" s="350" t="s">
        <v>863</v>
      </c>
      <c r="K610" s="350">
        <f>INT(('Run Time Parameters'!$E$5-'Data Sample'!H610)/365.25)</f>
        <v>56</v>
      </c>
      <c r="L610" s="368">
        <v>1970</v>
      </c>
      <c r="M610" s="368">
        <v>0</v>
      </c>
      <c r="N610" s="350" t="s">
        <v>867</v>
      </c>
      <c r="O610" s="368">
        <v>0</v>
      </c>
      <c r="P610" s="368">
        <v>0</v>
      </c>
      <c r="Q610" s="367">
        <v>19616</v>
      </c>
      <c r="R610" s="368" t="s">
        <v>870</v>
      </c>
      <c r="S610" s="368" t="s">
        <v>863</v>
      </c>
      <c r="T610" s="350">
        <f>INT(('Run Time Parameters'!$E$5-'Data Sample'!Q610)/365.25)</f>
        <v>56</v>
      </c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339"/>
      <c r="AJ610" s="353">
        <f t="shared" si="28"/>
        <v>94</v>
      </c>
    </row>
    <row r="611" spans="1:36">
      <c r="A611" s="332">
        <f t="shared" si="29"/>
        <v>95</v>
      </c>
      <c r="F611" s="365"/>
      <c r="G611" s="366" t="s">
        <v>966</v>
      </c>
      <c r="H611" s="367">
        <v>22245.041666666668</v>
      </c>
      <c r="I611" s="351" t="s">
        <v>862</v>
      </c>
      <c r="J611" s="350" t="s">
        <v>863</v>
      </c>
      <c r="K611" s="350">
        <f>INT(('Run Time Parameters'!$E$5-'Data Sample'!H611)/365.25)</f>
        <v>48</v>
      </c>
      <c r="L611" s="368">
        <v>1977</v>
      </c>
      <c r="M611" s="368">
        <v>0</v>
      </c>
      <c r="N611" s="350" t="s">
        <v>867</v>
      </c>
      <c r="O611" s="368">
        <v>0</v>
      </c>
      <c r="P611" s="368">
        <v>0</v>
      </c>
      <c r="Q611" s="367">
        <v>22245.041666666668</v>
      </c>
      <c r="R611" s="368" t="s">
        <v>862</v>
      </c>
      <c r="S611" s="368" t="s">
        <v>863</v>
      </c>
      <c r="T611" s="350">
        <f>INT(('Run Time Parameters'!$E$5-'Data Sample'!Q611)/365.25)</f>
        <v>48</v>
      </c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339"/>
      <c r="AJ611" s="353">
        <f t="shared" si="28"/>
        <v>95</v>
      </c>
    </row>
    <row r="612" spans="1:36">
      <c r="A612" s="332">
        <f t="shared" si="29"/>
        <v>96</v>
      </c>
      <c r="F612" s="365"/>
      <c r="G612" s="366" t="s">
        <v>967</v>
      </c>
      <c r="H612" s="367">
        <v>28527</v>
      </c>
      <c r="I612" s="351" t="s">
        <v>870</v>
      </c>
      <c r="J612" s="350" t="s">
        <v>866</v>
      </c>
      <c r="K612" s="350">
        <f>INT(('Run Time Parameters'!$E$5-'Data Sample'!H612)/365.25)</f>
        <v>31</v>
      </c>
      <c r="L612" s="368">
        <v>1995</v>
      </c>
      <c r="M612" s="368">
        <v>0</v>
      </c>
      <c r="N612" s="350" t="s">
        <v>867</v>
      </c>
      <c r="O612" s="368">
        <v>0</v>
      </c>
      <c r="P612" s="368">
        <v>0</v>
      </c>
      <c r="Q612" s="367">
        <v>28527</v>
      </c>
      <c r="R612" s="368" t="s">
        <v>870</v>
      </c>
      <c r="S612" s="368" t="s">
        <v>866</v>
      </c>
      <c r="T612" s="350">
        <f>INT(('Run Time Parameters'!$E$5-'Data Sample'!Q612)/365.25)</f>
        <v>31</v>
      </c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339"/>
      <c r="AJ612" s="353">
        <f t="shared" si="28"/>
        <v>96</v>
      </c>
    </row>
    <row r="613" spans="1:36">
      <c r="A613" s="332">
        <f t="shared" si="29"/>
        <v>97</v>
      </c>
      <c r="F613" s="365"/>
      <c r="G613" s="366" t="s">
        <v>968</v>
      </c>
      <c r="H613" s="367">
        <v>25008</v>
      </c>
      <c r="I613" s="351" t="s">
        <v>870</v>
      </c>
      <c r="J613" s="350" t="s">
        <v>863</v>
      </c>
      <c r="K613" s="350">
        <f>INT(('Run Time Parameters'!$E$5-'Data Sample'!H613)/365.25)</f>
        <v>41</v>
      </c>
      <c r="L613" s="368">
        <v>1986</v>
      </c>
      <c r="M613" s="368">
        <v>0</v>
      </c>
      <c r="N613" s="350" t="s">
        <v>867</v>
      </c>
      <c r="O613" s="368">
        <v>0</v>
      </c>
      <c r="P613" s="368">
        <v>0</v>
      </c>
      <c r="Q613" s="367">
        <v>25008</v>
      </c>
      <c r="R613" s="368" t="s">
        <v>870</v>
      </c>
      <c r="S613" s="368" t="s">
        <v>863</v>
      </c>
      <c r="T613" s="350">
        <f>INT(('Run Time Parameters'!$E$5-'Data Sample'!Q613)/365.25)</f>
        <v>41</v>
      </c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339"/>
      <c r="AJ613" s="353">
        <f t="shared" si="28"/>
        <v>97</v>
      </c>
    </row>
    <row r="614" spans="1:36">
      <c r="A614" s="332">
        <f t="shared" si="29"/>
        <v>98</v>
      </c>
      <c r="F614" s="365"/>
      <c r="G614" s="366" t="s">
        <v>969</v>
      </c>
      <c r="H614" s="367">
        <v>24346</v>
      </c>
      <c r="I614" s="351" t="s">
        <v>862</v>
      </c>
      <c r="J614" s="350" t="s">
        <v>863</v>
      </c>
      <c r="K614" s="350">
        <f>INT(('Run Time Parameters'!$E$5-'Data Sample'!H614)/365.25)</f>
        <v>43</v>
      </c>
      <c r="L614" s="368">
        <v>1983</v>
      </c>
      <c r="M614" s="368">
        <v>1</v>
      </c>
      <c r="N614" s="350" t="s">
        <v>867</v>
      </c>
      <c r="O614" s="368">
        <v>0</v>
      </c>
      <c r="P614" s="368">
        <v>0</v>
      </c>
      <c r="Q614" s="367">
        <v>24346</v>
      </c>
      <c r="R614" s="368" t="s">
        <v>862</v>
      </c>
      <c r="S614" s="368" t="s">
        <v>863</v>
      </c>
      <c r="T614" s="350">
        <f>INT(('Run Time Parameters'!$E$5-'Data Sample'!Q614)/365.25)</f>
        <v>43</v>
      </c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339"/>
      <c r="AJ614" s="353">
        <f t="shared" si="28"/>
        <v>98</v>
      </c>
    </row>
    <row r="615" spans="1:36">
      <c r="A615" s="332">
        <f t="shared" si="29"/>
        <v>99</v>
      </c>
      <c r="F615" s="365"/>
      <c r="G615" s="366" t="s">
        <v>970</v>
      </c>
      <c r="H615" s="367">
        <v>22687.041666666668</v>
      </c>
      <c r="I615" s="351" t="s">
        <v>862</v>
      </c>
      <c r="J615" s="350" t="s">
        <v>863</v>
      </c>
      <c r="K615" s="350">
        <f>INT(('Run Time Parameters'!$E$5-'Data Sample'!H615)/365.25)</f>
        <v>47</v>
      </c>
      <c r="L615" s="368">
        <v>1989</v>
      </c>
      <c r="M615" s="368">
        <v>0</v>
      </c>
      <c r="N615" s="350" t="s">
        <v>867</v>
      </c>
      <c r="O615" s="368">
        <v>0</v>
      </c>
      <c r="P615" s="368">
        <v>0</v>
      </c>
      <c r="Q615" s="367">
        <v>22687.041666666668</v>
      </c>
      <c r="R615" s="368" t="s">
        <v>862</v>
      </c>
      <c r="S615" s="368" t="s">
        <v>863</v>
      </c>
      <c r="T615" s="350">
        <f>INT(('Run Time Parameters'!$E$5-'Data Sample'!Q615)/365.25)</f>
        <v>47</v>
      </c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339"/>
      <c r="AJ615" s="353">
        <f t="shared" si="28"/>
        <v>99</v>
      </c>
    </row>
    <row r="616" spans="1:36">
      <c r="A616" s="332">
        <f t="shared" si="29"/>
        <v>100</v>
      </c>
      <c r="F616" s="365"/>
      <c r="G616" s="366" t="s">
        <v>971</v>
      </c>
      <c r="H616" s="367">
        <v>11308.041666666666</v>
      </c>
      <c r="I616" s="351" t="s">
        <v>870</v>
      </c>
      <c r="J616" s="350" t="s">
        <v>863</v>
      </c>
      <c r="K616" s="350">
        <f>INT(('Run Time Parameters'!$E$5-'Data Sample'!H616)/365.25)</f>
        <v>78</v>
      </c>
      <c r="L616" s="368">
        <v>1947</v>
      </c>
      <c r="M616" s="368">
        <v>0</v>
      </c>
      <c r="N616" s="350" t="s">
        <v>867</v>
      </c>
      <c r="O616" s="368">
        <v>0</v>
      </c>
      <c r="P616" s="368">
        <v>0</v>
      </c>
      <c r="Q616" s="367">
        <v>11308.041666666666</v>
      </c>
      <c r="R616" s="368" t="s">
        <v>870</v>
      </c>
      <c r="S616" s="368" t="s">
        <v>863</v>
      </c>
      <c r="T616" s="350">
        <f>INT(('Run Time Parameters'!$E$5-'Data Sample'!Q616)/365.25)</f>
        <v>78</v>
      </c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339"/>
      <c r="AJ616" s="353">
        <f t="shared" si="28"/>
        <v>100</v>
      </c>
    </row>
    <row r="617" spans="1:36">
      <c r="A617" s="332">
        <f t="shared" si="29"/>
        <v>101</v>
      </c>
      <c r="F617" s="365"/>
      <c r="G617" s="366" t="s">
        <v>972</v>
      </c>
      <c r="H617" s="367">
        <v>28201.041666666668</v>
      </c>
      <c r="I617" s="351" t="s">
        <v>862</v>
      </c>
      <c r="J617" s="350" t="s">
        <v>863</v>
      </c>
      <c r="K617" s="350">
        <f>INT(('Run Time Parameters'!$E$5-'Data Sample'!H617)/365.25)</f>
        <v>32</v>
      </c>
      <c r="L617" s="368">
        <v>1994</v>
      </c>
      <c r="M617" s="368">
        <v>0</v>
      </c>
      <c r="N617" s="350" t="s">
        <v>867</v>
      </c>
      <c r="O617" s="368">
        <v>0</v>
      </c>
      <c r="P617" s="368">
        <v>0</v>
      </c>
      <c r="Q617" s="367">
        <v>28201.041666666668</v>
      </c>
      <c r="R617" s="368" t="s">
        <v>862</v>
      </c>
      <c r="S617" s="368" t="s">
        <v>863</v>
      </c>
      <c r="T617" s="350">
        <f>INT(('Run Time Parameters'!$E$5-'Data Sample'!Q617)/365.25)</f>
        <v>32</v>
      </c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339"/>
      <c r="AJ617" s="353">
        <f t="shared" si="28"/>
        <v>101</v>
      </c>
    </row>
    <row r="618" spans="1:36">
      <c r="A618" s="332">
        <f t="shared" si="29"/>
        <v>102</v>
      </c>
      <c r="F618" s="365"/>
      <c r="G618" s="366" t="s">
        <v>973</v>
      </c>
      <c r="H618" s="367">
        <v>19164</v>
      </c>
      <c r="I618" s="351" t="s">
        <v>862</v>
      </c>
      <c r="J618" s="350" t="s">
        <v>863</v>
      </c>
      <c r="K618" s="350">
        <f>INT(('Run Time Parameters'!$E$5-'Data Sample'!H618)/365.25)</f>
        <v>57</v>
      </c>
      <c r="L618" s="368">
        <v>1970</v>
      </c>
      <c r="M618" s="368">
        <v>0</v>
      </c>
      <c r="N618" s="350" t="s">
        <v>867</v>
      </c>
      <c r="O618" s="368">
        <v>0</v>
      </c>
      <c r="P618" s="368">
        <v>0</v>
      </c>
      <c r="Q618" s="367">
        <v>19164</v>
      </c>
      <c r="R618" s="368" t="s">
        <v>862</v>
      </c>
      <c r="S618" s="368" t="s">
        <v>863</v>
      </c>
      <c r="T618" s="350">
        <f>INT(('Run Time Parameters'!$E$5-'Data Sample'!Q618)/365.25)</f>
        <v>57</v>
      </c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339"/>
      <c r="AJ618" s="353">
        <f t="shared" si="28"/>
        <v>102</v>
      </c>
    </row>
    <row r="619" spans="1:36">
      <c r="A619" s="332">
        <f t="shared" si="29"/>
        <v>103</v>
      </c>
      <c r="F619" s="365"/>
      <c r="G619" s="366" t="s">
        <v>974</v>
      </c>
      <c r="H619" s="367">
        <v>19950</v>
      </c>
      <c r="I619" s="351" t="s">
        <v>862</v>
      </c>
      <c r="J619" s="350" t="s">
        <v>863</v>
      </c>
      <c r="K619" s="350">
        <f>INT(('Run Time Parameters'!$E$5-'Data Sample'!H619)/365.25)</f>
        <v>55</v>
      </c>
      <c r="L619" s="368">
        <v>1971</v>
      </c>
      <c r="M619" s="368">
        <v>0</v>
      </c>
      <c r="N619" s="350" t="s">
        <v>867</v>
      </c>
      <c r="O619" s="368">
        <v>0</v>
      </c>
      <c r="P619" s="368">
        <v>0</v>
      </c>
      <c r="Q619" s="367">
        <v>19950</v>
      </c>
      <c r="R619" s="368" t="s">
        <v>862</v>
      </c>
      <c r="S619" s="368" t="s">
        <v>863</v>
      </c>
      <c r="T619" s="350">
        <f>INT(('Run Time Parameters'!$E$5-'Data Sample'!Q619)/365.25)</f>
        <v>55</v>
      </c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339"/>
      <c r="AJ619" s="353">
        <f t="shared" si="28"/>
        <v>103</v>
      </c>
    </row>
    <row r="620" spans="1:36">
      <c r="A620" s="332">
        <f t="shared" si="29"/>
        <v>104</v>
      </c>
      <c r="F620" s="365"/>
      <c r="G620" s="366" t="s">
        <v>975</v>
      </c>
      <c r="H620" s="367">
        <v>15472</v>
      </c>
      <c r="I620" s="351" t="s">
        <v>870</v>
      </c>
      <c r="J620" s="350" t="s">
        <v>863</v>
      </c>
      <c r="K620" s="350">
        <f>INT(('Run Time Parameters'!$E$5-'Data Sample'!H620)/365.25)</f>
        <v>67</v>
      </c>
      <c r="L620" s="368">
        <v>1973</v>
      </c>
      <c r="M620" s="368">
        <v>0</v>
      </c>
      <c r="N620" s="350" t="s">
        <v>867</v>
      </c>
      <c r="O620" s="368">
        <v>0</v>
      </c>
      <c r="P620" s="368">
        <v>0</v>
      </c>
      <c r="Q620" s="367">
        <v>16495.041666666668</v>
      </c>
      <c r="R620" s="368" t="s">
        <v>862</v>
      </c>
      <c r="S620" s="368" t="s">
        <v>863</v>
      </c>
      <c r="T620" s="350">
        <f>INT(('Run Time Parameters'!$E$5-'Data Sample'!Q620)/365.25)</f>
        <v>64</v>
      </c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339"/>
      <c r="AJ620" s="353">
        <f t="shared" si="28"/>
        <v>104</v>
      </c>
    </row>
    <row r="621" spans="1:36">
      <c r="A621" s="332">
        <f t="shared" si="29"/>
        <v>105</v>
      </c>
      <c r="F621" s="365"/>
      <c r="G621" s="366" t="s">
        <v>976</v>
      </c>
      <c r="H621" s="367">
        <v>18640.041666666668</v>
      </c>
      <c r="I621" s="351" t="s">
        <v>862</v>
      </c>
      <c r="J621" s="350" t="s">
        <v>863</v>
      </c>
      <c r="K621" s="350">
        <f>INT(('Run Time Parameters'!$E$5-'Data Sample'!H621)/365.25)</f>
        <v>58</v>
      </c>
      <c r="L621" s="368">
        <v>1968</v>
      </c>
      <c r="M621" s="368">
        <v>0</v>
      </c>
      <c r="N621" s="350" t="s">
        <v>867</v>
      </c>
      <c r="O621" s="368">
        <v>0</v>
      </c>
      <c r="P621" s="368">
        <v>0</v>
      </c>
      <c r="Q621" s="367">
        <v>18640.041666666668</v>
      </c>
      <c r="R621" s="368" t="s">
        <v>862</v>
      </c>
      <c r="S621" s="368" t="s">
        <v>863</v>
      </c>
      <c r="T621" s="350">
        <f>INT(('Run Time Parameters'!$E$5-'Data Sample'!Q621)/365.25)</f>
        <v>58</v>
      </c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339"/>
      <c r="AJ621" s="353">
        <f t="shared" si="28"/>
        <v>105</v>
      </c>
    </row>
    <row r="622" spans="1:36">
      <c r="A622" s="332">
        <f t="shared" si="29"/>
        <v>106</v>
      </c>
      <c r="F622" s="365"/>
      <c r="G622" s="366" t="s">
        <v>977</v>
      </c>
      <c r="H622" s="367">
        <v>15536</v>
      </c>
      <c r="I622" s="351" t="s">
        <v>870</v>
      </c>
      <c r="J622" s="350" t="s">
        <v>863</v>
      </c>
      <c r="K622" s="350">
        <f>INT(('Run Time Parameters'!$E$5-'Data Sample'!H622)/365.25)</f>
        <v>67</v>
      </c>
      <c r="L622" s="368">
        <v>1959</v>
      </c>
      <c r="M622" s="368">
        <v>0</v>
      </c>
      <c r="N622" s="350" t="s">
        <v>867</v>
      </c>
      <c r="O622" s="368">
        <v>0</v>
      </c>
      <c r="P622" s="368">
        <v>0</v>
      </c>
      <c r="Q622" s="367">
        <v>15536</v>
      </c>
      <c r="R622" s="368" t="s">
        <v>870</v>
      </c>
      <c r="S622" s="368" t="s">
        <v>863</v>
      </c>
      <c r="T622" s="350">
        <f>INT(('Run Time Parameters'!$E$5-'Data Sample'!Q622)/365.25)</f>
        <v>67</v>
      </c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339"/>
      <c r="AJ622" s="353">
        <f t="shared" si="28"/>
        <v>106</v>
      </c>
    </row>
    <row r="623" spans="1:36">
      <c r="A623" s="332">
        <f t="shared" si="29"/>
        <v>107</v>
      </c>
      <c r="F623" s="365"/>
      <c r="G623" s="366" t="s">
        <v>978</v>
      </c>
      <c r="H623" s="367">
        <v>15536</v>
      </c>
      <c r="I623" s="351" t="s">
        <v>870</v>
      </c>
      <c r="J623" s="350" t="s">
        <v>863</v>
      </c>
      <c r="K623" s="350">
        <f>INT(('Run Time Parameters'!$E$5-'Data Sample'!H623)/365.25)</f>
        <v>67</v>
      </c>
      <c r="L623" s="368">
        <v>1959</v>
      </c>
      <c r="M623" s="368">
        <v>0</v>
      </c>
      <c r="N623" s="350" t="s">
        <v>867</v>
      </c>
      <c r="O623" s="368">
        <v>0</v>
      </c>
      <c r="P623" s="368">
        <v>0</v>
      </c>
      <c r="Q623" s="367">
        <v>15536</v>
      </c>
      <c r="R623" s="368" t="s">
        <v>870</v>
      </c>
      <c r="S623" s="368" t="s">
        <v>863</v>
      </c>
      <c r="T623" s="350">
        <f>INT(('Run Time Parameters'!$E$5-'Data Sample'!Q623)/365.25)</f>
        <v>67</v>
      </c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339"/>
      <c r="AJ623" s="353">
        <f t="shared" si="28"/>
        <v>107</v>
      </c>
    </row>
    <row r="624" spans="1:36">
      <c r="A624" s="332">
        <f t="shared" si="29"/>
        <v>108</v>
      </c>
      <c r="F624" s="365"/>
      <c r="G624" s="366" t="s">
        <v>979</v>
      </c>
      <c r="H624" s="367">
        <v>17518.041666666668</v>
      </c>
      <c r="I624" s="351" t="s">
        <v>862</v>
      </c>
      <c r="J624" s="350" t="s">
        <v>863</v>
      </c>
      <c r="K624" s="350">
        <f>INT(('Run Time Parameters'!$E$5-'Data Sample'!H624)/365.25)</f>
        <v>61</v>
      </c>
      <c r="L624" s="368">
        <v>1965</v>
      </c>
      <c r="M624" s="368">
        <v>0</v>
      </c>
      <c r="N624" s="350" t="s">
        <v>867</v>
      </c>
      <c r="O624" s="368">
        <v>0</v>
      </c>
      <c r="P624" s="368">
        <v>0</v>
      </c>
      <c r="Q624" s="367">
        <v>17518.041666666668</v>
      </c>
      <c r="R624" s="368" t="s">
        <v>862</v>
      </c>
      <c r="S624" s="368" t="s">
        <v>863</v>
      </c>
      <c r="T624" s="350">
        <f>INT(('Run Time Parameters'!$E$5-'Data Sample'!Q624)/365.25)</f>
        <v>61</v>
      </c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339"/>
      <c r="AJ624" s="353">
        <f t="shared" si="28"/>
        <v>108</v>
      </c>
    </row>
    <row r="625" spans="1:36">
      <c r="A625" s="332">
        <f t="shared" si="29"/>
        <v>109</v>
      </c>
      <c r="F625" s="365"/>
      <c r="G625" s="366" t="s">
        <v>980</v>
      </c>
      <c r="H625" s="367">
        <v>26057</v>
      </c>
      <c r="I625" s="351" t="s">
        <v>870</v>
      </c>
      <c r="J625" s="350" t="s">
        <v>863</v>
      </c>
      <c r="K625" s="350">
        <f>INT(('Run Time Parameters'!$E$5-'Data Sample'!H625)/365.25)</f>
        <v>38</v>
      </c>
      <c r="L625" s="368">
        <v>1988</v>
      </c>
      <c r="M625" s="368">
        <v>0</v>
      </c>
      <c r="N625" s="350" t="s">
        <v>867</v>
      </c>
      <c r="O625" s="368">
        <v>0</v>
      </c>
      <c r="P625" s="368">
        <v>0</v>
      </c>
      <c r="Q625" s="367">
        <v>26338</v>
      </c>
      <c r="R625" s="368" t="s">
        <v>862</v>
      </c>
      <c r="S625" s="368" t="s">
        <v>863</v>
      </c>
      <c r="T625" s="350">
        <f>INT(('Run Time Parameters'!$E$5-'Data Sample'!Q625)/365.25)</f>
        <v>37</v>
      </c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339"/>
      <c r="AJ625" s="353">
        <f t="shared" si="28"/>
        <v>109</v>
      </c>
    </row>
    <row r="626" spans="1:36">
      <c r="A626" s="332">
        <f t="shared" si="29"/>
        <v>110</v>
      </c>
      <c r="F626" s="365"/>
      <c r="G626" s="366" t="s">
        <v>981</v>
      </c>
      <c r="H626" s="367">
        <v>27111.041666666668</v>
      </c>
      <c r="I626" s="351" t="s">
        <v>862</v>
      </c>
      <c r="J626" s="350" t="s">
        <v>863</v>
      </c>
      <c r="K626" s="350">
        <f>INT(('Run Time Parameters'!$E$5-'Data Sample'!H626)/365.25)</f>
        <v>35</v>
      </c>
      <c r="L626" s="368">
        <v>1991</v>
      </c>
      <c r="M626" s="368">
        <v>0</v>
      </c>
      <c r="N626" s="350" t="s">
        <v>867</v>
      </c>
      <c r="O626" s="368">
        <v>0</v>
      </c>
      <c r="P626" s="368">
        <v>0</v>
      </c>
      <c r="Q626" s="367">
        <v>27111.041666666668</v>
      </c>
      <c r="R626" s="368" t="s">
        <v>862</v>
      </c>
      <c r="S626" s="368" t="s">
        <v>863</v>
      </c>
      <c r="T626" s="350">
        <f>INT(('Run Time Parameters'!$E$5-'Data Sample'!Q626)/365.25)</f>
        <v>35</v>
      </c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339"/>
      <c r="AJ626" s="353">
        <f t="shared" si="28"/>
        <v>110</v>
      </c>
    </row>
    <row r="627" spans="1:36">
      <c r="A627" s="332">
        <f t="shared" si="29"/>
        <v>111</v>
      </c>
      <c r="F627" s="365"/>
      <c r="G627" s="366" t="s">
        <v>982</v>
      </c>
      <c r="H627" s="367">
        <v>29801</v>
      </c>
      <c r="I627" s="351" t="s">
        <v>862</v>
      </c>
      <c r="J627" s="350" t="s">
        <v>863</v>
      </c>
      <c r="K627" s="350">
        <f>INT(('Run Time Parameters'!$E$5-'Data Sample'!H627)/365.25)</f>
        <v>28</v>
      </c>
      <c r="L627" s="368">
        <v>1999</v>
      </c>
      <c r="M627" s="368">
        <v>0</v>
      </c>
      <c r="N627" s="350" t="s">
        <v>867</v>
      </c>
      <c r="O627" s="368">
        <v>0</v>
      </c>
      <c r="P627" s="368">
        <v>0</v>
      </c>
      <c r="Q627" s="367">
        <v>29801</v>
      </c>
      <c r="R627" s="368" t="s">
        <v>862</v>
      </c>
      <c r="S627" s="368" t="s">
        <v>863</v>
      </c>
      <c r="T627" s="350">
        <f>INT(('Run Time Parameters'!$E$5-'Data Sample'!Q627)/365.25)</f>
        <v>28</v>
      </c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339"/>
      <c r="AJ627" s="353">
        <f t="shared" si="28"/>
        <v>111</v>
      </c>
    </row>
    <row r="628" spans="1:36">
      <c r="A628" s="332">
        <f t="shared" si="29"/>
        <v>112</v>
      </c>
      <c r="F628" s="365"/>
      <c r="G628" s="366" t="s">
        <v>983</v>
      </c>
      <c r="H628" s="367">
        <v>27810</v>
      </c>
      <c r="I628" s="351" t="s">
        <v>870</v>
      </c>
      <c r="J628" s="350" t="s">
        <v>863</v>
      </c>
      <c r="K628" s="350">
        <f>INT(('Run Time Parameters'!$E$5-'Data Sample'!H628)/365.25)</f>
        <v>33</v>
      </c>
      <c r="L628" s="368">
        <v>1993</v>
      </c>
      <c r="M628" s="368">
        <v>0</v>
      </c>
      <c r="N628" s="350" t="s">
        <v>867</v>
      </c>
      <c r="O628" s="368">
        <v>0</v>
      </c>
      <c r="P628" s="368">
        <v>0</v>
      </c>
      <c r="Q628" s="367">
        <v>27810</v>
      </c>
      <c r="R628" s="368" t="s">
        <v>870</v>
      </c>
      <c r="S628" s="368" t="s">
        <v>863</v>
      </c>
      <c r="T628" s="350">
        <f>INT(('Run Time Parameters'!$E$5-'Data Sample'!Q628)/365.25)</f>
        <v>33</v>
      </c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339"/>
      <c r="AJ628" s="353">
        <f t="shared" si="28"/>
        <v>112</v>
      </c>
    </row>
    <row r="629" spans="1:36">
      <c r="A629" s="332">
        <f t="shared" si="29"/>
        <v>113</v>
      </c>
      <c r="F629" s="365"/>
      <c r="G629" s="366" t="s">
        <v>984</v>
      </c>
      <c r="H629" s="367">
        <v>13330</v>
      </c>
      <c r="I629" s="351" t="s">
        <v>870</v>
      </c>
      <c r="J629" s="350" t="s">
        <v>863</v>
      </c>
      <c r="K629" s="350">
        <f>INT(('Run Time Parameters'!$E$5-'Data Sample'!H629)/365.25)</f>
        <v>73</v>
      </c>
      <c r="L629" s="368">
        <v>1953</v>
      </c>
      <c r="M629" s="368">
        <v>0</v>
      </c>
      <c r="N629" s="350" t="s">
        <v>867</v>
      </c>
      <c r="O629" s="368">
        <v>0</v>
      </c>
      <c r="P629" s="368">
        <v>0</v>
      </c>
      <c r="Q629" s="367">
        <v>14991.041666666666</v>
      </c>
      <c r="R629" s="368" t="s">
        <v>862</v>
      </c>
      <c r="S629" s="368" t="s">
        <v>863</v>
      </c>
      <c r="T629" s="350">
        <f>INT(('Run Time Parameters'!$E$5-'Data Sample'!Q629)/365.25)</f>
        <v>68</v>
      </c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339"/>
      <c r="AJ629" s="353">
        <f t="shared" si="28"/>
        <v>113</v>
      </c>
    </row>
    <row r="630" spans="1:36">
      <c r="A630" s="332">
        <f t="shared" si="29"/>
        <v>114</v>
      </c>
      <c r="F630" s="365"/>
      <c r="G630" s="366" t="s">
        <v>985</v>
      </c>
      <c r="H630" s="367">
        <v>19367.041666666668</v>
      </c>
      <c r="I630" s="351" t="s">
        <v>870</v>
      </c>
      <c r="J630" s="350" t="s">
        <v>863</v>
      </c>
      <c r="K630" s="350">
        <f>INT(('Run Time Parameters'!$E$5-'Data Sample'!H630)/365.25)</f>
        <v>56</v>
      </c>
      <c r="L630" s="368">
        <v>1970</v>
      </c>
      <c r="M630" s="368">
        <v>0</v>
      </c>
      <c r="N630" s="350" t="s">
        <v>867</v>
      </c>
      <c r="O630" s="368">
        <v>0</v>
      </c>
      <c r="P630" s="368">
        <v>0</v>
      </c>
      <c r="Q630" s="367">
        <v>19367.041666666668</v>
      </c>
      <c r="R630" s="368" t="s">
        <v>870</v>
      </c>
      <c r="S630" s="368" t="s">
        <v>863</v>
      </c>
      <c r="T630" s="350">
        <f>INT(('Run Time Parameters'!$E$5-'Data Sample'!Q630)/365.25)</f>
        <v>56</v>
      </c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339"/>
      <c r="AJ630" s="353">
        <f t="shared" si="28"/>
        <v>114</v>
      </c>
    </row>
    <row r="631" spans="1:36">
      <c r="A631" s="332">
        <f t="shared" si="29"/>
        <v>115</v>
      </c>
      <c r="F631" s="365"/>
      <c r="G631" s="366" t="s">
        <v>986</v>
      </c>
      <c r="H631" s="367">
        <v>27688.041666666668</v>
      </c>
      <c r="I631" s="351" t="s">
        <v>862</v>
      </c>
      <c r="J631" s="350" t="s">
        <v>863</v>
      </c>
      <c r="K631" s="350">
        <f>INT(('Run Time Parameters'!$E$5-'Data Sample'!H631)/365.25)</f>
        <v>34</v>
      </c>
      <c r="L631" s="368">
        <v>1992</v>
      </c>
      <c r="M631" s="368">
        <v>0</v>
      </c>
      <c r="N631" s="350" t="s">
        <v>867</v>
      </c>
      <c r="O631" s="368">
        <v>0</v>
      </c>
      <c r="P631" s="368">
        <v>0</v>
      </c>
      <c r="Q631" s="367">
        <v>27688.041666666668</v>
      </c>
      <c r="R631" s="368" t="s">
        <v>862</v>
      </c>
      <c r="S631" s="368" t="s">
        <v>863</v>
      </c>
      <c r="T631" s="350">
        <f>INT(('Run Time Parameters'!$E$5-'Data Sample'!Q631)/365.25)</f>
        <v>34</v>
      </c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339"/>
      <c r="AJ631" s="353">
        <f t="shared" si="28"/>
        <v>115</v>
      </c>
    </row>
    <row r="632" spans="1:36">
      <c r="A632" s="332">
        <f t="shared" si="29"/>
        <v>116</v>
      </c>
      <c r="F632" s="365"/>
      <c r="G632" s="366" t="s">
        <v>987</v>
      </c>
      <c r="H632" s="367">
        <v>28386</v>
      </c>
      <c r="I632" s="351" t="s">
        <v>862</v>
      </c>
      <c r="J632" s="350" t="s">
        <v>863</v>
      </c>
      <c r="K632" s="350">
        <f>INT(('Run Time Parameters'!$E$5-'Data Sample'!H632)/365.25)</f>
        <v>32</v>
      </c>
      <c r="L632" s="368">
        <v>1994</v>
      </c>
      <c r="M632" s="368">
        <v>0</v>
      </c>
      <c r="N632" s="350" t="s">
        <v>867</v>
      </c>
      <c r="O632" s="368">
        <v>0</v>
      </c>
      <c r="P632" s="368">
        <v>0</v>
      </c>
      <c r="Q632" s="367">
        <v>28866</v>
      </c>
      <c r="R632" s="368" t="s">
        <v>870</v>
      </c>
      <c r="S632" s="368" t="s">
        <v>863</v>
      </c>
      <c r="T632" s="350">
        <f>INT(('Run Time Parameters'!$E$5-'Data Sample'!Q632)/365.25)</f>
        <v>30</v>
      </c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339"/>
      <c r="AJ632" s="353">
        <f t="shared" si="28"/>
        <v>116</v>
      </c>
    </row>
    <row r="633" spans="1:36">
      <c r="A633" s="332">
        <f t="shared" si="29"/>
        <v>117</v>
      </c>
      <c r="F633" s="365"/>
      <c r="G633" s="366" t="s">
        <v>988</v>
      </c>
      <c r="H633" s="367">
        <v>13330</v>
      </c>
      <c r="I633" s="351" t="s">
        <v>870</v>
      </c>
      <c r="J633" s="350" t="s">
        <v>863</v>
      </c>
      <c r="K633" s="350">
        <f>INT(('Run Time Parameters'!$E$5-'Data Sample'!H633)/365.25)</f>
        <v>73</v>
      </c>
      <c r="L633" s="368">
        <v>1953</v>
      </c>
      <c r="M633" s="368">
        <v>0</v>
      </c>
      <c r="N633" s="350" t="s">
        <v>867</v>
      </c>
      <c r="O633" s="368">
        <v>0</v>
      </c>
      <c r="P633" s="368">
        <v>0</v>
      </c>
      <c r="Q633" s="367">
        <v>14991.041666666666</v>
      </c>
      <c r="R633" s="368" t="s">
        <v>862</v>
      </c>
      <c r="S633" s="368" t="s">
        <v>863</v>
      </c>
      <c r="T633" s="350">
        <f>INT(('Run Time Parameters'!$E$5-'Data Sample'!Q633)/365.25)</f>
        <v>68</v>
      </c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339"/>
      <c r="AJ633" s="353">
        <f t="shared" si="28"/>
        <v>117</v>
      </c>
    </row>
    <row r="634" spans="1:36">
      <c r="A634" s="332">
        <f t="shared" si="29"/>
        <v>118</v>
      </c>
      <c r="F634" s="365"/>
      <c r="G634" s="366" t="s">
        <v>989</v>
      </c>
      <c r="H634" s="367">
        <v>26653</v>
      </c>
      <c r="I634" s="351" t="s">
        <v>862</v>
      </c>
      <c r="J634" s="350" t="s">
        <v>863</v>
      </c>
      <c r="K634" s="350">
        <f>INT(('Run Time Parameters'!$E$5-'Data Sample'!H634)/365.25)</f>
        <v>36</v>
      </c>
      <c r="L634" s="368">
        <v>1994</v>
      </c>
      <c r="M634" s="368">
        <v>0</v>
      </c>
      <c r="N634" s="350" t="s">
        <v>867</v>
      </c>
      <c r="O634" s="368">
        <v>0</v>
      </c>
      <c r="P634" s="368">
        <v>0</v>
      </c>
      <c r="Q634" s="367">
        <v>26653</v>
      </c>
      <c r="R634" s="368" t="s">
        <v>862</v>
      </c>
      <c r="S634" s="368" t="s">
        <v>863</v>
      </c>
      <c r="T634" s="350">
        <f>INT(('Run Time Parameters'!$E$5-'Data Sample'!Q634)/365.25)</f>
        <v>36</v>
      </c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339"/>
      <c r="AJ634" s="353">
        <f t="shared" si="28"/>
        <v>118</v>
      </c>
    </row>
    <row r="635" spans="1:36">
      <c r="A635" s="332">
        <f t="shared" si="29"/>
        <v>119</v>
      </c>
      <c r="F635" s="365"/>
      <c r="G635" s="366" t="s">
        <v>990</v>
      </c>
      <c r="H635" s="367">
        <v>27442</v>
      </c>
      <c r="I635" s="351" t="s">
        <v>862</v>
      </c>
      <c r="J635" s="350" t="s">
        <v>866</v>
      </c>
      <c r="K635" s="350">
        <f>INT(('Run Time Parameters'!$E$5-'Data Sample'!H635)/365.25)</f>
        <v>34</v>
      </c>
      <c r="L635" s="368">
        <v>1994</v>
      </c>
      <c r="M635" s="368">
        <v>0</v>
      </c>
      <c r="N635" s="350" t="s">
        <v>867</v>
      </c>
      <c r="O635" s="368">
        <v>0</v>
      </c>
      <c r="P635" s="368">
        <v>0</v>
      </c>
      <c r="Q635" s="367">
        <v>28373</v>
      </c>
      <c r="R635" s="368" t="s">
        <v>870</v>
      </c>
      <c r="S635" s="368" t="s">
        <v>866</v>
      </c>
      <c r="T635" s="350">
        <f>INT(('Run Time Parameters'!$E$5-'Data Sample'!Q635)/365.25)</f>
        <v>32</v>
      </c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339"/>
      <c r="AJ635" s="353">
        <f t="shared" si="28"/>
        <v>119</v>
      </c>
    </row>
    <row r="636" spans="1:36">
      <c r="A636" s="332">
        <f t="shared" si="29"/>
        <v>120</v>
      </c>
      <c r="F636" s="365"/>
      <c r="G636" s="366" t="s">
        <v>991</v>
      </c>
      <c r="H636" s="367">
        <v>27587</v>
      </c>
      <c r="I636" s="351" t="s">
        <v>870</v>
      </c>
      <c r="J636" s="350" t="s">
        <v>863</v>
      </c>
      <c r="K636" s="350">
        <f>INT(('Run Time Parameters'!$E$5-'Data Sample'!H636)/365.25)</f>
        <v>34</v>
      </c>
      <c r="L636" s="368">
        <v>1992</v>
      </c>
      <c r="M636" s="368">
        <v>0</v>
      </c>
      <c r="N636" s="350" t="s">
        <v>867</v>
      </c>
      <c r="O636" s="368">
        <v>0</v>
      </c>
      <c r="P636" s="368">
        <v>0</v>
      </c>
      <c r="Q636" s="367">
        <v>27587</v>
      </c>
      <c r="R636" s="368" t="s">
        <v>870</v>
      </c>
      <c r="S636" s="368" t="s">
        <v>863</v>
      </c>
      <c r="T636" s="350">
        <f>INT(('Run Time Parameters'!$E$5-'Data Sample'!Q636)/365.25)</f>
        <v>34</v>
      </c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339"/>
      <c r="AJ636" s="353">
        <f t="shared" si="28"/>
        <v>120</v>
      </c>
    </row>
    <row r="637" spans="1:36">
      <c r="A637" s="332">
        <f t="shared" si="29"/>
        <v>121</v>
      </c>
      <c r="F637" s="365"/>
      <c r="G637" s="366" t="s">
        <v>992</v>
      </c>
      <c r="H637" s="367">
        <v>27641</v>
      </c>
      <c r="I637" s="351" t="s">
        <v>870</v>
      </c>
      <c r="J637" s="350" t="s">
        <v>863</v>
      </c>
      <c r="K637" s="350">
        <f>INT(('Run Time Parameters'!$E$5-'Data Sample'!H637)/365.25)</f>
        <v>34</v>
      </c>
      <c r="L637" s="368">
        <v>1992</v>
      </c>
      <c r="M637" s="368">
        <v>1</v>
      </c>
      <c r="N637" s="350" t="s">
        <v>867</v>
      </c>
      <c r="O637" s="368">
        <v>0</v>
      </c>
      <c r="P637" s="368">
        <v>0</v>
      </c>
      <c r="Q637" s="367">
        <v>28478</v>
      </c>
      <c r="R637" s="368" t="s">
        <v>862</v>
      </c>
      <c r="S637" s="368" t="s">
        <v>863</v>
      </c>
      <c r="T637" s="350">
        <f>INT(('Run Time Parameters'!$E$5-'Data Sample'!Q637)/365.25)</f>
        <v>31</v>
      </c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339"/>
      <c r="AJ637" s="353">
        <f t="shared" si="28"/>
        <v>121</v>
      </c>
    </row>
    <row r="638" spans="1:36">
      <c r="A638" s="332">
        <f t="shared" si="29"/>
        <v>122</v>
      </c>
      <c r="F638" s="365"/>
      <c r="G638" s="366" t="s">
        <v>993</v>
      </c>
      <c r="H638" s="367">
        <v>24923.041666666668</v>
      </c>
      <c r="I638" s="351" t="s">
        <v>862</v>
      </c>
      <c r="J638" s="350" t="s">
        <v>874</v>
      </c>
      <c r="K638" s="350">
        <f>INT(('Run Time Parameters'!$E$5-'Data Sample'!H638)/365.25)</f>
        <v>41</v>
      </c>
      <c r="L638" s="368">
        <v>1985</v>
      </c>
      <c r="M638" s="368">
        <v>0</v>
      </c>
      <c r="N638" s="350" t="s">
        <v>867</v>
      </c>
      <c r="O638" s="368">
        <v>0</v>
      </c>
      <c r="P638" s="368">
        <v>0</v>
      </c>
      <c r="Q638" s="367">
        <v>26606</v>
      </c>
      <c r="R638" s="368" t="s">
        <v>870</v>
      </c>
      <c r="S638" s="368" t="s">
        <v>874</v>
      </c>
      <c r="T638" s="350">
        <f>INT(('Run Time Parameters'!$E$5-'Data Sample'!Q638)/365.25)</f>
        <v>36</v>
      </c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339"/>
      <c r="AJ638" s="353">
        <f t="shared" si="28"/>
        <v>122</v>
      </c>
    </row>
    <row r="639" spans="1:36">
      <c r="A639" s="332">
        <f t="shared" si="29"/>
        <v>123</v>
      </c>
      <c r="F639" s="365"/>
      <c r="G639" s="366" t="s">
        <v>994</v>
      </c>
      <c r="H639" s="367">
        <v>20524.041666666668</v>
      </c>
      <c r="I639" s="351" t="s">
        <v>870</v>
      </c>
      <c r="J639" s="350" t="s">
        <v>863</v>
      </c>
      <c r="K639" s="350">
        <f>INT(('Run Time Parameters'!$E$5-'Data Sample'!H639)/365.25)</f>
        <v>53</v>
      </c>
      <c r="L639" s="368">
        <v>1973</v>
      </c>
      <c r="M639" s="368">
        <v>0</v>
      </c>
      <c r="N639" s="350" t="s">
        <v>864</v>
      </c>
      <c r="O639" s="368">
        <v>0</v>
      </c>
      <c r="P639" s="368">
        <v>0</v>
      </c>
      <c r="Q639" s="367">
        <v>20524.041666666668</v>
      </c>
      <c r="R639" s="368" t="s">
        <v>870</v>
      </c>
      <c r="S639" s="368" t="s">
        <v>863</v>
      </c>
      <c r="T639" s="350">
        <f>INT(('Run Time Parameters'!$E$5-'Data Sample'!Q639)/365.25)</f>
        <v>53</v>
      </c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339"/>
      <c r="AJ639" s="353">
        <f t="shared" si="28"/>
        <v>123</v>
      </c>
    </row>
    <row r="640" spans="1:36">
      <c r="A640" s="332">
        <f t="shared" si="29"/>
        <v>124</v>
      </c>
      <c r="F640" s="365"/>
      <c r="G640" s="366" t="s">
        <v>995</v>
      </c>
      <c r="H640" s="367">
        <v>26316</v>
      </c>
      <c r="I640" s="351" t="s">
        <v>870</v>
      </c>
      <c r="J640" s="350" t="s">
        <v>863</v>
      </c>
      <c r="K640" s="350">
        <f>INT(('Run Time Parameters'!$E$5-'Data Sample'!H640)/365.25)</f>
        <v>37</v>
      </c>
      <c r="L640" s="368">
        <v>1989</v>
      </c>
      <c r="M640" s="368">
        <v>0</v>
      </c>
      <c r="N640" s="350" t="s">
        <v>867</v>
      </c>
      <c r="O640" s="368">
        <v>0</v>
      </c>
      <c r="P640" s="368">
        <v>0</v>
      </c>
      <c r="Q640" s="367">
        <v>26316</v>
      </c>
      <c r="R640" s="368" t="s">
        <v>870</v>
      </c>
      <c r="S640" s="368" t="s">
        <v>863</v>
      </c>
      <c r="T640" s="350">
        <f>INT(('Run Time Parameters'!$E$5-'Data Sample'!Q640)/365.25)</f>
        <v>37</v>
      </c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339"/>
      <c r="AJ640" s="353">
        <f t="shared" si="28"/>
        <v>124</v>
      </c>
    </row>
    <row r="641" spans="1:36">
      <c r="A641" s="332">
        <f t="shared" si="29"/>
        <v>125</v>
      </c>
      <c r="F641" s="365"/>
      <c r="G641" s="366" t="s">
        <v>996</v>
      </c>
      <c r="H641" s="367">
        <v>25029</v>
      </c>
      <c r="I641" s="351" t="s">
        <v>870</v>
      </c>
      <c r="J641" s="350" t="s">
        <v>863</v>
      </c>
      <c r="K641" s="350">
        <f>INT(('Run Time Parameters'!$E$5-'Data Sample'!H641)/365.25)</f>
        <v>41</v>
      </c>
      <c r="L641" s="368">
        <v>1986</v>
      </c>
      <c r="M641" s="368">
        <v>0</v>
      </c>
      <c r="N641" s="350" t="s">
        <v>864</v>
      </c>
      <c r="O641" s="368">
        <v>0</v>
      </c>
      <c r="P641" s="368">
        <v>0</v>
      </c>
      <c r="Q641" s="367">
        <v>25029</v>
      </c>
      <c r="R641" s="368" t="s">
        <v>870</v>
      </c>
      <c r="S641" s="368" t="s">
        <v>863</v>
      </c>
      <c r="T641" s="350">
        <f>INT(('Run Time Parameters'!$E$5-'Data Sample'!Q641)/365.25)</f>
        <v>41</v>
      </c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339"/>
      <c r="AJ641" s="353">
        <f t="shared" si="28"/>
        <v>125</v>
      </c>
    </row>
    <row r="642" spans="1:36">
      <c r="A642" s="332">
        <f t="shared" si="29"/>
        <v>126</v>
      </c>
      <c r="F642" s="365"/>
      <c r="G642" s="366" t="s">
        <v>997</v>
      </c>
      <c r="H642" s="367">
        <v>19481</v>
      </c>
      <c r="I642" s="351" t="s">
        <v>870</v>
      </c>
      <c r="J642" s="350" t="s">
        <v>863</v>
      </c>
      <c r="K642" s="350">
        <f>INT(('Run Time Parameters'!$E$5-'Data Sample'!H642)/365.25)</f>
        <v>56</v>
      </c>
      <c r="L642" s="368">
        <v>1970</v>
      </c>
      <c r="M642" s="368">
        <v>1</v>
      </c>
      <c r="N642" s="350" t="s">
        <v>867</v>
      </c>
      <c r="O642" s="368">
        <v>0</v>
      </c>
      <c r="P642" s="368">
        <v>0</v>
      </c>
      <c r="Q642" s="367">
        <v>19481</v>
      </c>
      <c r="R642" s="368" t="s">
        <v>870</v>
      </c>
      <c r="S642" s="368" t="s">
        <v>863</v>
      </c>
      <c r="T642" s="350">
        <f>INT(('Run Time Parameters'!$E$5-'Data Sample'!Q642)/365.25)</f>
        <v>56</v>
      </c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339"/>
      <c r="AJ642" s="353">
        <f t="shared" si="28"/>
        <v>126</v>
      </c>
    </row>
    <row r="643" spans="1:36">
      <c r="A643" s="332">
        <f t="shared" si="29"/>
        <v>127</v>
      </c>
      <c r="F643" s="365"/>
      <c r="G643" s="366" t="s">
        <v>998</v>
      </c>
      <c r="H643" s="367">
        <v>26105</v>
      </c>
      <c r="I643" s="351" t="s">
        <v>862</v>
      </c>
      <c r="J643" s="350" t="s">
        <v>863</v>
      </c>
      <c r="K643" s="350">
        <f>INT(('Run Time Parameters'!$E$5-'Data Sample'!H643)/365.25)</f>
        <v>38</v>
      </c>
      <c r="L643" s="368">
        <v>1988</v>
      </c>
      <c r="M643" s="368">
        <v>0</v>
      </c>
      <c r="N643" s="350" t="s">
        <v>867</v>
      </c>
      <c r="O643" s="368">
        <v>0</v>
      </c>
      <c r="P643" s="368">
        <v>0</v>
      </c>
      <c r="Q643" s="367">
        <v>26105</v>
      </c>
      <c r="R643" s="368" t="s">
        <v>862</v>
      </c>
      <c r="S643" s="368" t="s">
        <v>863</v>
      </c>
      <c r="T643" s="350">
        <f>INT(('Run Time Parameters'!$E$5-'Data Sample'!Q643)/365.25)</f>
        <v>38</v>
      </c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339"/>
      <c r="AJ643" s="353">
        <f t="shared" si="28"/>
        <v>127</v>
      </c>
    </row>
    <row r="644" spans="1:36">
      <c r="A644" s="332">
        <f t="shared" si="29"/>
        <v>128</v>
      </c>
      <c r="F644" s="365"/>
      <c r="G644" s="366" t="s">
        <v>999</v>
      </c>
      <c r="H644" s="367">
        <v>14211.041666666666</v>
      </c>
      <c r="I644" s="351" t="s">
        <v>862</v>
      </c>
      <c r="J644" s="350" t="s">
        <v>863</v>
      </c>
      <c r="K644" s="350">
        <f>INT(('Run Time Parameters'!$E$5-'Data Sample'!H644)/365.25)</f>
        <v>70</v>
      </c>
      <c r="L644" s="368">
        <v>1968</v>
      </c>
      <c r="M644" s="368">
        <v>0</v>
      </c>
      <c r="N644" s="350" t="s">
        <v>867</v>
      </c>
      <c r="O644" s="368">
        <v>0</v>
      </c>
      <c r="P644" s="368">
        <v>0</v>
      </c>
      <c r="Q644" s="367">
        <v>14211.041666666666</v>
      </c>
      <c r="R644" s="368" t="s">
        <v>862</v>
      </c>
      <c r="S644" s="368" t="s">
        <v>863</v>
      </c>
      <c r="T644" s="350">
        <f>INT(('Run Time Parameters'!$E$5-'Data Sample'!Q644)/365.25)</f>
        <v>70</v>
      </c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339"/>
      <c r="AJ644" s="353">
        <f t="shared" si="28"/>
        <v>128</v>
      </c>
    </row>
    <row r="645" spans="1:36">
      <c r="A645" s="332">
        <f t="shared" si="29"/>
        <v>129</v>
      </c>
      <c r="F645" s="365"/>
      <c r="G645" s="366" t="s">
        <v>1000</v>
      </c>
      <c r="H645" s="367">
        <v>25755</v>
      </c>
      <c r="I645" s="351" t="s">
        <v>870</v>
      </c>
      <c r="J645" s="350" t="s">
        <v>863</v>
      </c>
      <c r="K645" s="350">
        <f>INT(('Run Time Parameters'!$E$5-'Data Sample'!H645)/365.25)</f>
        <v>39</v>
      </c>
      <c r="L645" s="368">
        <v>2005</v>
      </c>
      <c r="M645" s="368">
        <v>0</v>
      </c>
      <c r="N645" s="350" t="s">
        <v>867</v>
      </c>
      <c r="O645" s="368">
        <v>0</v>
      </c>
      <c r="P645" s="368">
        <v>0</v>
      </c>
      <c r="Q645" s="367">
        <v>25755</v>
      </c>
      <c r="R645" s="368" t="s">
        <v>870</v>
      </c>
      <c r="S645" s="368" t="s">
        <v>863</v>
      </c>
      <c r="T645" s="350">
        <f>INT(('Run Time Parameters'!$E$5-'Data Sample'!Q645)/365.25)</f>
        <v>39</v>
      </c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339"/>
      <c r="AJ645" s="353">
        <f t="shared" si="28"/>
        <v>129</v>
      </c>
    </row>
    <row r="646" spans="1:36">
      <c r="A646" s="332">
        <f t="shared" si="29"/>
        <v>130</v>
      </c>
      <c r="F646" s="365"/>
      <c r="G646" s="366" t="s">
        <v>1001</v>
      </c>
      <c r="H646" s="367">
        <v>21456</v>
      </c>
      <c r="I646" s="351" t="s">
        <v>870</v>
      </c>
      <c r="J646" s="350" t="s">
        <v>863</v>
      </c>
      <c r="K646" s="350">
        <f>INT(('Run Time Parameters'!$E$5-'Data Sample'!H646)/365.25)</f>
        <v>51</v>
      </c>
      <c r="L646" s="368">
        <v>1975</v>
      </c>
      <c r="M646" s="368">
        <v>0</v>
      </c>
      <c r="N646" s="350" t="s">
        <v>867</v>
      </c>
      <c r="O646" s="368">
        <v>0</v>
      </c>
      <c r="P646" s="368">
        <v>0</v>
      </c>
      <c r="Q646" s="367">
        <v>21456</v>
      </c>
      <c r="R646" s="368" t="s">
        <v>870</v>
      </c>
      <c r="S646" s="368" t="s">
        <v>863</v>
      </c>
      <c r="T646" s="350">
        <f>INT(('Run Time Parameters'!$E$5-'Data Sample'!Q646)/365.25)</f>
        <v>51</v>
      </c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339"/>
      <c r="AJ646" s="353">
        <f t="shared" si="28"/>
        <v>130</v>
      </c>
    </row>
    <row r="647" spans="1:36">
      <c r="A647" s="332">
        <f t="shared" si="29"/>
        <v>131</v>
      </c>
      <c r="F647" s="365"/>
      <c r="G647" s="366" t="s">
        <v>1002</v>
      </c>
      <c r="H647" s="367">
        <v>14458</v>
      </c>
      <c r="I647" s="351" t="s">
        <v>870</v>
      </c>
      <c r="J647" s="350" t="s">
        <v>915</v>
      </c>
      <c r="K647" s="350">
        <f>INT(('Run Time Parameters'!$E$5-'Data Sample'!H647)/365.25)</f>
        <v>70</v>
      </c>
      <c r="L647" s="368">
        <v>2000</v>
      </c>
      <c r="M647" s="368">
        <v>0</v>
      </c>
      <c r="N647" s="350" t="s">
        <v>867</v>
      </c>
      <c r="O647" s="368">
        <v>0</v>
      </c>
      <c r="P647" s="368">
        <v>0</v>
      </c>
      <c r="Q647" s="367">
        <v>27648</v>
      </c>
      <c r="R647" s="368" t="s">
        <v>870</v>
      </c>
      <c r="S647" s="368" t="s">
        <v>887</v>
      </c>
      <c r="T647" s="350">
        <f>INT(('Run Time Parameters'!$E$5-'Data Sample'!Q647)/365.25)</f>
        <v>34</v>
      </c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339"/>
      <c r="AJ647" s="353">
        <f t="shared" ref="AJ647:AJ710" si="30">AJ646+1</f>
        <v>131</v>
      </c>
    </row>
    <row r="648" spans="1:36">
      <c r="A648" s="332">
        <f t="shared" si="29"/>
        <v>132</v>
      </c>
      <c r="F648" s="365"/>
      <c r="G648" s="366" t="s">
        <v>1003</v>
      </c>
      <c r="H648" s="367">
        <v>28168</v>
      </c>
      <c r="I648" s="351" t="s">
        <v>862</v>
      </c>
      <c r="J648" s="350" t="s">
        <v>866</v>
      </c>
      <c r="K648" s="350">
        <f>INT(('Run Time Parameters'!$E$5-'Data Sample'!H648)/365.25)</f>
        <v>32</v>
      </c>
      <c r="L648" s="368">
        <v>1994</v>
      </c>
      <c r="M648" s="368">
        <v>0</v>
      </c>
      <c r="N648" s="350" t="s">
        <v>867</v>
      </c>
      <c r="O648" s="368">
        <v>0</v>
      </c>
      <c r="P648" s="368">
        <v>0</v>
      </c>
      <c r="Q648" s="367">
        <v>28168</v>
      </c>
      <c r="R648" s="368" t="s">
        <v>862</v>
      </c>
      <c r="S648" s="368" t="s">
        <v>866</v>
      </c>
      <c r="T648" s="350">
        <f>INT(('Run Time Parameters'!$E$5-'Data Sample'!Q648)/365.25)</f>
        <v>32</v>
      </c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339"/>
      <c r="AJ648" s="353">
        <f t="shared" si="30"/>
        <v>132</v>
      </c>
    </row>
    <row r="649" spans="1:36">
      <c r="A649" s="332">
        <f t="shared" si="29"/>
        <v>133</v>
      </c>
      <c r="F649" s="365"/>
      <c r="G649" s="366" t="s">
        <v>1004</v>
      </c>
      <c r="H649" s="367">
        <v>26758</v>
      </c>
      <c r="I649" s="351" t="s">
        <v>870</v>
      </c>
      <c r="J649" s="350" t="s">
        <v>863</v>
      </c>
      <c r="K649" s="350">
        <f>INT(('Run Time Parameters'!$E$5-'Data Sample'!H649)/365.25)</f>
        <v>36</v>
      </c>
      <c r="L649" s="368">
        <v>1991</v>
      </c>
      <c r="M649" s="368">
        <v>0</v>
      </c>
      <c r="N649" s="350" t="s">
        <v>867</v>
      </c>
      <c r="O649" s="368">
        <v>0</v>
      </c>
      <c r="P649" s="368">
        <v>0</v>
      </c>
      <c r="Q649" s="367">
        <v>26758</v>
      </c>
      <c r="R649" s="368" t="s">
        <v>870</v>
      </c>
      <c r="S649" s="368" t="s">
        <v>863</v>
      </c>
      <c r="T649" s="350">
        <f>INT(('Run Time Parameters'!$E$5-'Data Sample'!Q649)/365.25)</f>
        <v>36</v>
      </c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339"/>
      <c r="AJ649" s="353">
        <f t="shared" si="30"/>
        <v>133</v>
      </c>
    </row>
    <row r="650" spans="1:36">
      <c r="A650" s="332">
        <f t="shared" ref="A650:A713" si="31">1+A649</f>
        <v>134</v>
      </c>
      <c r="F650" s="365"/>
      <c r="G650" s="366" t="s">
        <v>1005</v>
      </c>
      <c r="H650" s="367">
        <v>18331.041666666668</v>
      </c>
      <c r="I650" s="351" t="s">
        <v>862</v>
      </c>
      <c r="J650" s="350" t="s">
        <v>887</v>
      </c>
      <c r="K650" s="350">
        <f>INT(('Run Time Parameters'!$E$5-'Data Sample'!H650)/365.25)</f>
        <v>59</v>
      </c>
      <c r="L650" s="368">
        <v>1968</v>
      </c>
      <c r="M650" s="368">
        <v>1</v>
      </c>
      <c r="N650" s="350" t="s">
        <v>867</v>
      </c>
      <c r="O650" s="368">
        <v>0</v>
      </c>
      <c r="P650" s="368">
        <v>0</v>
      </c>
      <c r="Q650" s="367">
        <v>18331.041666666668</v>
      </c>
      <c r="R650" s="368" t="s">
        <v>862</v>
      </c>
      <c r="S650" s="368" t="s">
        <v>887</v>
      </c>
      <c r="T650" s="350">
        <f>INT(('Run Time Parameters'!$E$5-'Data Sample'!Q650)/365.25)</f>
        <v>59</v>
      </c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339"/>
      <c r="AJ650" s="353">
        <f t="shared" si="30"/>
        <v>134</v>
      </c>
    </row>
    <row r="651" spans="1:36">
      <c r="A651" s="332">
        <f t="shared" si="31"/>
        <v>135</v>
      </c>
      <c r="F651" s="365"/>
      <c r="G651" s="366" t="s">
        <v>1006</v>
      </c>
      <c r="H651" s="367">
        <v>14377</v>
      </c>
      <c r="I651" s="351" t="s">
        <v>870</v>
      </c>
      <c r="J651" s="350" t="s">
        <v>915</v>
      </c>
      <c r="K651" s="350">
        <f>INT(('Run Time Parameters'!$E$5-'Data Sample'!H651)/365.25)</f>
        <v>70</v>
      </c>
      <c r="L651" s="368">
        <v>1957</v>
      </c>
      <c r="M651" s="368">
        <v>0</v>
      </c>
      <c r="N651" s="350" t="s">
        <v>867</v>
      </c>
      <c r="O651" s="368">
        <v>0</v>
      </c>
      <c r="P651" s="368">
        <v>0</v>
      </c>
      <c r="Q651" s="367">
        <v>27065</v>
      </c>
      <c r="R651" s="368" t="s">
        <v>862</v>
      </c>
      <c r="S651" s="368" t="s">
        <v>863</v>
      </c>
      <c r="T651" s="350">
        <f>INT(('Run Time Parameters'!$E$5-'Data Sample'!Q651)/365.25)</f>
        <v>35</v>
      </c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339"/>
      <c r="AJ651" s="353">
        <f t="shared" si="30"/>
        <v>135</v>
      </c>
    </row>
    <row r="652" spans="1:36">
      <c r="A652" s="332">
        <f t="shared" si="31"/>
        <v>136</v>
      </c>
      <c r="F652" s="365"/>
      <c r="G652" s="366" t="s">
        <v>1007</v>
      </c>
      <c r="H652" s="367">
        <v>25502.041666666668</v>
      </c>
      <c r="I652" s="351" t="s">
        <v>862</v>
      </c>
      <c r="J652" s="350" t="s">
        <v>874</v>
      </c>
      <c r="K652" s="350">
        <f>INT(('Run Time Parameters'!$E$5-'Data Sample'!H652)/365.25)</f>
        <v>40</v>
      </c>
      <c r="L652" s="368">
        <v>1988</v>
      </c>
      <c r="M652" s="368">
        <v>0</v>
      </c>
      <c r="N652" s="350" t="s">
        <v>867</v>
      </c>
      <c r="O652" s="368">
        <v>0</v>
      </c>
      <c r="P652" s="368">
        <v>0</v>
      </c>
      <c r="Q652" s="367">
        <v>25502.041666666668</v>
      </c>
      <c r="R652" s="368" t="s">
        <v>862</v>
      </c>
      <c r="S652" s="368" t="s">
        <v>874</v>
      </c>
      <c r="T652" s="350">
        <f>INT(('Run Time Parameters'!$E$5-'Data Sample'!Q652)/365.25)</f>
        <v>40</v>
      </c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339"/>
      <c r="AJ652" s="353">
        <f t="shared" si="30"/>
        <v>136</v>
      </c>
    </row>
    <row r="653" spans="1:36">
      <c r="A653" s="332">
        <f t="shared" si="31"/>
        <v>137</v>
      </c>
      <c r="F653" s="365"/>
      <c r="G653" s="366" t="s">
        <v>1008</v>
      </c>
      <c r="H653" s="367">
        <v>21063</v>
      </c>
      <c r="I653" s="351" t="s">
        <v>870</v>
      </c>
      <c r="J653" s="350" t="s">
        <v>887</v>
      </c>
      <c r="K653" s="350">
        <f>INT(('Run Time Parameters'!$E$5-'Data Sample'!H653)/365.25)</f>
        <v>52</v>
      </c>
      <c r="L653" s="368">
        <v>1975</v>
      </c>
      <c r="M653" s="368">
        <v>1</v>
      </c>
      <c r="N653" s="350" t="s">
        <v>864</v>
      </c>
      <c r="O653" s="368">
        <v>0</v>
      </c>
      <c r="P653" s="368">
        <v>0</v>
      </c>
      <c r="Q653" s="367">
        <v>21063</v>
      </c>
      <c r="R653" s="368" t="s">
        <v>870</v>
      </c>
      <c r="S653" s="368" t="s">
        <v>887</v>
      </c>
      <c r="T653" s="350">
        <f>INT(('Run Time Parameters'!$E$5-'Data Sample'!Q653)/365.25)</f>
        <v>52</v>
      </c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339"/>
      <c r="AJ653" s="353">
        <f t="shared" si="30"/>
        <v>137</v>
      </c>
    </row>
    <row r="654" spans="1:36">
      <c r="A654" s="332">
        <f t="shared" si="31"/>
        <v>138</v>
      </c>
      <c r="F654" s="365"/>
      <c r="G654" s="366" t="s">
        <v>1009</v>
      </c>
      <c r="H654" s="367">
        <v>11078</v>
      </c>
      <c r="I654" s="351" t="s">
        <v>862</v>
      </c>
      <c r="J654" s="350" t="s">
        <v>915</v>
      </c>
      <c r="K654" s="350">
        <f>INT(('Run Time Parameters'!$E$5-'Data Sample'!H654)/365.25)</f>
        <v>79</v>
      </c>
      <c r="L654" s="368">
        <v>1955</v>
      </c>
      <c r="M654" s="368">
        <v>0</v>
      </c>
      <c r="N654" s="350" t="s">
        <v>867</v>
      </c>
      <c r="O654" s="368">
        <v>0</v>
      </c>
      <c r="P654" s="368">
        <v>0</v>
      </c>
      <c r="Q654" s="367">
        <v>20973</v>
      </c>
      <c r="R654" s="368" t="s">
        <v>862</v>
      </c>
      <c r="S654" s="368" t="s">
        <v>863</v>
      </c>
      <c r="T654" s="350">
        <f>INT(('Run Time Parameters'!$E$5-'Data Sample'!Q654)/365.25)</f>
        <v>52</v>
      </c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339"/>
      <c r="AJ654" s="353">
        <f t="shared" si="30"/>
        <v>138</v>
      </c>
    </row>
    <row r="655" spans="1:36">
      <c r="A655" s="332">
        <f t="shared" si="31"/>
        <v>139</v>
      </c>
      <c r="F655" s="365"/>
      <c r="G655" s="366" t="s">
        <v>1010</v>
      </c>
      <c r="H655" s="367">
        <v>29383</v>
      </c>
      <c r="I655" s="351" t="s">
        <v>862</v>
      </c>
      <c r="J655" s="350" t="s">
        <v>863</v>
      </c>
      <c r="K655" s="350">
        <f>INT(('Run Time Parameters'!$E$5-'Data Sample'!H655)/365.25)</f>
        <v>29</v>
      </c>
      <c r="L655" s="368">
        <v>1997</v>
      </c>
      <c r="M655" s="368">
        <v>0</v>
      </c>
      <c r="N655" s="350" t="s">
        <v>867</v>
      </c>
      <c r="O655" s="368">
        <v>0</v>
      </c>
      <c r="P655" s="368">
        <v>0</v>
      </c>
      <c r="Q655" s="367">
        <v>30284</v>
      </c>
      <c r="R655" s="368" t="s">
        <v>870</v>
      </c>
      <c r="S655" s="368" t="s">
        <v>863</v>
      </c>
      <c r="T655" s="350">
        <f>INT(('Run Time Parameters'!$E$5-'Data Sample'!Q655)/365.25)</f>
        <v>26</v>
      </c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339"/>
      <c r="AJ655" s="353">
        <f t="shared" si="30"/>
        <v>139</v>
      </c>
    </row>
    <row r="656" spans="1:36">
      <c r="A656" s="332">
        <f t="shared" si="31"/>
        <v>140</v>
      </c>
      <c r="F656" s="365"/>
      <c r="G656" s="366" t="s">
        <v>1011</v>
      </c>
      <c r="H656" s="367">
        <v>22455</v>
      </c>
      <c r="I656" s="351" t="s">
        <v>862</v>
      </c>
      <c r="J656" s="350" t="s">
        <v>863</v>
      </c>
      <c r="K656" s="350">
        <f>INT(('Run Time Parameters'!$E$5-'Data Sample'!H656)/365.25)</f>
        <v>48</v>
      </c>
      <c r="L656" s="368">
        <v>1978</v>
      </c>
      <c r="M656" s="368">
        <v>1</v>
      </c>
      <c r="N656" s="350" t="s">
        <v>864</v>
      </c>
      <c r="O656" s="368">
        <v>0</v>
      </c>
      <c r="P656" s="368">
        <v>0</v>
      </c>
      <c r="Q656" s="367">
        <v>22455</v>
      </c>
      <c r="R656" s="368" t="s">
        <v>862</v>
      </c>
      <c r="S656" s="368" t="s">
        <v>863</v>
      </c>
      <c r="T656" s="350">
        <f>INT(('Run Time Parameters'!$E$5-'Data Sample'!Q656)/365.25)</f>
        <v>48</v>
      </c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339"/>
      <c r="AJ656" s="353">
        <f t="shared" si="30"/>
        <v>140</v>
      </c>
    </row>
    <row r="657" spans="1:36">
      <c r="A657" s="332">
        <f t="shared" si="31"/>
        <v>141</v>
      </c>
      <c r="F657" s="365"/>
      <c r="G657" s="366" t="s">
        <v>1012</v>
      </c>
      <c r="H657" s="367">
        <v>27562</v>
      </c>
      <c r="I657" s="351" t="s">
        <v>870</v>
      </c>
      <c r="J657" s="350" t="s">
        <v>874</v>
      </c>
      <c r="K657" s="350">
        <f>INT(('Run Time Parameters'!$E$5-'Data Sample'!H657)/365.25)</f>
        <v>34</v>
      </c>
      <c r="L657" s="368">
        <v>1993</v>
      </c>
      <c r="M657" s="368">
        <v>0</v>
      </c>
      <c r="N657" s="350" t="s">
        <v>864</v>
      </c>
      <c r="O657" s="368">
        <v>0</v>
      </c>
      <c r="P657" s="368">
        <v>0</v>
      </c>
      <c r="Q657" s="367">
        <v>27562</v>
      </c>
      <c r="R657" s="368" t="s">
        <v>870</v>
      </c>
      <c r="S657" s="368" t="s">
        <v>874</v>
      </c>
      <c r="T657" s="350">
        <f>INT(('Run Time Parameters'!$E$5-'Data Sample'!Q657)/365.25)</f>
        <v>34</v>
      </c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339"/>
      <c r="AJ657" s="353">
        <f t="shared" si="30"/>
        <v>141</v>
      </c>
    </row>
    <row r="658" spans="1:36">
      <c r="A658" s="332">
        <f t="shared" si="31"/>
        <v>142</v>
      </c>
      <c r="F658" s="365"/>
      <c r="G658" s="366" t="s">
        <v>1013</v>
      </c>
      <c r="H658" s="367">
        <v>27940</v>
      </c>
      <c r="I658" s="351" t="s">
        <v>862</v>
      </c>
      <c r="J658" s="350" t="s">
        <v>863</v>
      </c>
      <c r="K658" s="350">
        <f>INT(('Run Time Parameters'!$E$5-'Data Sample'!H658)/365.25)</f>
        <v>33</v>
      </c>
      <c r="L658" s="368">
        <v>1993</v>
      </c>
      <c r="M658" s="368">
        <v>0</v>
      </c>
      <c r="N658" s="350" t="s">
        <v>867</v>
      </c>
      <c r="O658" s="368">
        <v>0</v>
      </c>
      <c r="P658" s="368">
        <v>0</v>
      </c>
      <c r="Q658" s="367">
        <v>27940</v>
      </c>
      <c r="R658" s="368" t="s">
        <v>862</v>
      </c>
      <c r="S658" s="368" t="s">
        <v>863</v>
      </c>
      <c r="T658" s="350">
        <f>INT(('Run Time Parameters'!$E$5-'Data Sample'!Q658)/365.25)</f>
        <v>33</v>
      </c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339"/>
      <c r="AJ658" s="353">
        <f t="shared" si="30"/>
        <v>142</v>
      </c>
    </row>
    <row r="659" spans="1:36">
      <c r="A659" s="332">
        <f t="shared" si="31"/>
        <v>143</v>
      </c>
      <c r="F659" s="365"/>
      <c r="G659" s="366" t="s">
        <v>1014</v>
      </c>
      <c r="H659" s="367">
        <v>21593.041666666668</v>
      </c>
      <c r="I659" s="351" t="s">
        <v>862</v>
      </c>
      <c r="J659" s="350" t="s">
        <v>866</v>
      </c>
      <c r="K659" s="350">
        <f>INT(('Run Time Parameters'!$E$5-'Data Sample'!H659)/365.25)</f>
        <v>50</v>
      </c>
      <c r="L659" s="368">
        <v>1990</v>
      </c>
      <c r="M659" s="368">
        <v>0</v>
      </c>
      <c r="N659" s="350" t="s">
        <v>867</v>
      </c>
      <c r="O659" s="368">
        <v>0</v>
      </c>
      <c r="P659" s="368">
        <v>0</v>
      </c>
      <c r="Q659" s="367">
        <v>22550</v>
      </c>
      <c r="R659" s="368" t="s">
        <v>862</v>
      </c>
      <c r="S659" s="368" t="s">
        <v>866</v>
      </c>
      <c r="T659" s="350">
        <f>INT(('Run Time Parameters'!$E$5-'Data Sample'!Q659)/365.25)</f>
        <v>48</v>
      </c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339"/>
      <c r="AJ659" s="353">
        <f t="shared" si="30"/>
        <v>143</v>
      </c>
    </row>
    <row r="660" spans="1:36">
      <c r="A660" s="332">
        <f t="shared" si="31"/>
        <v>144</v>
      </c>
      <c r="F660" s="365"/>
      <c r="G660" s="366" t="s">
        <v>1015</v>
      </c>
      <c r="H660" s="367">
        <v>16557</v>
      </c>
      <c r="I660" s="351" t="s">
        <v>870</v>
      </c>
      <c r="J660" s="350" t="s">
        <v>863</v>
      </c>
      <c r="K660" s="350">
        <f>INT(('Run Time Parameters'!$E$5-'Data Sample'!H660)/365.25)</f>
        <v>64</v>
      </c>
      <c r="L660" s="368">
        <v>1962</v>
      </c>
      <c r="M660" s="368">
        <v>1</v>
      </c>
      <c r="N660" s="350" t="s">
        <v>867</v>
      </c>
      <c r="O660" s="368">
        <v>0</v>
      </c>
      <c r="P660" s="368">
        <v>0</v>
      </c>
      <c r="Q660" s="367">
        <v>17239.041666666668</v>
      </c>
      <c r="R660" s="368" t="s">
        <v>862</v>
      </c>
      <c r="S660" s="368" t="s">
        <v>863</v>
      </c>
      <c r="T660" s="350">
        <f>INT(('Run Time Parameters'!$E$5-'Data Sample'!Q660)/365.25)</f>
        <v>62</v>
      </c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339"/>
      <c r="AJ660" s="353">
        <f t="shared" si="30"/>
        <v>144</v>
      </c>
    </row>
    <row r="661" spans="1:36">
      <c r="A661" s="332">
        <f t="shared" si="31"/>
        <v>145</v>
      </c>
      <c r="F661" s="365"/>
      <c r="G661" s="366" t="s">
        <v>1016</v>
      </c>
      <c r="H661" s="367">
        <v>29003</v>
      </c>
      <c r="I661" s="351" t="s">
        <v>870</v>
      </c>
      <c r="J661" s="350" t="s">
        <v>863</v>
      </c>
      <c r="K661" s="350">
        <f>INT(('Run Time Parameters'!$E$5-'Data Sample'!H661)/365.25)</f>
        <v>30</v>
      </c>
      <c r="L661" s="368">
        <v>1996</v>
      </c>
      <c r="M661" s="368">
        <v>0</v>
      </c>
      <c r="N661" s="350" t="s">
        <v>867</v>
      </c>
      <c r="O661" s="368">
        <v>0</v>
      </c>
      <c r="P661" s="368">
        <v>0</v>
      </c>
      <c r="Q661" s="367">
        <v>29003</v>
      </c>
      <c r="R661" s="368" t="s">
        <v>870</v>
      </c>
      <c r="S661" s="368" t="s">
        <v>863</v>
      </c>
      <c r="T661" s="350">
        <f>INT(('Run Time Parameters'!$E$5-'Data Sample'!Q661)/365.25)</f>
        <v>30</v>
      </c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339"/>
      <c r="AJ661" s="353">
        <f t="shared" si="30"/>
        <v>145</v>
      </c>
    </row>
    <row r="662" spans="1:36">
      <c r="A662" s="332">
        <f t="shared" si="31"/>
        <v>146</v>
      </c>
      <c r="F662" s="365"/>
      <c r="G662" s="366" t="s">
        <v>1017</v>
      </c>
      <c r="H662" s="367">
        <v>17496.041666666668</v>
      </c>
      <c r="I662" s="351" t="s">
        <v>870</v>
      </c>
      <c r="J662" s="350" t="s">
        <v>863</v>
      </c>
      <c r="K662" s="350">
        <f>INT(('Run Time Parameters'!$E$5-'Data Sample'!H662)/365.25)</f>
        <v>61</v>
      </c>
      <c r="L662" s="368">
        <v>1967</v>
      </c>
      <c r="M662" s="368">
        <v>0</v>
      </c>
      <c r="N662" s="350" t="s">
        <v>867</v>
      </c>
      <c r="O662" s="368">
        <v>0</v>
      </c>
      <c r="P662" s="368">
        <v>0</v>
      </c>
      <c r="Q662" s="367">
        <v>17496.041666666668</v>
      </c>
      <c r="R662" s="368" t="s">
        <v>870</v>
      </c>
      <c r="S662" s="368" t="s">
        <v>863</v>
      </c>
      <c r="T662" s="350">
        <f>INT(('Run Time Parameters'!$E$5-'Data Sample'!Q662)/365.25)</f>
        <v>61</v>
      </c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339"/>
      <c r="AJ662" s="353">
        <f t="shared" si="30"/>
        <v>146</v>
      </c>
    </row>
    <row r="663" spans="1:36">
      <c r="A663" s="332">
        <f t="shared" si="31"/>
        <v>147</v>
      </c>
      <c r="F663" s="365"/>
      <c r="G663" s="366" t="s">
        <v>1018</v>
      </c>
      <c r="H663" s="367">
        <v>24180.041666666668</v>
      </c>
      <c r="I663" s="351" t="s">
        <v>870</v>
      </c>
      <c r="J663" s="350" t="s">
        <v>863</v>
      </c>
      <c r="K663" s="350">
        <f>INT(('Run Time Parameters'!$E$5-'Data Sample'!H663)/365.25)</f>
        <v>43</v>
      </c>
      <c r="L663" s="368">
        <v>2001</v>
      </c>
      <c r="M663" s="368">
        <v>0</v>
      </c>
      <c r="N663" s="350" t="s">
        <v>867</v>
      </c>
      <c r="O663" s="368">
        <v>0</v>
      </c>
      <c r="P663" s="368">
        <v>0</v>
      </c>
      <c r="Q663" s="367">
        <v>25653.041666666668</v>
      </c>
      <c r="R663" s="368" t="s">
        <v>862</v>
      </c>
      <c r="S663" s="368" t="s">
        <v>863</v>
      </c>
      <c r="T663" s="350">
        <f>INT(('Run Time Parameters'!$E$5-'Data Sample'!Q663)/365.25)</f>
        <v>39</v>
      </c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339"/>
      <c r="AJ663" s="353">
        <f t="shared" si="30"/>
        <v>147</v>
      </c>
    </row>
    <row r="664" spans="1:36">
      <c r="A664" s="332">
        <f t="shared" si="31"/>
        <v>148</v>
      </c>
      <c r="F664" s="365"/>
      <c r="G664" s="366" t="s">
        <v>1019</v>
      </c>
      <c r="H664" s="367">
        <v>17613.041666666668</v>
      </c>
      <c r="I664" s="351" t="s">
        <v>862</v>
      </c>
      <c r="J664" s="350" t="s">
        <v>863</v>
      </c>
      <c r="K664" s="350">
        <f>INT(('Run Time Parameters'!$E$5-'Data Sample'!H664)/365.25)</f>
        <v>61</v>
      </c>
      <c r="L664" s="368">
        <v>1965</v>
      </c>
      <c r="M664" s="368">
        <v>0</v>
      </c>
      <c r="N664" s="350" t="s">
        <v>867</v>
      </c>
      <c r="O664" s="368">
        <v>0</v>
      </c>
      <c r="P664" s="368">
        <v>0</v>
      </c>
      <c r="Q664" s="367">
        <v>18141</v>
      </c>
      <c r="R664" s="368" t="s">
        <v>870</v>
      </c>
      <c r="S664" s="368" t="s">
        <v>863</v>
      </c>
      <c r="T664" s="350">
        <f>INT(('Run Time Parameters'!$E$5-'Data Sample'!Q664)/365.25)</f>
        <v>60</v>
      </c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339"/>
      <c r="AJ664" s="353">
        <f t="shared" si="30"/>
        <v>148</v>
      </c>
    </row>
    <row r="665" spans="1:36">
      <c r="A665" s="332">
        <f t="shared" si="31"/>
        <v>149</v>
      </c>
      <c r="F665" s="365"/>
      <c r="G665" s="366" t="s">
        <v>1020</v>
      </c>
      <c r="H665" s="367">
        <v>18201.041666666668</v>
      </c>
      <c r="I665" s="351" t="s">
        <v>870</v>
      </c>
      <c r="J665" s="350" t="s">
        <v>863</v>
      </c>
      <c r="K665" s="350">
        <f>INT(('Run Time Parameters'!$E$5-'Data Sample'!H665)/365.25)</f>
        <v>59</v>
      </c>
      <c r="L665" s="368">
        <v>1967</v>
      </c>
      <c r="M665" s="368">
        <v>1</v>
      </c>
      <c r="N665" s="350" t="s">
        <v>867</v>
      </c>
      <c r="O665" s="368">
        <v>0</v>
      </c>
      <c r="P665" s="368">
        <v>0</v>
      </c>
      <c r="Q665" s="367">
        <v>18201.041666666668</v>
      </c>
      <c r="R665" s="368" t="s">
        <v>870</v>
      </c>
      <c r="S665" s="368" t="s">
        <v>863</v>
      </c>
      <c r="T665" s="350">
        <f>INT(('Run Time Parameters'!$E$5-'Data Sample'!Q665)/365.25)</f>
        <v>59</v>
      </c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339"/>
      <c r="AJ665" s="353">
        <f t="shared" si="30"/>
        <v>149</v>
      </c>
    </row>
    <row r="666" spans="1:36">
      <c r="A666" s="332">
        <f t="shared" si="31"/>
        <v>150</v>
      </c>
      <c r="F666" s="365"/>
      <c r="G666" s="366" t="s">
        <v>1021</v>
      </c>
      <c r="H666" s="367">
        <v>25332</v>
      </c>
      <c r="I666" s="351" t="s">
        <v>870</v>
      </c>
      <c r="J666" s="350" t="s">
        <v>863</v>
      </c>
      <c r="K666" s="350">
        <f>INT(('Run Time Parameters'!$E$5-'Data Sample'!H666)/365.25)</f>
        <v>40</v>
      </c>
      <c r="L666" s="368">
        <v>1986</v>
      </c>
      <c r="M666" s="368">
        <v>0</v>
      </c>
      <c r="N666" s="350" t="s">
        <v>867</v>
      </c>
      <c r="O666" s="368">
        <v>0</v>
      </c>
      <c r="P666" s="368">
        <v>0</v>
      </c>
      <c r="Q666" s="367">
        <v>25332</v>
      </c>
      <c r="R666" s="368" t="s">
        <v>870</v>
      </c>
      <c r="S666" s="368" t="s">
        <v>863</v>
      </c>
      <c r="T666" s="350">
        <f>INT(('Run Time Parameters'!$E$5-'Data Sample'!Q666)/365.25)</f>
        <v>40</v>
      </c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339"/>
      <c r="AJ666" s="353">
        <f t="shared" si="30"/>
        <v>150</v>
      </c>
    </row>
    <row r="667" spans="1:36">
      <c r="A667" s="332">
        <f t="shared" si="31"/>
        <v>151</v>
      </c>
      <c r="F667" s="365"/>
      <c r="G667" s="366" t="s">
        <v>1022</v>
      </c>
      <c r="H667" s="367">
        <v>12938</v>
      </c>
      <c r="I667" s="351" t="s">
        <v>870</v>
      </c>
      <c r="J667" s="350" t="s">
        <v>863</v>
      </c>
      <c r="K667" s="350">
        <f>INT(('Run Time Parameters'!$E$5-'Data Sample'!H667)/365.25)</f>
        <v>74</v>
      </c>
      <c r="L667" s="368">
        <v>1952</v>
      </c>
      <c r="M667" s="368">
        <v>1</v>
      </c>
      <c r="N667" s="350" t="s">
        <v>867</v>
      </c>
      <c r="O667" s="368">
        <v>0</v>
      </c>
      <c r="P667" s="368">
        <v>0</v>
      </c>
      <c r="Q667" s="367">
        <v>12938</v>
      </c>
      <c r="R667" s="368" t="s">
        <v>870</v>
      </c>
      <c r="S667" s="368" t="s">
        <v>863</v>
      </c>
      <c r="T667" s="350">
        <f>INT(('Run Time Parameters'!$E$5-'Data Sample'!Q667)/365.25)</f>
        <v>74</v>
      </c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339"/>
      <c r="AJ667" s="353">
        <f t="shared" si="30"/>
        <v>151</v>
      </c>
    </row>
    <row r="668" spans="1:36">
      <c r="A668" s="332">
        <f t="shared" si="31"/>
        <v>152</v>
      </c>
      <c r="F668" s="365"/>
      <c r="G668" s="366" t="s">
        <v>1023</v>
      </c>
      <c r="H668" s="367">
        <v>23203</v>
      </c>
      <c r="I668" s="351" t="s">
        <v>862</v>
      </c>
      <c r="J668" s="350" t="s">
        <v>863</v>
      </c>
      <c r="K668" s="350">
        <f>INT(('Run Time Parameters'!$E$5-'Data Sample'!H668)/365.25)</f>
        <v>46</v>
      </c>
      <c r="L668" s="368">
        <v>1980</v>
      </c>
      <c r="M668" s="368">
        <v>0</v>
      </c>
      <c r="N668" s="350" t="s">
        <v>867</v>
      </c>
      <c r="O668" s="368">
        <v>0</v>
      </c>
      <c r="P668" s="368">
        <v>0</v>
      </c>
      <c r="Q668" s="367">
        <v>23423.041666666668</v>
      </c>
      <c r="R668" s="368" t="s">
        <v>870</v>
      </c>
      <c r="S668" s="368" t="s">
        <v>863</v>
      </c>
      <c r="T668" s="350">
        <f>INT(('Run Time Parameters'!$E$5-'Data Sample'!Q668)/365.25)</f>
        <v>45</v>
      </c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339"/>
      <c r="AJ668" s="353">
        <f t="shared" si="30"/>
        <v>152</v>
      </c>
    </row>
    <row r="669" spans="1:36">
      <c r="A669" s="332">
        <f t="shared" si="31"/>
        <v>153</v>
      </c>
      <c r="F669" s="365"/>
      <c r="G669" s="366" t="s">
        <v>1024</v>
      </c>
      <c r="H669" s="367">
        <v>17224.041666666668</v>
      </c>
      <c r="I669" s="351" t="s">
        <v>870</v>
      </c>
      <c r="J669" s="350" t="s">
        <v>863</v>
      </c>
      <c r="K669" s="350">
        <f>INT(('Run Time Parameters'!$E$5-'Data Sample'!H669)/365.25)</f>
        <v>62</v>
      </c>
      <c r="L669" s="368">
        <v>1964</v>
      </c>
      <c r="M669" s="368">
        <v>0</v>
      </c>
      <c r="N669" s="350" t="s">
        <v>864</v>
      </c>
      <c r="O669" s="368">
        <v>0</v>
      </c>
      <c r="P669" s="368">
        <v>0</v>
      </c>
      <c r="Q669" s="367">
        <v>18247.041666666668</v>
      </c>
      <c r="R669" s="368" t="s">
        <v>862</v>
      </c>
      <c r="S669" s="368" t="s">
        <v>863</v>
      </c>
      <c r="T669" s="350">
        <f>INT(('Run Time Parameters'!$E$5-'Data Sample'!Q669)/365.25)</f>
        <v>59</v>
      </c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339"/>
      <c r="AJ669" s="353">
        <f t="shared" si="30"/>
        <v>153</v>
      </c>
    </row>
    <row r="670" spans="1:36">
      <c r="A670" s="332">
        <f t="shared" si="31"/>
        <v>154</v>
      </c>
      <c r="F670" s="365"/>
      <c r="G670" s="366" t="s">
        <v>1025</v>
      </c>
      <c r="H670" s="367">
        <v>23805.041666666668</v>
      </c>
      <c r="I670" s="351" t="s">
        <v>862</v>
      </c>
      <c r="J670" s="350" t="s">
        <v>863</v>
      </c>
      <c r="K670" s="350">
        <f>INT(('Run Time Parameters'!$E$5-'Data Sample'!H670)/365.25)</f>
        <v>44</v>
      </c>
      <c r="L670" s="368">
        <v>1982</v>
      </c>
      <c r="M670" s="368">
        <v>0</v>
      </c>
      <c r="N670" s="350" t="s">
        <v>867</v>
      </c>
      <c r="O670" s="368">
        <v>0</v>
      </c>
      <c r="P670" s="368">
        <v>0</v>
      </c>
      <c r="Q670" s="367">
        <v>25368</v>
      </c>
      <c r="R670" s="368" t="s">
        <v>870</v>
      </c>
      <c r="S670" s="368" t="s">
        <v>863</v>
      </c>
      <c r="T670" s="350">
        <f>INT(('Run Time Parameters'!$E$5-'Data Sample'!Q670)/365.25)</f>
        <v>40</v>
      </c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339"/>
      <c r="AJ670" s="353">
        <f t="shared" si="30"/>
        <v>154</v>
      </c>
    </row>
    <row r="671" spans="1:36">
      <c r="A671" s="332">
        <f t="shared" si="31"/>
        <v>155</v>
      </c>
      <c r="F671" s="365"/>
      <c r="G671" s="366" t="s">
        <v>1026</v>
      </c>
      <c r="H671" s="367">
        <v>27733</v>
      </c>
      <c r="I671" s="351" t="s">
        <v>862</v>
      </c>
      <c r="J671" s="350" t="s">
        <v>863</v>
      </c>
      <c r="K671" s="350">
        <f>INT(('Run Time Parameters'!$E$5-'Data Sample'!H671)/365.25)</f>
        <v>33</v>
      </c>
      <c r="L671" s="368">
        <v>1994</v>
      </c>
      <c r="M671" s="368">
        <v>0</v>
      </c>
      <c r="N671" s="350" t="s">
        <v>867</v>
      </c>
      <c r="O671" s="368">
        <v>0</v>
      </c>
      <c r="P671" s="368">
        <v>0</v>
      </c>
      <c r="Q671" s="367">
        <v>27733</v>
      </c>
      <c r="R671" s="368" t="s">
        <v>862</v>
      </c>
      <c r="S671" s="368" t="s">
        <v>863</v>
      </c>
      <c r="T671" s="350">
        <f>INT(('Run Time Parameters'!$E$5-'Data Sample'!Q671)/365.25)</f>
        <v>33</v>
      </c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339"/>
      <c r="AJ671" s="353">
        <f t="shared" si="30"/>
        <v>155</v>
      </c>
    </row>
    <row r="672" spans="1:36">
      <c r="A672" s="332">
        <f t="shared" si="31"/>
        <v>156</v>
      </c>
      <c r="F672" s="365"/>
      <c r="G672" s="366" t="s">
        <v>1027</v>
      </c>
      <c r="H672" s="367">
        <v>23805.041666666668</v>
      </c>
      <c r="I672" s="351" t="s">
        <v>862</v>
      </c>
      <c r="J672" s="350" t="s">
        <v>863</v>
      </c>
      <c r="K672" s="350">
        <f>INT(('Run Time Parameters'!$E$5-'Data Sample'!H672)/365.25)</f>
        <v>44</v>
      </c>
      <c r="L672" s="368">
        <v>1982</v>
      </c>
      <c r="M672" s="368">
        <v>0</v>
      </c>
      <c r="N672" s="350" t="s">
        <v>867</v>
      </c>
      <c r="O672" s="368">
        <v>0</v>
      </c>
      <c r="P672" s="368">
        <v>0</v>
      </c>
      <c r="Q672" s="367">
        <v>25368</v>
      </c>
      <c r="R672" s="368" t="s">
        <v>870</v>
      </c>
      <c r="S672" s="368" t="s">
        <v>863</v>
      </c>
      <c r="T672" s="350">
        <f>INT(('Run Time Parameters'!$E$5-'Data Sample'!Q672)/365.25)</f>
        <v>40</v>
      </c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339"/>
      <c r="AJ672" s="353">
        <f t="shared" si="30"/>
        <v>156</v>
      </c>
    </row>
    <row r="673" spans="1:36">
      <c r="A673" s="332">
        <f t="shared" si="31"/>
        <v>157</v>
      </c>
      <c r="F673" s="365"/>
      <c r="G673" s="366" t="s">
        <v>1028</v>
      </c>
      <c r="H673" s="367">
        <v>22833</v>
      </c>
      <c r="I673" s="351" t="s">
        <v>870</v>
      </c>
      <c r="J673" s="350" t="s">
        <v>863</v>
      </c>
      <c r="K673" s="350">
        <f>INT(('Run Time Parameters'!$E$5-'Data Sample'!H673)/365.25)</f>
        <v>47</v>
      </c>
      <c r="L673" s="368">
        <v>1979</v>
      </c>
      <c r="M673" s="368">
        <v>0</v>
      </c>
      <c r="N673" s="350" t="s">
        <v>867</v>
      </c>
      <c r="O673" s="368">
        <v>0</v>
      </c>
      <c r="P673" s="368">
        <v>0</v>
      </c>
      <c r="Q673" s="367">
        <v>22833</v>
      </c>
      <c r="R673" s="368" t="s">
        <v>870</v>
      </c>
      <c r="S673" s="368" t="s">
        <v>863</v>
      </c>
      <c r="T673" s="350">
        <f>INT(('Run Time Parameters'!$E$5-'Data Sample'!Q673)/365.25)</f>
        <v>47</v>
      </c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339"/>
      <c r="AJ673" s="353">
        <f t="shared" si="30"/>
        <v>157</v>
      </c>
    </row>
    <row r="674" spans="1:36">
      <c r="A674" s="332">
        <f t="shared" si="31"/>
        <v>158</v>
      </c>
      <c r="F674" s="365"/>
      <c r="G674" s="366" t="s">
        <v>1029</v>
      </c>
      <c r="H674" s="367">
        <v>22802</v>
      </c>
      <c r="I674" s="351" t="s">
        <v>870</v>
      </c>
      <c r="J674" s="350" t="s">
        <v>863</v>
      </c>
      <c r="K674" s="350">
        <f>INT(('Run Time Parameters'!$E$5-'Data Sample'!H674)/365.25)</f>
        <v>47</v>
      </c>
      <c r="L674" s="368">
        <v>1982</v>
      </c>
      <c r="M674" s="368">
        <v>0</v>
      </c>
      <c r="N674" s="350" t="s">
        <v>867</v>
      </c>
      <c r="O674" s="368">
        <v>0</v>
      </c>
      <c r="P674" s="368">
        <v>0</v>
      </c>
      <c r="Q674" s="367">
        <v>22802</v>
      </c>
      <c r="R674" s="368" t="s">
        <v>870</v>
      </c>
      <c r="S674" s="368" t="s">
        <v>863</v>
      </c>
      <c r="T674" s="350">
        <f>INT(('Run Time Parameters'!$E$5-'Data Sample'!Q674)/365.25)</f>
        <v>47</v>
      </c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339"/>
      <c r="AJ674" s="353">
        <f t="shared" si="30"/>
        <v>158</v>
      </c>
    </row>
    <row r="675" spans="1:36">
      <c r="A675" s="332">
        <f t="shared" si="31"/>
        <v>159</v>
      </c>
      <c r="F675" s="365"/>
      <c r="G675" s="366" t="s">
        <v>1030</v>
      </c>
      <c r="H675" s="367">
        <v>10696</v>
      </c>
      <c r="I675" s="351" t="s">
        <v>870</v>
      </c>
      <c r="J675" s="350" t="s">
        <v>863</v>
      </c>
      <c r="K675" s="350">
        <f>INT(('Run Time Parameters'!$E$5-'Data Sample'!H675)/365.25)</f>
        <v>80</v>
      </c>
      <c r="L675" s="368">
        <v>1946</v>
      </c>
      <c r="M675" s="368">
        <v>0</v>
      </c>
      <c r="N675" s="350" t="s">
        <v>867</v>
      </c>
      <c r="O675" s="368">
        <v>0</v>
      </c>
      <c r="P675" s="368">
        <v>0</v>
      </c>
      <c r="Q675" s="367">
        <v>10696</v>
      </c>
      <c r="R675" s="368" t="s">
        <v>870</v>
      </c>
      <c r="S675" s="368" t="s">
        <v>863</v>
      </c>
      <c r="T675" s="350">
        <f>INT(('Run Time Parameters'!$E$5-'Data Sample'!Q675)/365.25)</f>
        <v>80</v>
      </c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339"/>
      <c r="AJ675" s="353">
        <f t="shared" si="30"/>
        <v>159</v>
      </c>
    </row>
    <row r="676" spans="1:36">
      <c r="A676" s="332">
        <f t="shared" si="31"/>
        <v>160</v>
      </c>
      <c r="F676" s="365"/>
      <c r="G676" s="366" t="s">
        <v>1031</v>
      </c>
      <c r="H676" s="367">
        <v>24445.041666666668</v>
      </c>
      <c r="I676" s="351" t="s">
        <v>870</v>
      </c>
      <c r="J676" s="350" t="s">
        <v>863</v>
      </c>
      <c r="K676" s="350">
        <f>INT(('Run Time Parameters'!$E$5-'Data Sample'!H676)/365.25)</f>
        <v>42</v>
      </c>
      <c r="L676" s="368">
        <v>1984</v>
      </c>
      <c r="M676" s="368">
        <v>0</v>
      </c>
      <c r="N676" s="350" t="s">
        <v>867</v>
      </c>
      <c r="O676" s="368">
        <v>0</v>
      </c>
      <c r="P676" s="368">
        <v>0</v>
      </c>
      <c r="Q676" s="367">
        <v>24445.041666666668</v>
      </c>
      <c r="R676" s="368" t="s">
        <v>870</v>
      </c>
      <c r="S676" s="368" t="s">
        <v>863</v>
      </c>
      <c r="T676" s="350">
        <f>INT(('Run Time Parameters'!$E$5-'Data Sample'!Q676)/365.25)</f>
        <v>42</v>
      </c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339"/>
      <c r="AJ676" s="353">
        <f t="shared" si="30"/>
        <v>160</v>
      </c>
    </row>
    <row r="677" spans="1:36">
      <c r="A677" s="332">
        <f t="shared" si="31"/>
        <v>161</v>
      </c>
      <c r="F677" s="365"/>
      <c r="G677" s="366" t="s">
        <v>1032</v>
      </c>
      <c r="H677" s="367">
        <v>25013</v>
      </c>
      <c r="I677" s="351" t="s">
        <v>862</v>
      </c>
      <c r="J677" s="350" t="s">
        <v>863</v>
      </c>
      <c r="K677" s="350">
        <f>INT(('Run Time Parameters'!$E$5-'Data Sample'!H677)/365.25)</f>
        <v>41</v>
      </c>
      <c r="L677" s="368">
        <v>1987</v>
      </c>
      <c r="M677" s="368">
        <v>0</v>
      </c>
      <c r="N677" s="350" t="s">
        <v>864</v>
      </c>
      <c r="O677" s="368">
        <v>0</v>
      </c>
      <c r="P677" s="368">
        <v>0</v>
      </c>
      <c r="Q677" s="367">
        <v>25013</v>
      </c>
      <c r="R677" s="368" t="s">
        <v>862</v>
      </c>
      <c r="S677" s="368" t="s">
        <v>863</v>
      </c>
      <c r="T677" s="350">
        <f>INT(('Run Time Parameters'!$E$5-'Data Sample'!Q677)/365.25)</f>
        <v>41</v>
      </c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339"/>
      <c r="AJ677" s="353">
        <f t="shared" si="30"/>
        <v>161</v>
      </c>
    </row>
    <row r="678" spans="1:36">
      <c r="A678" s="332">
        <f t="shared" si="31"/>
        <v>162</v>
      </c>
      <c r="F678" s="365"/>
      <c r="G678" s="366" t="s">
        <v>1033</v>
      </c>
      <c r="H678" s="367">
        <v>23466.041666666668</v>
      </c>
      <c r="I678" s="351" t="s">
        <v>870</v>
      </c>
      <c r="J678" s="350" t="s">
        <v>866</v>
      </c>
      <c r="K678" s="350">
        <f>INT(('Run Time Parameters'!$E$5-'Data Sample'!H678)/365.25)</f>
        <v>45</v>
      </c>
      <c r="L678" s="368">
        <v>1982</v>
      </c>
      <c r="M678" s="368">
        <v>0</v>
      </c>
      <c r="N678" s="350" t="s">
        <v>867</v>
      </c>
      <c r="O678" s="368">
        <v>0</v>
      </c>
      <c r="P678" s="368">
        <v>0</v>
      </c>
      <c r="Q678" s="367">
        <v>23466.041666666668</v>
      </c>
      <c r="R678" s="368" t="s">
        <v>870</v>
      </c>
      <c r="S678" s="368" t="s">
        <v>866</v>
      </c>
      <c r="T678" s="350">
        <f>INT(('Run Time Parameters'!$E$5-'Data Sample'!Q678)/365.25)</f>
        <v>45</v>
      </c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339"/>
      <c r="AJ678" s="353">
        <f t="shared" si="30"/>
        <v>162</v>
      </c>
    </row>
    <row r="679" spans="1:36">
      <c r="A679" s="332">
        <f t="shared" si="31"/>
        <v>163</v>
      </c>
      <c r="F679" s="365"/>
      <c r="G679" s="366" t="s">
        <v>1034</v>
      </c>
      <c r="H679" s="367">
        <v>27588</v>
      </c>
      <c r="I679" s="351" t="s">
        <v>862</v>
      </c>
      <c r="J679" s="350" t="s">
        <v>863</v>
      </c>
      <c r="K679" s="350">
        <f>INT(('Run Time Parameters'!$E$5-'Data Sample'!H679)/365.25)</f>
        <v>34</v>
      </c>
      <c r="L679" s="368">
        <v>1992</v>
      </c>
      <c r="M679" s="368">
        <v>0</v>
      </c>
      <c r="N679" s="350" t="s">
        <v>867</v>
      </c>
      <c r="O679" s="368">
        <v>0</v>
      </c>
      <c r="P679" s="368">
        <v>0</v>
      </c>
      <c r="Q679" s="367">
        <v>27588</v>
      </c>
      <c r="R679" s="368" t="s">
        <v>862</v>
      </c>
      <c r="S679" s="368" t="s">
        <v>863</v>
      </c>
      <c r="T679" s="350">
        <f>INT(('Run Time Parameters'!$E$5-'Data Sample'!Q679)/365.25)</f>
        <v>34</v>
      </c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339"/>
      <c r="AJ679" s="353">
        <f t="shared" si="30"/>
        <v>163</v>
      </c>
    </row>
    <row r="680" spans="1:36">
      <c r="A680" s="332">
        <f t="shared" si="31"/>
        <v>164</v>
      </c>
      <c r="F680" s="365"/>
      <c r="G680" s="366" t="s">
        <v>1035</v>
      </c>
      <c r="H680" s="367">
        <v>29706</v>
      </c>
      <c r="I680" s="351" t="s">
        <v>862</v>
      </c>
      <c r="J680" s="350" t="s">
        <v>863</v>
      </c>
      <c r="K680" s="350">
        <f>INT(('Run Time Parameters'!$E$5-'Data Sample'!H680)/365.25)</f>
        <v>28</v>
      </c>
      <c r="L680" s="368">
        <v>1998</v>
      </c>
      <c r="M680" s="368">
        <v>0</v>
      </c>
      <c r="N680" s="350" t="s">
        <v>867</v>
      </c>
      <c r="O680" s="368">
        <v>0</v>
      </c>
      <c r="P680" s="368">
        <v>0</v>
      </c>
      <c r="Q680" s="367">
        <v>29706</v>
      </c>
      <c r="R680" s="368" t="s">
        <v>862</v>
      </c>
      <c r="S680" s="368" t="s">
        <v>863</v>
      </c>
      <c r="T680" s="350">
        <f>INT(('Run Time Parameters'!$E$5-'Data Sample'!Q680)/365.25)</f>
        <v>28</v>
      </c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339"/>
      <c r="AJ680" s="353">
        <f t="shared" si="30"/>
        <v>164</v>
      </c>
    </row>
    <row r="681" spans="1:36">
      <c r="A681" s="332">
        <f t="shared" si="31"/>
        <v>165</v>
      </c>
      <c r="F681" s="365"/>
      <c r="G681" s="366" t="s">
        <v>1036</v>
      </c>
      <c r="H681" s="367">
        <v>19697.041666666668</v>
      </c>
      <c r="I681" s="351" t="s">
        <v>870</v>
      </c>
      <c r="J681" s="350" t="s">
        <v>863</v>
      </c>
      <c r="K681" s="350">
        <f>INT(('Run Time Parameters'!$E$5-'Data Sample'!H681)/365.25)</f>
        <v>55</v>
      </c>
      <c r="L681" s="368">
        <v>1971</v>
      </c>
      <c r="M681" s="368">
        <v>0</v>
      </c>
      <c r="N681" s="350" t="s">
        <v>864</v>
      </c>
      <c r="O681" s="368">
        <v>0</v>
      </c>
      <c r="P681" s="368">
        <v>0</v>
      </c>
      <c r="Q681" s="367">
        <v>20002.041666666668</v>
      </c>
      <c r="R681" s="368" t="s">
        <v>862</v>
      </c>
      <c r="S681" s="368" t="s">
        <v>863</v>
      </c>
      <c r="T681" s="350">
        <f>INT(('Run Time Parameters'!$E$5-'Data Sample'!Q681)/365.25)</f>
        <v>55</v>
      </c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339"/>
      <c r="AJ681" s="353">
        <f t="shared" si="30"/>
        <v>165</v>
      </c>
    </row>
    <row r="682" spans="1:36">
      <c r="A682" s="332">
        <f t="shared" si="31"/>
        <v>166</v>
      </c>
      <c r="F682" s="365"/>
      <c r="G682" s="366" t="s">
        <v>1037</v>
      </c>
      <c r="H682" s="367">
        <v>19757.041666666668</v>
      </c>
      <c r="I682" s="351" t="s">
        <v>862</v>
      </c>
      <c r="J682" s="350" t="s">
        <v>863</v>
      </c>
      <c r="K682" s="350">
        <f>INT(('Run Time Parameters'!$E$5-'Data Sample'!H682)/365.25)</f>
        <v>55</v>
      </c>
      <c r="L682" s="368">
        <v>1990</v>
      </c>
      <c r="M682" s="368">
        <v>2</v>
      </c>
      <c r="N682" s="350" t="s">
        <v>867</v>
      </c>
      <c r="O682" s="368">
        <v>0</v>
      </c>
      <c r="P682" s="368">
        <v>0</v>
      </c>
      <c r="Q682" s="367">
        <v>19757.041666666668</v>
      </c>
      <c r="R682" s="368" t="s">
        <v>862</v>
      </c>
      <c r="S682" s="368" t="s">
        <v>863</v>
      </c>
      <c r="T682" s="350">
        <f>INT(('Run Time Parameters'!$E$5-'Data Sample'!Q682)/365.25)</f>
        <v>55</v>
      </c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339"/>
      <c r="AJ682" s="353">
        <f t="shared" si="30"/>
        <v>166</v>
      </c>
    </row>
    <row r="683" spans="1:36">
      <c r="A683" s="332">
        <f t="shared" si="31"/>
        <v>167</v>
      </c>
      <c r="F683" s="365"/>
      <c r="G683" s="366" t="s">
        <v>1038</v>
      </c>
      <c r="H683" s="367">
        <v>29048</v>
      </c>
      <c r="I683" s="351" t="s">
        <v>862</v>
      </c>
      <c r="J683" s="350" t="s">
        <v>863</v>
      </c>
      <c r="K683" s="350">
        <f>INT(('Run Time Parameters'!$E$5-'Data Sample'!H683)/365.25)</f>
        <v>30</v>
      </c>
      <c r="L683" s="368">
        <v>1996</v>
      </c>
      <c r="M683" s="368">
        <v>0</v>
      </c>
      <c r="N683" s="350" t="s">
        <v>867</v>
      </c>
      <c r="O683" s="368">
        <v>0</v>
      </c>
      <c r="P683" s="368">
        <v>0</v>
      </c>
      <c r="Q683" s="367">
        <v>29048</v>
      </c>
      <c r="R683" s="368" t="s">
        <v>862</v>
      </c>
      <c r="S683" s="368" t="s">
        <v>863</v>
      </c>
      <c r="T683" s="350">
        <f>INT(('Run Time Parameters'!$E$5-'Data Sample'!Q683)/365.25)</f>
        <v>30</v>
      </c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339"/>
      <c r="AJ683" s="353">
        <f t="shared" si="30"/>
        <v>167</v>
      </c>
    </row>
    <row r="684" spans="1:36">
      <c r="A684" s="332">
        <f t="shared" si="31"/>
        <v>168</v>
      </c>
      <c r="F684" s="365"/>
      <c r="G684" s="366" t="s">
        <v>1039</v>
      </c>
      <c r="H684" s="367">
        <v>20532.041666666668</v>
      </c>
      <c r="I684" s="351" t="s">
        <v>870</v>
      </c>
      <c r="J684" s="350" t="s">
        <v>863</v>
      </c>
      <c r="K684" s="350">
        <f>INT(('Run Time Parameters'!$E$5-'Data Sample'!H684)/365.25)</f>
        <v>53</v>
      </c>
      <c r="L684" s="368">
        <v>1973</v>
      </c>
      <c r="M684" s="368">
        <v>1</v>
      </c>
      <c r="N684" s="350" t="s">
        <v>867</v>
      </c>
      <c r="O684" s="368">
        <v>0</v>
      </c>
      <c r="P684" s="368">
        <v>0</v>
      </c>
      <c r="Q684" s="367">
        <v>20532.041666666668</v>
      </c>
      <c r="R684" s="368" t="s">
        <v>870</v>
      </c>
      <c r="S684" s="368" t="s">
        <v>863</v>
      </c>
      <c r="T684" s="350">
        <f>INT(('Run Time Parameters'!$E$5-'Data Sample'!Q684)/365.25)</f>
        <v>53</v>
      </c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339"/>
      <c r="AJ684" s="353">
        <f t="shared" si="30"/>
        <v>168</v>
      </c>
    </row>
    <row r="685" spans="1:36">
      <c r="A685" s="332">
        <f t="shared" si="31"/>
        <v>169</v>
      </c>
      <c r="F685" s="365"/>
      <c r="G685" s="366" t="s">
        <v>1040</v>
      </c>
      <c r="H685" s="367">
        <v>14322.041666666666</v>
      </c>
      <c r="I685" s="351" t="s">
        <v>870</v>
      </c>
      <c r="J685" s="350" t="s">
        <v>863</v>
      </c>
      <c r="K685" s="350">
        <f>INT(('Run Time Parameters'!$E$5-'Data Sample'!H685)/365.25)</f>
        <v>70</v>
      </c>
      <c r="L685" s="368">
        <v>1956</v>
      </c>
      <c r="M685" s="368">
        <v>0</v>
      </c>
      <c r="N685" s="350" t="s">
        <v>867</v>
      </c>
      <c r="O685" s="368">
        <v>0</v>
      </c>
      <c r="P685" s="368">
        <v>0</v>
      </c>
      <c r="Q685" s="367">
        <v>17551.041666666668</v>
      </c>
      <c r="R685" s="368" t="s">
        <v>870</v>
      </c>
      <c r="S685" s="368" t="s">
        <v>863</v>
      </c>
      <c r="T685" s="350">
        <f>INT(('Run Time Parameters'!$E$5-'Data Sample'!Q685)/365.25)</f>
        <v>61</v>
      </c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339"/>
      <c r="AJ685" s="353">
        <f t="shared" si="30"/>
        <v>169</v>
      </c>
    </row>
    <row r="686" spans="1:36">
      <c r="A686" s="332">
        <f t="shared" si="31"/>
        <v>170</v>
      </c>
      <c r="F686" s="365"/>
      <c r="G686" s="366" t="s">
        <v>1041</v>
      </c>
      <c r="H686" s="367">
        <v>24079.041666666668</v>
      </c>
      <c r="I686" s="351" t="s">
        <v>862</v>
      </c>
      <c r="J686" s="350" t="s">
        <v>863</v>
      </c>
      <c r="K686" s="350">
        <f>INT(('Run Time Parameters'!$E$5-'Data Sample'!H686)/365.25)</f>
        <v>43</v>
      </c>
      <c r="L686" s="368">
        <v>1982</v>
      </c>
      <c r="M686" s="368">
        <v>0</v>
      </c>
      <c r="N686" s="350" t="s">
        <v>867</v>
      </c>
      <c r="O686" s="368">
        <v>0</v>
      </c>
      <c r="P686" s="368">
        <v>0</v>
      </c>
      <c r="Q686" s="367">
        <v>24079.041666666668</v>
      </c>
      <c r="R686" s="368" t="s">
        <v>862</v>
      </c>
      <c r="S686" s="368" t="s">
        <v>863</v>
      </c>
      <c r="T686" s="350">
        <f>INT(('Run Time Parameters'!$E$5-'Data Sample'!Q686)/365.25)</f>
        <v>43</v>
      </c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339"/>
      <c r="AJ686" s="353">
        <f t="shared" si="30"/>
        <v>170</v>
      </c>
    </row>
    <row r="687" spans="1:36">
      <c r="A687" s="332">
        <f t="shared" si="31"/>
        <v>171</v>
      </c>
      <c r="F687" s="365"/>
      <c r="G687" s="366" t="s">
        <v>1042</v>
      </c>
      <c r="H687" s="367">
        <v>29188</v>
      </c>
      <c r="I687" s="351" t="s">
        <v>862</v>
      </c>
      <c r="J687" s="350" t="s">
        <v>863</v>
      </c>
      <c r="K687" s="350">
        <f>INT(('Run Time Parameters'!$E$5-'Data Sample'!H687)/365.25)</f>
        <v>29</v>
      </c>
      <c r="L687" s="368">
        <v>1996</v>
      </c>
      <c r="M687" s="368">
        <v>1</v>
      </c>
      <c r="N687" s="350" t="s">
        <v>867</v>
      </c>
      <c r="O687" s="368">
        <v>0</v>
      </c>
      <c r="P687" s="368">
        <v>0</v>
      </c>
      <c r="Q687" s="367">
        <v>29188</v>
      </c>
      <c r="R687" s="368" t="s">
        <v>862</v>
      </c>
      <c r="S687" s="368" t="s">
        <v>863</v>
      </c>
      <c r="T687" s="350">
        <f>INT(('Run Time Parameters'!$E$5-'Data Sample'!Q687)/365.25)</f>
        <v>29</v>
      </c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339"/>
      <c r="AJ687" s="353">
        <f t="shared" si="30"/>
        <v>171</v>
      </c>
    </row>
    <row r="688" spans="1:36">
      <c r="A688" s="332">
        <f t="shared" si="31"/>
        <v>172</v>
      </c>
      <c r="F688" s="365"/>
      <c r="G688" s="366" t="s">
        <v>1043</v>
      </c>
      <c r="H688" s="367">
        <v>27954</v>
      </c>
      <c r="I688" s="351" t="s">
        <v>870</v>
      </c>
      <c r="J688" s="350" t="s">
        <v>863</v>
      </c>
      <c r="K688" s="350">
        <f>INT(('Run Time Parameters'!$E$5-'Data Sample'!H688)/365.25)</f>
        <v>33</v>
      </c>
      <c r="L688" s="368">
        <v>1993</v>
      </c>
      <c r="M688" s="368">
        <v>0</v>
      </c>
      <c r="N688" s="350" t="s">
        <v>867</v>
      </c>
      <c r="O688" s="368">
        <v>0</v>
      </c>
      <c r="P688" s="368">
        <v>0</v>
      </c>
      <c r="Q688" s="367">
        <v>27954</v>
      </c>
      <c r="R688" s="368" t="s">
        <v>870</v>
      </c>
      <c r="S688" s="368" t="s">
        <v>863</v>
      </c>
      <c r="T688" s="350">
        <f>INT(('Run Time Parameters'!$E$5-'Data Sample'!Q688)/365.25)</f>
        <v>33</v>
      </c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339"/>
      <c r="AJ688" s="353">
        <f t="shared" si="30"/>
        <v>172</v>
      </c>
    </row>
    <row r="689" spans="1:36">
      <c r="A689" s="332">
        <f t="shared" si="31"/>
        <v>173</v>
      </c>
      <c r="F689" s="365"/>
      <c r="G689" s="366" t="s">
        <v>1044</v>
      </c>
      <c r="H689" s="367">
        <v>26270</v>
      </c>
      <c r="I689" s="351" t="s">
        <v>870</v>
      </c>
      <c r="J689" s="350" t="s">
        <v>866</v>
      </c>
      <c r="K689" s="350">
        <f>INT(('Run Time Parameters'!$E$5-'Data Sample'!H689)/365.25)</f>
        <v>37</v>
      </c>
      <c r="L689" s="368">
        <v>1990</v>
      </c>
      <c r="M689" s="368">
        <v>0</v>
      </c>
      <c r="N689" s="350" t="s">
        <v>867</v>
      </c>
      <c r="O689" s="368">
        <v>0</v>
      </c>
      <c r="P689" s="368">
        <v>0</v>
      </c>
      <c r="Q689" s="367">
        <v>26270</v>
      </c>
      <c r="R689" s="368" t="s">
        <v>870</v>
      </c>
      <c r="S689" s="368" t="s">
        <v>866</v>
      </c>
      <c r="T689" s="350">
        <f>INT(('Run Time Parameters'!$E$5-'Data Sample'!Q689)/365.25)</f>
        <v>37</v>
      </c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339"/>
      <c r="AJ689" s="353">
        <f t="shared" si="30"/>
        <v>173</v>
      </c>
    </row>
    <row r="690" spans="1:36">
      <c r="A690" s="332">
        <f t="shared" si="31"/>
        <v>174</v>
      </c>
      <c r="F690" s="365"/>
      <c r="G690" s="366" t="s">
        <v>1045</v>
      </c>
      <c r="H690" s="367">
        <v>26438</v>
      </c>
      <c r="I690" s="351" t="s">
        <v>862</v>
      </c>
      <c r="J690" s="350" t="s">
        <v>863</v>
      </c>
      <c r="K690" s="350">
        <f>INT(('Run Time Parameters'!$E$5-'Data Sample'!H690)/365.25)</f>
        <v>37</v>
      </c>
      <c r="L690" s="368">
        <v>1989</v>
      </c>
      <c r="M690" s="368">
        <v>0</v>
      </c>
      <c r="N690" s="350" t="s">
        <v>864</v>
      </c>
      <c r="O690" s="368">
        <v>0</v>
      </c>
      <c r="P690" s="368">
        <v>0</v>
      </c>
      <c r="Q690" s="367">
        <v>27235</v>
      </c>
      <c r="R690" s="368" t="s">
        <v>870</v>
      </c>
      <c r="S690" s="368" t="s">
        <v>863</v>
      </c>
      <c r="T690" s="350">
        <f>INT(('Run Time Parameters'!$E$5-'Data Sample'!Q690)/365.25)</f>
        <v>35</v>
      </c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339"/>
      <c r="AJ690" s="353">
        <f t="shared" si="30"/>
        <v>174</v>
      </c>
    </row>
    <row r="691" spans="1:36">
      <c r="A691" s="332">
        <f t="shared" si="31"/>
        <v>175</v>
      </c>
      <c r="F691" s="365"/>
      <c r="G691" s="366" t="s">
        <v>1046</v>
      </c>
      <c r="H691" s="367">
        <v>22235.041666666668</v>
      </c>
      <c r="I691" s="351" t="s">
        <v>870</v>
      </c>
      <c r="J691" s="350" t="s">
        <v>863</v>
      </c>
      <c r="K691" s="350">
        <f>INT(('Run Time Parameters'!$E$5-'Data Sample'!H691)/365.25)</f>
        <v>48</v>
      </c>
      <c r="L691" s="368">
        <v>1977</v>
      </c>
      <c r="M691" s="368">
        <v>0</v>
      </c>
      <c r="N691" s="350" t="s">
        <v>867</v>
      </c>
      <c r="O691" s="368">
        <v>0</v>
      </c>
      <c r="P691" s="368">
        <v>0</v>
      </c>
      <c r="Q691" s="367">
        <v>22235.041666666668</v>
      </c>
      <c r="R691" s="368" t="s">
        <v>870</v>
      </c>
      <c r="S691" s="368" t="s">
        <v>863</v>
      </c>
      <c r="T691" s="350">
        <f>INT(('Run Time Parameters'!$E$5-'Data Sample'!Q691)/365.25)</f>
        <v>48</v>
      </c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339"/>
      <c r="AJ691" s="353">
        <f t="shared" si="30"/>
        <v>175</v>
      </c>
    </row>
    <row r="692" spans="1:36">
      <c r="A692" s="332">
        <f t="shared" si="31"/>
        <v>176</v>
      </c>
      <c r="F692" s="365"/>
      <c r="G692" s="366" t="s">
        <v>1047</v>
      </c>
      <c r="H692" s="367">
        <v>25862.041666666668</v>
      </c>
      <c r="I692" s="351" t="s">
        <v>870</v>
      </c>
      <c r="J692" s="350" t="s">
        <v>863</v>
      </c>
      <c r="K692" s="350">
        <f>INT(('Run Time Parameters'!$E$5-'Data Sample'!H692)/365.25)</f>
        <v>39</v>
      </c>
      <c r="L692" s="368">
        <v>1987</v>
      </c>
      <c r="M692" s="368">
        <v>0</v>
      </c>
      <c r="N692" s="350" t="s">
        <v>867</v>
      </c>
      <c r="O692" s="368">
        <v>0</v>
      </c>
      <c r="P692" s="368">
        <v>0</v>
      </c>
      <c r="Q692" s="367">
        <v>25862.041666666668</v>
      </c>
      <c r="R692" s="368" t="s">
        <v>870</v>
      </c>
      <c r="S692" s="368" t="s">
        <v>863</v>
      </c>
      <c r="T692" s="350">
        <f>INT(('Run Time Parameters'!$E$5-'Data Sample'!Q692)/365.25)</f>
        <v>39</v>
      </c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339"/>
      <c r="AJ692" s="353">
        <f t="shared" si="30"/>
        <v>176</v>
      </c>
    </row>
    <row r="693" spans="1:36">
      <c r="A693" s="332">
        <f t="shared" si="31"/>
        <v>177</v>
      </c>
      <c r="F693" s="365"/>
      <c r="G693" s="366" t="s">
        <v>1048</v>
      </c>
      <c r="H693" s="367">
        <v>30635</v>
      </c>
      <c r="I693" s="351" t="s">
        <v>862</v>
      </c>
      <c r="J693" s="350" t="s">
        <v>863</v>
      </c>
      <c r="K693" s="350">
        <f>INT(('Run Time Parameters'!$E$5-'Data Sample'!H693)/365.25)</f>
        <v>25</v>
      </c>
      <c r="L693" s="368">
        <v>2000</v>
      </c>
      <c r="M693" s="368">
        <v>0</v>
      </c>
      <c r="N693" s="350" t="s">
        <v>864</v>
      </c>
      <c r="O693" s="368">
        <v>0</v>
      </c>
      <c r="P693" s="368">
        <v>0</v>
      </c>
      <c r="Q693" s="367">
        <v>29680.041666666668</v>
      </c>
      <c r="R693" s="368" t="s">
        <v>862</v>
      </c>
      <c r="S693" s="368" t="s">
        <v>863</v>
      </c>
      <c r="T693" s="350">
        <f>INT(('Run Time Parameters'!$E$5-'Data Sample'!Q693)/365.25)</f>
        <v>28</v>
      </c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339"/>
      <c r="AJ693" s="353">
        <f t="shared" si="30"/>
        <v>177</v>
      </c>
    </row>
    <row r="694" spans="1:36">
      <c r="A694" s="332">
        <f t="shared" si="31"/>
        <v>178</v>
      </c>
      <c r="F694" s="365"/>
      <c r="G694" s="366" t="s">
        <v>1049</v>
      </c>
      <c r="H694" s="367">
        <v>30547</v>
      </c>
      <c r="I694" s="351" t="s">
        <v>862</v>
      </c>
      <c r="J694" s="350" t="s">
        <v>863</v>
      </c>
      <c r="K694" s="350">
        <f>INT(('Run Time Parameters'!$E$5-'Data Sample'!H694)/365.25)</f>
        <v>26</v>
      </c>
      <c r="L694" s="368">
        <v>2001</v>
      </c>
      <c r="M694" s="368">
        <v>0</v>
      </c>
      <c r="N694" s="350" t="s">
        <v>867</v>
      </c>
      <c r="O694" s="368">
        <v>0</v>
      </c>
      <c r="P694" s="368">
        <v>0</v>
      </c>
      <c r="Q694" s="367">
        <v>30547</v>
      </c>
      <c r="R694" s="368" t="s">
        <v>862</v>
      </c>
      <c r="S694" s="368" t="s">
        <v>863</v>
      </c>
      <c r="T694" s="350">
        <f>INT(('Run Time Parameters'!$E$5-'Data Sample'!Q694)/365.25)</f>
        <v>26</v>
      </c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339"/>
      <c r="AJ694" s="353">
        <f t="shared" si="30"/>
        <v>178</v>
      </c>
    </row>
    <row r="695" spans="1:36">
      <c r="A695" s="332">
        <f t="shared" si="31"/>
        <v>179</v>
      </c>
      <c r="F695" s="365"/>
      <c r="G695" s="366" t="s">
        <v>1050</v>
      </c>
      <c r="H695" s="367">
        <v>29227</v>
      </c>
      <c r="I695" s="351" t="s">
        <v>862</v>
      </c>
      <c r="J695" s="350" t="s">
        <v>863</v>
      </c>
      <c r="K695" s="350">
        <f>INT(('Run Time Parameters'!$E$5-'Data Sample'!H695)/365.25)</f>
        <v>29</v>
      </c>
      <c r="L695" s="368">
        <v>1997</v>
      </c>
      <c r="M695" s="368">
        <v>1</v>
      </c>
      <c r="N695" s="350" t="s">
        <v>867</v>
      </c>
      <c r="O695" s="368">
        <v>0</v>
      </c>
      <c r="P695" s="368">
        <v>0</v>
      </c>
      <c r="Q695" s="367">
        <v>29227</v>
      </c>
      <c r="R695" s="368" t="s">
        <v>862</v>
      </c>
      <c r="S695" s="368" t="s">
        <v>863</v>
      </c>
      <c r="T695" s="350">
        <f>INT(('Run Time Parameters'!$E$5-'Data Sample'!Q695)/365.25)</f>
        <v>29</v>
      </c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339"/>
      <c r="AJ695" s="353">
        <f t="shared" si="30"/>
        <v>179</v>
      </c>
    </row>
    <row r="696" spans="1:36">
      <c r="A696" s="332">
        <f t="shared" si="31"/>
        <v>180</v>
      </c>
      <c r="F696" s="365"/>
      <c r="G696" s="366" t="s">
        <v>1051</v>
      </c>
      <c r="H696" s="367">
        <v>26661</v>
      </c>
      <c r="I696" s="351" t="s">
        <v>870</v>
      </c>
      <c r="J696" s="350" t="s">
        <v>863</v>
      </c>
      <c r="K696" s="350">
        <f>INT(('Run Time Parameters'!$E$5-'Data Sample'!H696)/365.25)</f>
        <v>36</v>
      </c>
      <c r="L696" s="368">
        <v>1998</v>
      </c>
      <c r="M696" s="368">
        <v>1</v>
      </c>
      <c r="N696" s="350" t="s">
        <v>867</v>
      </c>
      <c r="O696" s="368">
        <v>0</v>
      </c>
      <c r="P696" s="368">
        <v>0</v>
      </c>
      <c r="Q696" s="367">
        <v>26661</v>
      </c>
      <c r="R696" s="368" t="s">
        <v>870</v>
      </c>
      <c r="S696" s="368" t="s">
        <v>863</v>
      </c>
      <c r="T696" s="350">
        <f>INT(('Run Time Parameters'!$E$5-'Data Sample'!Q696)/365.25)</f>
        <v>36</v>
      </c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339"/>
      <c r="AJ696" s="353">
        <f t="shared" si="30"/>
        <v>180</v>
      </c>
    </row>
    <row r="697" spans="1:36">
      <c r="A697" s="332">
        <f t="shared" si="31"/>
        <v>181</v>
      </c>
      <c r="F697" s="365"/>
      <c r="G697" s="366" t="s">
        <v>1052</v>
      </c>
      <c r="H697" s="367">
        <v>26261</v>
      </c>
      <c r="I697" s="351" t="s">
        <v>870</v>
      </c>
      <c r="J697" s="350" t="s">
        <v>863</v>
      </c>
      <c r="K697" s="350">
        <f>INT(('Run Time Parameters'!$E$5-'Data Sample'!H697)/365.25)</f>
        <v>37</v>
      </c>
      <c r="L697" s="368">
        <v>1988</v>
      </c>
      <c r="M697" s="368">
        <v>0</v>
      </c>
      <c r="N697" s="350" t="s">
        <v>867</v>
      </c>
      <c r="O697" s="368">
        <v>0</v>
      </c>
      <c r="P697" s="368">
        <v>0</v>
      </c>
      <c r="Q697" s="367">
        <v>26261</v>
      </c>
      <c r="R697" s="368" t="s">
        <v>870</v>
      </c>
      <c r="S697" s="368" t="s">
        <v>863</v>
      </c>
      <c r="T697" s="350">
        <f>INT(('Run Time Parameters'!$E$5-'Data Sample'!Q697)/365.25)</f>
        <v>37</v>
      </c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339"/>
      <c r="AJ697" s="353">
        <f t="shared" si="30"/>
        <v>181</v>
      </c>
    </row>
    <row r="698" spans="1:36">
      <c r="A698" s="332">
        <f t="shared" si="31"/>
        <v>182</v>
      </c>
      <c r="F698" s="365"/>
      <c r="G698" s="366" t="s">
        <v>1053</v>
      </c>
      <c r="H698" s="367">
        <v>22691.041666666668</v>
      </c>
      <c r="I698" s="351" t="s">
        <v>870</v>
      </c>
      <c r="J698" s="350" t="s">
        <v>863</v>
      </c>
      <c r="K698" s="350">
        <f>INT(('Run Time Parameters'!$E$5-'Data Sample'!H698)/365.25)</f>
        <v>47</v>
      </c>
      <c r="L698" s="368">
        <v>1979</v>
      </c>
      <c r="M698" s="368">
        <v>0</v>
      </c>
      <c r="N698" s="350" t="s">
        <v>867</v>
      </c>
      <c r="O698" s="368">
        <v>0</v>
      </c>
      <c r="P698" s="368">
        <v>0</v>
      </c>
      <c r="Q698" s="367">
        <v>25260.041666666668</v>
      </c>
      <c r="R698" s="368" t="s">
        <v>870</v>
      </c>
      <c r="S698" s="368" t="s">
        <v>863</v>
      </c>
      <c r="T698" s="350">
        <f>INT(('Run Time Parameters'!$E$5-'Data Sample'!Q698)/365.25)</f>
        <v>40</v>
      </c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339"/>
      <c r="AJ698" s="353">
        <f t="shared" si="30"/>
        <v>182</v>
      </c>
    </row>
    <row r="699" spans="1:36">
      <c r="A699" s="332">
        <f t="shared" si="31"/>
        <v>183</v>
      </c>
      <c r="F699" s="365"/>
      <c r="G699" s="366" t="s">
        <v>1054</v>
      </c>
      <c r="H699" s="367">
        <v>10951.041666666666</v>
      </c>
      <c r="I699" s="351" t="s">
        <v>870</v>
      </c>
      <c r="J699" s="350" t="s">
        <v>863</v>
      </c>
      <c r="K699" s="350">
        <f>INT(('Run Time Parameters'!$E$5-'Data Sample'!H699)/365.25)</f>
        <v>79</v>
      </c>
      <c r="L699" s="368">
        <v>1951</v>
      </c>
      <c r="M699" s="368">
        <v>0</v>
      </c>
      <c r="N699" s="350" t="s">
        <v>867</v>
      </c>
      <c r="O699" s="368">
        <v>0</v>
      </c>
      <c r="P699" s="368">
        <v>0</v>
      </c>
      <c r="Q699" s="367">
        <v>10951.041666666666</v>
      </c>
      <c r="R699" s="368" t="s">
        <v>870</v>
      </c>
      <c r="S699" s="368" t="s">
        <v>863</v>
      </c>
      <c r="T699" s="350">
        <f>INT(('Run Time Parameters'!$E$5-'Data Sample'!Q699)/365.25)</f>
        <v>79</v>
      </c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339"/>
      <c r="AJ699" s="353">
        <f t="shared" si="30"/>
        <v>183</v>
      </c>
    </row>
    <row r="700" spans="1:36">
      <c r="A700" s="332">
        <f t="shared" si="31"/>
        <v>184</v>
      </c>
      <c r="F700" s="365"/>
      <c r="G700" s="366" t="s">
        <v>1055</v>
      </c>
      <c r="H700" s="367">
        <v>24804.041666666668</v>
      </c>
      <c r="I700" s="351" t="s">
        <v>862</v>
      </c>
      <c r="J700" s="350" t="s">
        <v>863</v>
      </c>
      <c r="K700" s="350">
        <f>INT(('Run Time Parameters'!$E$5-'Data Sample'!H700)/365.25)</f>
        <v>41</v>
      </c>
      <c r="L700" s="368">
        <v>1984</v>
      </c>
      <c r="M700" s="368">
        <v>0</v>
      </c>
      <c r="N700" s="350" t="s">
        <v>867</v>
      </c>
      <c r="O700" s="368">
        <v>0</v>
      </c>
      <c r="P700" s="368">
        <v>0</v>
      </c>
      <c r="Q700" s="367">
        <v>24804.041666666668</v>
      </c>
      <c r="R700" s="368" t="s">
        <v>862</v>
      </c>
      <c r="S700" s="368" t="s">
        <v>863</v>
      </c>
      <c r="T700" s="350">
        <f>INT(('Run Time Parameters'!$E$5-'Data Sample'!Q700)/365.25)</f>
        <v>41</v>
      </c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339"/>
      <c r="AJ700" s="353">
        <f t="shared" si="30"/>
        <v>184</v>
      </c>
    </row>
    <row r="701" spans="1:36">
      <c r="A701" s="332">
        <f t="shared" si="31"/>
        <v>185</v>
      </c>
      <c r="F701" s="365"/>
      <c r="G701" s="366" t="s">
        <v>1056</v>
      </c>
      <c r="H701" s="367">
        <v>28502</v>
      </c>
      <c r="I701" s="351" t="s">
        <v>870</v>
      </c>
      <c r="J701" s="350" t="s">
        <v>866</v>
      </c>
      <c r="K701" s="350">
        <f>INT(('Run Time Parameters'!$E$5-'Data Sample'!H701)/365.25)</f>
        <v>31</v>
      </c>
      <c r="L701" s="368">
        <v>1996</v>
      </c>
      <c r="M701" s="368">
        <v>0</v>
      </c>
      <c r="N701" s="350" t="s">
        <v>864</v>
      </c>
      <c r="O701" s="368">
        <v>0</v>
      </c>
      <c r="P701" s="368">
        <v>0</v>
      </c>
      <c r="Q701" s="367">
        <v>28502</v>
      </c>
      <c r="R701" s="368" t="s">
        <v>870</v>
      </c>
      <c r="S701" s="368" t="s">
        <v>866</v>
      </c>
      <c r="T701" s="350">
        <f>INT(('Run Time Parameters'!$E$5-'Data Sample'!Q701)/365.25)</f>
        <v>31</v>
      </c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339"/>
      <c r="AJ701" s="353">
        <f t="shared" si="30"/>
        <v>185</v>
      </c>
    </row>
    <row r="702" spans="1:36">
      <c r="A702" s="332">
        <f t="shared" si="31"/>
        <v>186</v>
      </c>
      <c r="F702" s="365"/>
      <c r="G702" s="366" t="s">
        <v>1057</v>
      </c>
      <c r="H702" s="367">
        <v>26467</v>
      </c>
      <c r="I702" s="351" t="s">
        <v>870</v>
      </c>
      <c r="J702" s="350" t="s">
        <v>863</v>
      </c>
      <c r="K702" s="350">
        <f>INT(('Run Time Parameters'!$E$5-'Data Sample'!H702)/365.25)</f>
        <v>37</v>
      </c>
      <c r="L702" s="368">
        <v>1990</v>
      </c>
      <c r="M702" s="368">
        <v>0</v>
      </c>
      <c r="N702" s="350" t="s">
        <v>867</v>
      </c>
      <c r="O702" s="368">
        <v>0</v>
      </c>
      <c r="P702" s="368">
        <v>0</v>
      </c>
      <c r="Q702" s="367">
        <v>26467</v>
      </c>
      <c r="R702" s="368" t="s">
        <v>870</v>
      </c>
      <c r="S702" s="368" t="s">
        <v>863</v>
      </c>
      <c r="T702" s="350">
        <f>INT(('Run Time Parameters'!$E$5-'Data Sample'!Q702)/365.25)</f>
        <v>37</v>
      </c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339"/>
      <c r="AJ702" s="353">
        <f t="shared" si="30"/>
        <v>186</v>
      </c>
    </row>
    <row r="703" spans="1:36">
      <c r="A703" s="332">
        <f t="shared" si="31"/>
        <v>187</v>
      </c>
      <c r="F703" s="365"/>
      <c r="G703" s="366" t="s">
        <v>1058</v>
      </c>
      <c r="H703" s="367">
        <v>17151.041666666668</v>
      </c>
      <c r="I703" s="351" t="s">
        <v>862</v>
      </c>
      <c r="J703" s="350" t="s">
        <v>915</v>
      </c>
      <c r="K703" s="350">
        <f>INT(('Run Time Parameters'!$E$5-'Data Sample'!H703)/365.25)</f>
        <v>62</v>
      </c>
      <c r="L703" s="368">
        <v>1990</v>
      </c>
      <c r="M703" s="368">
        <v>0</v>
      </c>
      <c r="N703" s="350" t="s">
        <v>867</v>
      </c>
      <c r="O703" s="368">
        <v>0</v>
      </c>
      <c r="P703" s="368">
        <v>0</v>
      </c>
      <c r="Q703" s="367">
        <v>27734</v>
      </c>
      <c r="R703" s="368" t="s">
        <v>862</v>
      </c>
      <c r="S703" s="368" t="s">
        <v>887</v>
      </c>
      <c r="T703" s="350">
        <f>INT(('Run Time Parameters'!$E$5-'Data Sample'!Q703)/365.25)</f>
        <v>33</v>
      </c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339"/>
      <c r="AJ703" s="353">
        <f t="shared" si="30"/>
        <v>187</v>
      </c>
    </row>
    <row r="704" spans="1:36">
      <c r="A704" s="332">
        <f t="shared" si="31"/>
        <v>188</v>
      </c>
      <c r="F704" s="365"/>
      <c r="G704" s="366" t="s">
        <v>1059</v>
      </c>
      <c r="H704" s="367">
        <v>27491</v>
      </c>
      <c r="I704" s="351" t="s">
        <v>870</v>
      </c>
      <c r="J704" s="350" t="s">
        <v>863</v>
      </c>
      <c r="K704" s="350">
        <f>INT(('Run Time Parameters'!$E$5-'Data Sample'!H704)/365.25)</f>
        <v>34</v>
      </c>
      <c r="L704" s="368">
        <v>1993</v>
      </c>
      <c r="M704" s="368">
        <v>1</v>
      </c>
      <c r="N704" s="350" t="s">
        <v>864</v>
      </c>
      <c r="O704" s="368">
        <v>0</v>
      </c>
      <c r="P704" s="368">
        <v>0</v>
      </c>
      <c r="Q704" s="367">
        <v>27491</v>
      </c>
      <c r="R704" s="368" t="s">
        <v>870</v>
      </c>
      <c r="S704" s="368" t="s">
        <v>863</v>
      </c>
      <c r="T704" s="350">
        <f>INT(('Run Time Parameters'!$E$5-'Data Sample'!Q704)/365.25)</f>
        <v>34</v>
      </c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339"/>
      <c r="AJ704" s="353">
        <f t="shared" si="30"/>
        <v>188</v>
      </c>
    </row>
    <row r="705" spans="1:36">
      <c r="A705" s="332">
        <f t="shared" si="31"/>
        <v>189</v>
      </c>
      <c r="F705" s="365"/>
      <c r="G705" s="366" t="s">
        <v>1060</v>
      </c>
      <c r="H705" s="367">
        <v>23432.041666666668</v>
      </c>
      <c r="I705" s="351" t="s">
        <v>862</v>
      </c>
      <c r="J705" s="350" t="s">
        <v>863</v>
      </c>
      <c r="K705" s="350">
        <f>INT(('Run Time Parameters'!$E$5-'Data Sample'!H705)/365.25)</f>
        <v>45</v>
      </c>
      <c r="L705" s="368">
        <v>1981</v>
      </c>
      <c r="M705" s="368">
        <v>0</v>
      </c>
      <c r="N705" s="350" t="s">
        <v>867</v>
      </c>
      <c r="O705" s="368">
        <v>0</v>
      </c>
      <c r="P705" s="368">
        <v>0</v>
      </c>
      <c r="Q705" s="367">
        <v>23432.041666666668</v>
      </c>
      <c r="R705" s="368" t="s">
        <v>862</v>
      </c>
      <c r="S705" s="368" t="s">
        <v>863</v>
      </c>
      <c r="T705" s="350">
        <f>INT(('Run Time Parameters'!$E$5-'Data Sample'!Q705)/365.25)</f>
        <v>45</v>
      </c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339"/>
      <c r="AJ705" s="353">
        <f t="shared" si="30"/>
        <v>189</v>
      </c>
    </row>
    <row r="706" spans="1:36">
      <c r="A706" s="332">
        <f t="shared" si="31"/>
        <v>190</v>
      </c>
      <c r="F706" s="365"/>
      <c r="G706" s="366" t="s">
        <v>1061</v>
      </c>
      <c r="H706" s="367">
        <v>23434.041666666668</v>
      </c>
      <c r="I706" s="351" t="s">
        <v>862</v>
      </c>
      <c r="J706" s="350" t="s">
        <v>863</v>
      </c>
      <c r="K706" s="350">
        <f>INT(('Run Time Parameters'!$E$5-'Data Sample'!H706)/365.25)</f>
        <v>45</v>
      </c>
      <c r="L706" s="368">
        <v>1981</v>
      </c>
      <c r="M706" s="368">
        <v>0</v>
      </c>
      <c r="N706" s="350" t="s">
        <v>864</v>
      </c>
      <c r="O706" s="368">
        <v>0</v>
      </c>
      <c r="P706" s="368">
        <v>0</v>
      </c>
      <c r="Q706" s="367">
        <v>23434.041666666668</v>
      </c>
      <c r="R706" s="368" t="s">
        <v>862</v>
      </c>
      <c r="S706" s="368" t="s">
        <v>863</v>
      </c>
      <c r="T706" s="350">
        <f>INT(('Run Time Parameters'!$E$5-'Data Sample'!Q706)/365.25)</f>
        <v>45</v>
      </c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339"/>
      <c r="AJ706" s="353">
        <f t="shared" si="30"/>
        <v>190</v>
      </c>
    </row>
    <row r="707" spans="1:36">
      <c r="A707" s="332">
        <f t="shared" si="31"/>
        <v>191</v>
      </c>
      <c r="F707" s="365"/>
      <c r="G707" s="366" t="s">
        <v>1062</v>
      </c>
      <c r="H707" s="367">
        <v>23296.041666666668</v>
      </c>
      <c r="I707" s="351" t="s">
        <v>870</v>
      </c>
      <c r="J707" s="350" t="s">
        <v>887</v>
      </c>
      <c r="K707" s="350">
        <f>INT(('Run Time Parameters'!$E$5-'Data Sample'!H707)/365.25)</f>
        <v>46</v>
      </c>
      <c r="L707" s="368">
        <v>1991</v>
      </c>
      <c r="M707" s="368">
        <v>0</v>
      </c>
      <c r="N707" s="350" t="s">
        <v>864</v>
      </c>
      <c r="O707" s="368">
        <v>0</v>
      </c>
      <c r="P707" s="368">
        <v>0</v>
      </c>
      <c r="Q707" s="367">
        <v>23296.041666666668</v>
      </c>
      <c r="R707" s="368" t="s">
        <v>870</v>
      </c>
      <c r="S707" s="368" t="s">
        <v>887</v>
      </c>
      <c r="T707" s="350">
        <f>INT(('Run Time Parameters'!$E$5-'Data Sample'!Q707)/365.25)</f>
        <v>46</v>
      </c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339"/>
      <c r="AJ707" s="353">
        <f t="shared" si="30"/>
        <v>191</v>
      </c>
    </row>
    <row r="708" spans="1:36">
      <c r="A708" s="332">
        <f t="shared" si="31"/>
        <v>192</v>
      </c>
      <c r="F708" s="365"/>
      <c r="G708" s="366" t="s">
        <v>1063</v>
      </c>
      <c r="H708" s="367">
        <v>12372.041666666666</v>
      </c>
      <c r="I708" s="351" t="s">
        <v>862</v>
      </c>
      <c r="J708" s="350" t="s">
        <v>863</v>
      </c>
      <c r="K708" s="350">
        <f>INT(('Run Time Parameters'!$E$5-'Data Sample'!H708)/365.25)</f>
        <v>75</v>
      </c>
      <c r="L708" s="368">
        <v>1960</v>
      </c>
      <c r="M708" s="368">
        <v>0</v>
      </c>
      <c r="N708" s="350" t="s">
        <v>867</v>
      </c>
      <c r="O708" s="368">
        <v>0</v>
      </c>
      <c r="P708" s="368">
        <v>0</v>
      </c>
      <c r="Q708" s="367">
        <v>26314</v>
      </c>
      <c r="R708" s="368" t="s">
        <v>862</v>
      </c>
      <c r="S708" s="368" t="s">
        <v>863</v>
      </c>
      <c r="T708" s="350">
        <f>INT(('Run Time Parameters'!$E$5-'Data Sample'!Q708)/365.25)</f>
        <v>37</v>
      </c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339"/>
      <c r="AJ708" s="353">
        <f t="shared" si="30"/>
        <v>192</v>
      </c>
    </row>
    <row r="709" spans="1:36">
      <c r="A709" s="332">
        <f t="shared" si="31"/>
        <v>193</v>
      </c>
      <c r="F709" s="365"/>
      <c r="G709" s="366" t="s">
        <v>1064</v>
      </c>
      <c r="H709" s="367">
        <v>15988</v>
      </c>
      <c r="I709" s="351" t="s">
        <v>862</v>
      </c>
      <c r="J709" s="350" t="s">
        <v>863</v>
      </c>
      <c r="K709" s="350">
        <f>INT(('Run Time Parameters'!$E$5-'Data Sample'!H709)/365.25)</f>
        <v>66</v>
      </c>
      <c r="L709" s="368">
        <v>1960</v>
      </c>
      <c r="M709" s="368">
        <v>0</v>
      </c>
      <c r="N709" s="350" t="s">
        <v>867</v>
      </c>
      <c r="O709" s="368">
        <v>0</v>
      </c>
      <c r="P709" s="368">
        <v>0</v>
      </c>
      <c r="Q709" s="367">
        <v>20848.041666666668</v>
      </c>
      <c r="R709" s="368" t="s">
        <v>862</v>
      </c>
      <c r="S709" s="368" t="s">
        <v>863</v>
      </c>
      <c r="T709" s="350">
        <f>INT(('Run Time Parameters'!$E$5-'Data Sample'!Q709)/365.25)</f>
        <v>52</v>
      </c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339"/>
      <c r="AJ709" s="353">
        <f t="shared" si="30"/>
        <v>193</v>
      </c>
    </row>
    <row r="710" spans="1:36">
      <c r="A710" s="332">
        <f t="shared" si="31"/>
        <v>194</v>
      </c>
      <c r="F710" s="365"/>
      <c r="G710" s="366" t="s">
        <v>1065</v>
      </c>
      <c r="H710" s="367">
        <v>16742.041666666668</v>
      </c>
      <c r="I710" s="351" t="s">
        <v>862</v>
      </c>
      <c r="J710" s="350" t="s">
        <v>863</v>
      </c>
      <c r="K710" s="350">
        <f>INT(('Run Time Parameters'!$E$5-'Data Sample'!H710)/365.25)</f>
        <v>63</v>
      </c>
      <c r="L710" s="368">
        <v>1964</v>
      </c>
      <c r="M710" s="368">
        <v>0</v>
      </c>
      <c r="N710" s="350" t="s">
        <v>867</v>
      </c>
      <c r="O710" s="368">
        <v>0</v>
      </c>
      <c r="P710" s="368">
        <v>0</v>
      </c>
      <c r="Q710" s="367">
        <v>16742.041666666668</v>
      </c>
      <c r="R710" s="368" t="s">
        <v>862</v>
      </c>
      <c r="S710" s="368" t="s">
        <v>863</v>
      </c>
      <c r="T710" s="350">
        <f>INT(('Run Time Parameters'!$E$5-'Data Sample'!Q710)/365.25)</f>
        <v>63</v>
      </c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339"/>
      <c r="AJ710" s="353">
        <f t="shared" si="30"/>
        <v>194</v>
      </c>
    </row>
    <row r="711" spans="1:36">
      <c r="A711" s="332">
        <f t="shared" si="31"/>
        <v>195</v>
      </c>
      <c r="F711" s="365"/>
      <c r="G711" s="366" t="s">
        <v>1066</v>
      </c>
      <c r="H711" s="367">
        <v>30428</v>
      </c>
      <c r="I711" s="351" t="s">
        <v>870</v>
      </c>
      <c r="J711" s="350" t="s">
        <v>863</v>
      </c>
      <c r="K711" s="350">
        <f>INT(('Run Time Parameters'!$E$5-'Data Sample'!H711)/365.25)</f>
        <v>26</v>
      </c>
      <c r="L711" s="368">
        <v>2002</v>
      </c>
      <c r="M711" s="368">
        <v>0</v>
      </c>
      <c r="N711" s="350" t="s">
        <v>864</v>
      </c>
      <c r="O711" s="368">
        <v>0</v>
      </c>
      <c r="P711" s="368">
        <v>0</v>
      </c>
      <c r="Q711" s="367">
        <v>30542</v>
      </c>
      <c r="R711" s="368" t="s">
        <v>862</v>
      </c>
      <c r="S711" s="368" t="s">
        <v>863</v>
      </c>
      <c r="T711" s="350">
        <f>INT(('Run Time Parameters'!$E$5-'Data Sample'!Q711)/365.25)</f>
        <v>26</v>
      </c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339"/>
      <c r="AJ711" s="353">
        <f t="shared" ref="AJ711:AJ774" si="32">AJ710+1</f>
        <v>195</v>
      </c>
    </row>
    <row r="712" spans="1:36">
      <c r="A712" s="332">
        <f t="shared" si="31"/>
        <v>196</v>
      </c>
      <c r="F712" s="365"/>
      <c r="G712" s="366" t="s">
        <v>1067</v>
      </c>
      <c r="H712" s="367">
        <v>25100</v>
      </c>
      <c r="I712" s="351" t="s">
        <v>870</v>
      </c>
      <c r="J712" s="350" t="s">
        <v>863</v>
      </c>
      <c r="K712" s="350">
        <f>INT(('Run Time Parameters'!$E$5-'Data Sample'!H712)/365.25)</f>
        <v>41</v>
      </c>
      <c r="L712" s="368">
        <v>1985</v>
      </c>
      <c r="M712" s="368">
        <v>0</v>
      </c>
      <c r="N712" s="350" t="s">
        <v>867</v>
      </c>
      <c r="O712" s="368">
        <v>0</v>
      </c>
      <c r="P712" s="368">
        <v>0</v>
      </c>
      <c r="Q712" s="367">
        <v>25100</v>
      </c>
      <c r="R712" s="368" t="s">
        <v>870</v>
      </c>
      <c r="S712" s="368" t="s">
        <v>863</v>
      </c>
      <c r="T712" s="350">
        <f>INT(('Run Time Parameters'!$E$5-'Data Sample'!Q712)/365.25)</f>
        <v>41</v>
      </c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339"/>
      <c r="AJ712" s="353">
        <f t="shared" si="32"/>
        <v>196</v>
      </c>
    </row>
    <row r="713" spans="1:36">
      <c r="A713" s="332">
        <f t="shared" si="31"/>
        <v>197</v>
      </c>
      <c r="F713" s="365"/>
      <c r="G713" s="366" t="s">
        <v>1068</v>
      </c>
      <c r="H713" s="367">
        <v>26234.041666666668</v>
      </c>
      <c r="I713" s="351" t="s">
        <v>870</v>
      </c>
      <c r="J713" s="350" t="s">
        <v>863</v>
      </c>
      <c r="K713" s="350">
        <f>INT(('Run Time Parameters'!$E$5-'Data Sample'!H713)/365.25)</f>
        <v>38</v>
      </c>
      <c r="L713" s="368">
        <v>1989</v>
      </c>
      <c r="M713" s="368">
        <v>0</v>
      </c>
      <c r="N713" s="350" t="s">
        <v>864</v>
      </c>
      <c r="O713" s="368">
        <v>0</v>
      </c>
      <c r="P713" s="368">
        <v>0</v>
      </c>
      <c r="Q713" s="367">
        <v>26234.041666666668</v>
      </c>
      <c r="R713" s="368" t="s">
        <v>870</v>
      </c>
      <c r="S713" s="368" t="s">
        <v>863</v>
      </c>
      <c r="T713" s="350">
        <f>INT(('Run Time Parameters'!$E$5-'Data Sample'!Q713)/365.25)</f>
        <v>38</v>
      </c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339"/>
      <c r="AJ713" s="353">
        <f t="shared" si="32"/>
        <v>197</v>
      </c>
    </row>
    <row r="714" spans="1:36">
      <c r="A714" s="332">
        <f t="shared" ref="A714:A777" si="33">1+A713</f>
        <v>198</v>
      </c>
      <c r="F714" s="365"/>
      <c r="G714" s="366" t="s">
        <v>1069</v>
      </c>
      <c r="H714" s="367">
        <v>23074.041666666668</v>
      </c>
      <c r="I714" s="351" t="s">
        <v>870</v>
      </c>
      <c r="J714" s="350" t="s">
        <v>863</v>
      </c>
      <c r="K714" s="350">
        <f>INT(('Run Time Parameters'!$E$5-'Data Sample'!H714)/365.25)</f>
        <v>46</v>
      </c>
      <c r="L714" s="368">
        <v>1981</v>
      </c>
      <c r="M714" s="368">
        <v>0</v>
      </c>
      <c r="N714" s="350" t="s">
        <v>864</v>
      </c>
      <c r="O714" s="368">
        <v>0</v>
      </c>
      <c r="P714" s="368">
        <v>0</v>
      </c>
      <c r="Q714" s="367">
        <v>23646</v>
      </c>
      <c r="R714" s="368" t="s">
        <v>862</v>
      </c>
      <c r="S714" s="368" t="s">
        <v>863</v>
      </c>
      <c r="T714" s="350">
        <f>INT(('Run Time Parameters'!$E$5-'Data Sample'!Q714)/365.25)</f>
        <v>45</v>
      </c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339"/>
      <c r="AJ714" s="353">
        <f t="shared" si="32"/>
        <v>198</v>
      </c>
    </row>
    <row r="715" spans="1:36">
      <c r="A715" s="332">
        <f t="shared" si="33"/>
        <v>199</v>
      </c>
      <c r="F715" s="365"/>
      <c r="G715" s="366" t="s">
        <v>1070</v>
      </c>
      <c r="H715" s="367">
        <v>26661</v>
      </c>
      <c r="I715" s="351" t="s">
        <v>862</v>
      </c>
      <c r="J715" s="350" t="s">
        <v>863</v>
      </c>
      <c r="K715" s="350">
        <f>INT(('Run Time Parameters'!$E$5-'Data Sample'!H715)/365.25)</f>
        <v>36</v>
      </c>
      <c r="L715" s="368">
        <v>1996</v>
      </c>
      <c r="M715" s="368">
        <v>0</v>
      </c>
      <c r="N715" s="350" t="s">
        <v>867</v>
      </c>
      <c r="O715" s="368">
        <v>0</v>
      </c>
      <c r="P715" s="368">
        <v>0</v>
      </c>
      <c r="Q715" s="367">
        <v>26661</v>
      </c>
      <c r="R715" s="368" t="s">
        <v>862</v>
      </c>
      <c r="S715" s="368" t="s">
        <v>863</v>
      </c>
      <c r="T715" s="350">
        <f>INT(('Run Time Parameters'!$E$5-'Data Sample'!Q715)/365.25)</f>
        <v>36</v>
      </c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339"/>
      <c r="AJ715" s="353">
        <f t="shared" si="32"/>
        <v>199</v>
      </c>
    </row>
    <row r="716" spans="1:36">
      <c r="A716" s="332">
        <f t="shared" si="33"/>
        <v>200</v>
      </c>
      <c r="F716" s="365"/>
      <c r="G716" s="366" t="s">
        <v>1071</v>
      </c>
      <c r="H716" s="367">
        <v>18774</v>
      </c>
      <c r="I716" s="351" t="s">
        <v>862</v>
      </c>
      <c r="J716" s="350" t="s">
        <v>863</v>
      </c>
      <c r="K716" s="350">
        <f>INT(('Run Time Parameters'!$E$5-'Data Sample'!H716)/365.25)</f>
        <v>58</v>
      </c>
      <c r="L716" s="368">
        <v>1968</v>
      </c>
      <c r="M716" s="368">
        <v>1</v>
      </c>
      <c r="N716" s="350" t="s">
        <v>867</v>
      </c>
      <c r="O716" s="368">
        <v>0</v>
      </c>
      <c r="P716" s="368">
        <v>0</v>
      </c>
      <c r="Q716" s="367">
        <v>18774</v>
      </c>
      <c r="R716" s="368" t="s">
        <v>862</v>
      </c>
      <c r="S716" s="368" t="s">
        <v>863</v>
      </c>
      <c r="T716" s="350">
        <f>INT(('Run Time Parameters'!$E$5-'Data Sample'!Q716)/365.25)</f>
        <v>58</v>
      </c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339"/>
      <c r="AJ716" s="353">
        <f t="shared" si="32"/>
        <v>200</v>
      </c>
    </row>
    <row r="717" spans="1:36">
      <c r="A717" s="332">
        <f t="shared" si="33"/>
        <v>201</v>
      </c>
      <c r="F717" s="365"/>
      <c r="G717" s="366" t="s">
        <v>1072</v>
      </c>
      <c r="H717" s="367">
        <v>23762.041666666668</v>
      </c>
      <c r="I717" s="351" t="s">
        <v>870</v>
      </c>
      <c r="J717" s="350" t="s">
        <v>863</v>
      </c>
      <c r="K717" s="350">
        <f>INT(('Run Time Parameters'!$E$5-'Data Sample'!H717)/365.25)</f>
        <v>44</v>
      </c>
      <c r="L717" s="368">
        <v>1993</v>
      </c>
      <c r="M717" s="368">
        <v>0</v>
      </c>
      <c r="N717" s="350" t="s">
        <v>867</v>
      </c>
      <c r="O717" s="368">
        <v>0</v>
      </c>
      <c r="P717" s="368">
        <v>0</v>
      </c>
      <c r="Q717" s="367">
        <v>26410</v>
      </c>
      <c r="R717" s="368" t="s">
        <v>862</v>
      </c>
      <c r="S717" s="368" t="s">
        <v>863</v>
      </c>
      <c r="T717" s="350">
        <f>INT(('Run Time Parameters'!$E$5-'Data Sample'!Q717)/365.25)</f>
        <v>37</v>
      </c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339"/>
      <c r="AJ717" s="353">
        <f t="shared" si="32"/>
        <v>201</v>
      </c>
    </row>
    <row r="718" spans="1:36">
      <c r="A718" s="332">
        <f t="shared" si="33"/>
        <v>202</v>
      </c>
      <c r="F718" s="365"/>
      <c r="G718" s="366" t="s">
        <v>1073</v>
      </c>
      <c r="H718" s="367">
        <v>22749</v>
      </c>
      <c r="I718" s="351" t="s">
        <v>870</v>
      </c>
      <c r="J718" s="350" t="s">
        <v>863</v>
      </c>
      <c r="K718" s="350">
        <f>INT(('Run Time Parameters'!$E$5-'Data Sample'!H718)/365.25)</f>
        <v>47</v>
      </c>
      <c r="L718" s="368">
        <v>1979</v>
      </c>
      <c r="M718" s="368">
        <v>0</v>
      </c>
      <c r="N718" s="350" t="s">
        <v>867</v>
      </c>
      <c r="O718" s="368">
        <v>0</v>
      </c>
      <c r="P718" s="368">
        <v>0</v>
      </c>
      <c r="Q718" s="367">
        <v>26270</v>
      </c>
      <c r="R718" s="368" t="s">
        <v>862</v>
      </c>
      <c r="S718" s="368" t="s">
        <v>863</v>
      </c>
      <c r="T718" s="350">
        <f>INT(('Run Time Parameters'!$E$5-'Data Sample'!Q718)/365.25)</f>
        <v>37</v>
      </c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339"/>
      <c r="AJ718" s="353">
        <f t="shared" si="32"/>
        <v>202</v>
      </c>
    </row>
    <row r="719" spans="1:36">
      <c r="A719" s="332">
        <f t="shared" si="33"/>
        <v>203</v>
      </c>
      <c r="F719" s="365"/>
      <c r="G719" s="366" t="s">
        <v>1074</v>
      </c>
      <c r="H719" s="367">
        <v>22717.041666666668</v>
      </c>
      <c r="I719" s="351" t="s">
        <v>862</v>
      </c>
      <c r="J719" s="350" t="s">
        <v>866</v>
      </c>
      <c r="K719" s="350">
        <f>INT(('Run Time Parameters'!$E$5-'Data Sample'!H719)/365.25)</f>
        <v>47</v>
      </c>
      <c r="L719" s="368">
        <v>1981</v>
      </c>
      <c r="M719" s="368">
        <v>0</v>
      </c>
      <c r="N719" s="350" t="s">
        <v>864</v>
      </c>
      <c r="O719" s="368">
        <v>0</v>
      </c>
      <c r="P719" s="368">
        <v>0</v>
      </c>
      <c r="Q719" s="367">
        <v>22717.041666666668</v>
      </c>
      <c r="R719" s="368" t="s">
        <v>862</v>
      </c>
      <c r="S719" s="368" t="s">
        <v>866</v>
      </c>
      <c r="T719" s="350">
        <f>INT(('Run Time Parameters'!$E$5-'Data Sample'!Q719)/365.25)</f>
        <v>47</v>
      </c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339"/>
      <c r="AJ719" s="353">
        <f t="shared" si="32"/>
        <v>203</v>
      </c>
    </row>
    <row r="720" spans="1:36">
      <c r="A720" s="332">
        <f t="shared" si="33"/>
        <v>204</v>
      </c>
      <c r="F720" s="365"/>
      <c r="G720" s="366" t="s">
        <v>1075</v>
      </c>
      <c r="H720" s="367">
        <v>23310.041666666668</v>
      </c>
      <c r="I720" s="351" t="s">
        <v>870</v>
      </c>
      <c r="J720" s="350" t="s">
        <v>863</v>
      </c>
      <c r="K720" s="350">
        <f>INT(('Run Time Parameters'!$E$5-'Data Sample'!H720)/365.25)</f>
        <v>46</v>
      </c>
      <c r="L720" s="368">
        <v>1980</v>
      </c>
      <c r="M720" s="368">
        <v>0</v>
      </c>
      <c r="N720" s="350" t="s">
        <v>867</v>
      </c>
      <c r="O720" s="368">
        <v>0</v>
      </c>
      <c r="P720" s="368">
        <v>0</v>
      </c>
      <c r="Q720" s="367">
        <v>23310.041666666668</v>
      </c>
      <c r="R720" s="368" t="s">
        <v>870</v>
      </c>
      <c r="S720" s="368" t="s">
        <v>863</v>
      </c>
      <c r="T720" s="350">
        <f>INT(('Run Time Parameters'!$E$5-'Data Sample'!Q720)/365.25)</f>
        <v>46</v>
      </c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339"/>
      <c r="AJ720" s="353">
        <f t="shared" si="32"/>
        <v>204</v>
      </c>
    </row>
    <row r="721" spans="1:36">
      <c r="A721" s="332">
        <f t="shared" si="33"/>
        <v>205</v>
      </c>
      <c r="F721" s="365"/>
      <c r="G721" s="366" t="s">
        <v>1076</v>
      </c>
      <c r="H721" s="367">
        <v>21360</v>
      </c>
      <c r="I721" s="351" t="s">
        <v>862</v>
      </c>
      <c r="J721" s="350" t="s">
        <v>863</v>
      </c>
      <c r="K721" s="350">
        <f>INT(('Run Time Parameters'!$E$5-'Data Sample'!H721)/365.25)</f>
        <v>51</v>
      </c>
      <c r="L721" s="368">
        <v>1975</v>
      </c>
      <c r="M721" s="368">
        <v>1</v>
      </c>
      <c r="N721" s="350" t="s">
        <v>867</v>
      </c>
      <c r="O721" s="368">
        <v>0</v>
      </c>
      <c r="P721" s="368">
        <v>0</v>
      </c>
      <c r="Q721" s="367">
        <v>21360</v>
      </c>
      <c r="R721" s="368" t="s">
        <v>862</v>
      </c>
      <c r="S721" s="368" t="s">
        <v>863</v>
      </c>
      <c r="T721" s="350">
        <f>INT(('Run Time Parameters'!$E$5-'Data Sample'!Q721)/365.25)</f>
        <v>51</v>
      </c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339"/>
      <c r="AJ721" s="353">
        <f t="shared" si="32"/>
        <v>205</v>
      </c>
    </row>
    <row r="722" spans="1:36">
      <c r="A722" s="332">
        <f t="shared" si="33"/>
        <v>206</v>
      </c>
      <c r="F722" s="365"/>
      <c r="G722" s="366" t="s">
        <v>1077</v>
      </c>
      <c r="H722" s="367">
        <v>25263.041666666668</v>
      </c>
      <c r="I722" s="351" t="s">
        <v>870</v>
      </c>
      <c r="J722" s="350" t="s">
        <v>863</v>
      </c>
      <c r="K722" s="350">
        <f>INT(('Run Time Parameters'!$E$5-'Data Sample'!H722)/365.25)</f>
        <v>40</v>
      </c>
      <c r="L722" s="368">
        <v>1986</v>
      </c>
      <c r="M722" s="368">
        <v>0</v>
      </c>
      <c r="N722" s="350" t="s">
        <v>867</v>
      </c>
      <c r="O722" s="368">
        <v>0</v>
      </c>
      <c r="P722" s="368">
        <v>0</v>
      </c>
      <c r="Q722" s="367">
        <v>25263.041666666668</v>
      </c>
      <c r="R722" s="368" t="s">
        <v>870</v>
      </c>
      <c r="S722" s="368" t="s">
        <v>863</v>
      </c>
      <c r="T722" s="350">
        <f>INT(('Run Time Parameters'!$E$5-'Data Sample'!Q722)/365.25)</f>
        <v>40</v>
      </c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339"/>
      <c r="AJ722" s="353">
        <f t="shared" si="32"/>
        <v>206</v>
      </c>
    </row>
    <row r="723" spans="1:36">
      <c r="A723" s="332">
        <f t="shared" si="33"/>
        <v>207</v>
      </c>
      <c r="F723" s="365"/>
      <c r="G723" s="366" t="s">
        <v>1078</v>
      </c>
      <c r="H723" s="367">
        <v>24817.041666666668</v>
      </c>
      <c r="I723" s="351" t="s">
        <v>870</v>
      </c>
      <c r="J723" s="350" t="s">
        <v>863</v>
      </c>
      <c r="K723" s="350">
        <f>INT(('Run Time Parameters'!$E$5-'Data Sample'!H723)/365.25)</f>
        <v>41</v>
      </c>
      <c r="L723" s="368">
        <v>1984</v>
      </c>
      <c r="M723" s="368">
        <v>0</v>
      </c>
      <c r="N723" s="350" t="s">
        <v>867</v>
      </c>
      <c r="O723" s="368">
        <v>0</v>
      </c>
      <c r="P723" s="368">
        <v>0</v>
      </c>
      <c r="Q723" s="367">
        <v>24817.041666666668</v>
      </c>
      <c r="R723" s="368" t="s">
        <v>870</v>
      </c>
      <c r="S723" s="368" t="s">
        <v>863</v>
      </c>
      <c r="T723" s="350">
        <f>INT(('Run Time Parameters'!$E$5-'Data Sample'!Q723)/365.25)</f>
        <v>41</v>
      </c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339"/>
      <c r="AJ723" s="353">
        <f t="shared" si="32"/>
        <v>207</v>
      </c>
    </row>
    <row r="724" spans="1:36">
      <c r="A724" s="332">
        <f t="shared" si="33"/>
        <v>208</v>
      </c>
      <c r="F724" s="365"/>
      <c r="G724" s="366" t="s">
        <v>1079</v>
      </c>
      <c r="H724" s="367">
        <v>19053.041666666668</v>
      </c>
      <c r="I724" s="351" t="s">
        <v>870</v>
      </c>
      <c r="J724" s="350" t="s">
        <v>863</v>
      </c>
      <c r="K724" s="350">
        <f>INT(('Run Time Parameters'!$E$5-'Data Sample'!H724)/365.25)</f>
        <v>57</v>
      </c>
      <c r="L724" s="368">
        <v>1969</v>
      </c>
      <c r="M724" s="368">
        <v>0</v>
      </c>
      <c r="N724" s="350" t="s">
        <v>867</v>
      </c>
      <c r="O724" s="368">
        <v>0</v>
      </c>
      <c r="P724" s="368">
        <v>0</v>
      </c>
      <c r="Q724" s="367">
        <v>19053.041666666668</v>
      </c>
      <c r="R724" s="368" t="s">
        <v>870</v>
      </c>
      <c r="S724" s="368" t="s">
        <v>863</v>
      </c>
      <c r="T724" s="350">
        <f>INT(('Run Time Parameters'!$E$5-'Data Sample'!Q724)/365.25)</f>
        <v>57</v>
      </c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339"/>
      <c r="AJ724" s="353">
        <f t="shared" si="32"/>
        <v>208</v>
      </c>
    </row>
    <row r="725" spans="1:36">
      <c r="A725" s="332">
        <f t="shared" si="33"/>
        <v>209</v>
      </c>
      <c r="F725" s="365"/>
      <c r="G725" s="366" t="s">
        <v>1080</v>
      </c>
      <c r="H725" s="367">
        <v>17589.041666666668</v>
      </c>
      <c r="I725" s="351" t="s">
        <v>862</v>
      </c>
      <c r="J725" s="350" t="s">
        <v>863</v>
      </c>
      <c r="K725" s="350">
        <f>INT(('Run Time Parameters'!$E$5-'Data Sample'!H725)/365.25)</f>
        <v>61</v>
      </c>
      <c r="L725" s="368">
        <v>1967</v>
      </c>
      <c r="M725" s="368">
        <v>0</v>
      </c>
      <c r="N725" s="350" t="s">
        <v>864</v>
      </c>
      <c r="O725" s="368">
        <v>0</v>
      </c>
      <c r="P725" s="368">
        <v>0</v>
      </c>
      <c r="Q725" s="367">
        <v>17589.041666666668</v>
      </c>
      <c r="R725" s="368" t="s">
        <v>862</v>
      </c>
      <c r="S725" s="368" t="s">
        <v>863</v>
      </c>
      <c r="T725" s="350">
        <f>INT(('Run Time Parameters'!$E$5-'Data Sample'!Q725)/365.25)</f>
        <v>61</v>
      </c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339"/>
      <c r="AJ725" s="353">
        <f t="shared" si="32"/>
        <v>209</v>
      </c>
    </row>
    <row r="726" spans="1:36">
      <c r="A726" s="332">
        <f t="shared" si="33"/>
        <v>210</v>
      </c>
      <c r="F726" s="365"/>
      <c r="G726" s="366" t="s">
        <v>1081</v>
      </c>
      <c r="H726" s="367">
        <v>23166</v>
      </c>
      <c r="I726" s="351" t="s">
        <v>862</v>
      </c>
      <c r="J726" s="350" t="s">
        <v>863</v>
      </c>
      <c r="K726" s="350">
        <f>INT(('Run Time Parameters'!$E$5-'Data Sample'!H726)/365.25)</f>
        <v>46</v>
      </c>
      <c r="L726" s="368">
        <v>1983</v>
      </c>
      <c r="M726" s="368">
        <v>0</v>
      </c>
      <c r="N726" s="350" t="s">
        <v>867</v>
      </c>
      <c r="O726" s="368">
        <v>0</v>
      </c>
      <c r="P726" s="368">
        <v>0</v>
      </c>
      <c r="Q726" s="367">
        <v>23166</v>
      </c>
      <c r="R726" s="368" t="s">
        <v>862</v>
      </c>
      <c r="S726" s="368" t="s">
        <v>863</v>
      </c>
      <c r="T726" s="350">
        <f>INT(('Run Time Parameters'!$E$5-'Data Sample'!Q726)/365.25)</f>
        <v>46</v>
      </c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339"/>
      <c r="AJ726" s="353">
        <f t="shared" si="32"/>
        <v>210</v>
      </c>
    </row>
    <row r="727" spans="1:36">
      <c r="A727" s="332">
        <f t="shared" si="33"/>
        <v>211</v>
      </c>
      <c r="F727" s="365"/>
      <c r="G727" s="366" t="s">
        <v>1082</v>
      </c>
      <c r="H727" s="367">
        <v>29333</v>
      </c>
      <c r="I727" s="351" t="s">
        <v>870</v>
      </c>
      <c r="J727" s="350" t="s">
        <v>863</v>
      </c>
      <c r="K727" s="350">
        <f>INT(('Run Time Parameters'!$E$5-'Data Sample'!H727)/365.25)</f>
        <v>29</v>
      </c>
      <c r="L727" s="368">
        <v>1997</v>
      </c>
      <c r="M727" s="368">
        <v>1</v>
      </c>
      <c r="N727" s="350" t="s">
        <v>867</v>
      </c>
      <c r="O727" s="368">
        <v>0</v>
      </c>
      <c r="P727" s="368">
        <v>0</v>
      </c>
      <c r="Q727" s="367">
        <v>29333</v>
      </c>
      <c r="R727" s="368" t="s">
        <v>870</v>
      </c>
      <c r="S727" s="368" t="s">
        <v>863</v>
      </c>
      <c r="T727" s="350">
        <f>INT(('Run Time Parameters'!$E$5-'Data Sample'!Q727)/365.25)</f>
        <v>29</v>
      </c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339"/>
      <c r="AJ727" s="353">
        <f t="shared" si="32"/>
        <v>211</v>
      </c>
    </row>
    <row r="728" spans="1:36">
      <c r="A728" s="332">
        <f t="shared" si="33"/>
        <v>212</v>
      </c>
      <c r="F728" s="365"/>
      <c r="G728" s="366" t="s">
        <v>1083</v>
      </c>
      <c r="H728" s="367">
        <v>29229</v>
      </c>
      <c r="I728" s="351" t="s">
        <v>862</v>
      </c>
      <c r="J728" s="350" t="s">
        <v>866</v>
      </c>
      <c r="K728" s="350">
        <f>INT(('Run Time Parameters'!$E$5-'Data Sample'!H728)/365.25)</f>
        <v>29</v>
      </c>
      <c r="L728" s="368">
        <v>1997</v>
      </c>
      <c r="M728" s="368">
        <v>0</v>
      </c>
      <c r="N728" s="350" t="s">
        <v>867</v>
      </c>
      <c r="O728" s="368">
        <v>0</v>
      </c>
      <c r="P728" s="368">
        <v>0</v>
      </c>
      <c r="Q728" s="367">
        <v>29229</v>
      </c>
      <c r="R728" s="368" t="s">
        <v>862</v>
      </c>
      <c r="S728" s="368" t="s">
        <v>866</v>
      </c>
      <c r="T728" s="350">
        <f>INT(('Run Time Parameters'!$E$5-'Data Sample'!Q728)/365.25)</f>
        <v>29</v>
      </c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339"/>
      <c r="AJ728" s="353">
        <f t="shared" si="32"/>
        <v>212</v>
      </c>
    </row>
    <row r="729" spans="1:36">
      <c r="A729" s="332">
        <f t="shared" si="33"/>
        <v>213</v>
      </c>
      <c r="F729" s="365"/>
      <c r="G729" s="366" t="s">
        <v>1084</v>
      </c>
      <c r="H729" s="367">
        <v>25721</v>
      </c>
      <c r="I729" s="351" t="s">
        <v>870</v>
      </c>
      <c r="J729" s="350" t="s">
        <v>863</v>
      </c>
      <c r="K729" s="350">
        <f>INT(('Run Time Parameters'!$E$5-'Data Sample'!H729)/365.25)</f>
        <v>39</v>
      </c>
      <c r="L729" s="368">
        <v>1987</v>
      </c>
      <c r="M729" s="368">
        <v>0</v>
      </c>
      <c r="N729" s="350" t="s">
        <v>864</v>
      </c>
      <c r="O729" s="368">
        <v>0</v>
      </c>
      <c r="P729" s="368">
        <v>0</v>
      </c>
      <c r="Q729" s="367">
        <v>25721</v>
      </c>
      <c r="R729" s="368" t="s">
        <v>870</v>
      </c>
      <c r="S729" s="368" t="s">
        <v>863</v>
      </c>
      <c r="T729" s="350">
        <f>INT(('Run Time Parameters'!$E$5-'Data Sample'!Q729)/365.25)</f>
        <v>39</v>
      </c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339"/>
      <c r="AJ729" s="353">
        <f t="shared" si="32"/>
        <v>213</v>
      </c>
    </row>
    <row r="730" spans="1:36">
      <c r="A730" s="332">
        <f t="shared" si="33"/>
        <v>214</v>
      </c>
      <c r="F730" s="365"/>
      <c r="G730" s="366" t="s">
        <v>1085</v>
      </c>
      <c r="H730" s="367">
        <v>27617</v>
      </c>
      <c r="I730" s="351" t="s">
        <v>862</v>
      </c>
      <c r="J730" s="350" t="s">
        <v>866</v>
      </c>
      <c r="K730" s="350">
        <f>INT(('Run Time Parameters'!$E$5-'Data Sample'!H730)/365.25)</f>
        <v>34</v>
      </c>
      <c r="L730" s="368">
        <v>1997</v>
      </c>
      <c r="M730" s="368">
        <v>0</v>
      </c>
      <c r="N730" s="350" t="s">
        <v>867</v>
      </c>
      <c r="O730" s="368">
        <v>0</v>
      </c>
      <c r="P730" s="368">
        <v>0</v>
      </c>
      <c r="Q730" s="367">
        <v>29646</v>
      </c>
      <c r="R730" s="368" t="s">
        <v>870</v>
      </c>
      <c r="S730" s="368" t="s">
        <v>866</v>
      </c>
      <c r="T730" s="350">
        <f>INT(('Run Time Parameters'!$E$5-'Data Sample'!Q730)/365.25)</f>
        <v>28</v>
      </c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339"/>
      <c r="AJ730" s="353">
        <f t="shared" si="32"/>
        <v>214</v>
      </c>
    </row>
    <row r="731" spans="1:36">
      <c r="A731" s="332">
        <f t="shared" si="33"/>
        <v>215</v>
      </c>
      <c r="F731" s="365"/>
      <c r="G731" s="366" t="s">
        <v>1086</v>
      </c>
      <c r="H731" s="367">
        <v>15841</v>
      </c>
      <c r="I731" s="351" t="s">
        <v>870</v>
      </c>
      <c r="J731" s="350" t="s">
        <v>863</v>
      </c>
      <c r="K731" s="350">
        <f>INT(('Run Time Parameters'!$E$5-'Data Sample'!H731)/365.25)</f>
        <v>66</v>
      </c>
      <c r="L731" s="368">
        <v>1969</v>
      </c>
      <c r="M731" s="368">
        <v>0</v>
      </c>
      <c r="N731" s="350" t="s">
        <v>867</v>
      </c>
      <c r="O731" s="368">
        <v>0</v>
      </c>
      <c r="P731" s="368">
        <v>0</v>
      </c>
      <c r="Q731" s="367">
        <v>15841</v>
      </c>
      <c r="R731" s="368" t="s">
        <v>870</v>
      </c>
      <c r="S731" s="368" t="s">
        <v>863</v>
      </c>
      <c r="T731" s="350">
        <f>INT(('Run Time Parameters'!$E$5-'Data Sample'!Q731)/365.25)</f>
        <v>66</v>
      </c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339"/>
      <c r="AJ731" s="353">
        <f t="shared" si="32"/>
        <v>215</v>
      </c>
    </row>
    <row r="732" spans="1:36">
      <c r="A732" s="332">
        <f t="shared" si="33"/>
        <v>216</v>
      </c>
      <c r="F732" s="365"/>
      <c r="G732" s="366" t="s">
        <v>1087</v>
      </c>
      <c r="H732" s="367">
        <v>30415</v>
      </c>
      <c r="I732" s="351" t="s">
        <v>862</v>
      </c>
      <c r="J732" s="350" t="s">
        <v>863</v>
      </c>
      <c r="K732" s="350">
        <f>INT(('Run Time Parameters'!$E$5-'Data Sample'!H732)/365.25)</f>
        <v>26</v>
      </c>
      <c r="L732" s="368">
        <v>2002</v>
      </c>
      <c r="M732" s="368">
        <v>0</v>
      </c>
      <c r="N732" s="350" t="s">
        <v>864</v>
      </c>
      <c r="O732" s="368">
        <v>0</v>
      </c>
      <c r="P732" s="368">
        <v>0</v>
      </c>
      <c r="Q732" s="367">
        <v>30415</v>
      </c>
      <c r="R732" s="368" t="s">
        <v>862</v>
      </c>
      <c r="S732" s="368" t="s">
        <v>863</v>
      </c>
      <c r="T732" s="350">
        <f>INT(('Run Time Parameters'!$E$5-'Data Sample'!Q732)/365.25)</f>
        <v>26</v>
      </c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339"/>
      <c r="AJ732" s="353">
        <f t="shared" si="32"/>
        <v>216</v>
      </c>
    </row>
    <row r="733" spans="1:36">
      <c r="A733" s="332">
        <f t="shared" si="33"/>
        <v>217</v>
      </c>
      <c r="F733" s="365"/>
      <c r="G733" s="366" t="s">
        <v>1088</v>
      </c>
      <c r="H733" s="367">
        <v>29848</v>
      </c>
      <c r="I733" s="351" t="s">
        <v>862</v>
      </c>
      <c r="J733" s="350" t="s">
        <v>866</v>
      </c>
      <c r="K733" s="350">
        <f>INT(('Run Time Parameters'!$E$5-'Data Sample'!H733)/365.25)</f>
        <v>28</v>
      </c>
      <c r="L733" s="368">
        <v>1998</v>
      </c>
      <c r="M733" s="368">
        <v>0</v>
      </c>
      <c r="N733" s="350" t="s">
        <v>867</v>
      </c>
      <c r="O733" s="368">
        <v>0</v>
      </c>
      <c r="P733" s="368">
        <v>0</v>
      </c>
      <c r="Q733" s="367">
        <v>29848</v>
      </c>
      <c r="R733" s="368" t="s">
        <v>862</v>
      </c>
      <c r="S733" s="368" t="s">
        <v>866</v>
      </c>
      <c r="T733" s="350">
        <f>INT(('Run Time Parameters'!$E$5-'Data Sample'!Q733)/365.25)</f>
        <v>28</v>
      </c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339"/>
      <c r="AJ733" s="353">
        <f t="shared" si="32"/>
        <v>217</v>
      </c>
    </row>
    <row r="734" spans="1:36">
      <c r="A734" s="332">
        <f t="shared" si="33"/>
        <v>218</v>
      </c>
      <c r="F734" s="365"/>
      <c r="G734" s="366" t="s">
        <v>1089</v>
      </c>
      <c r="H734" s="367">
        <v>10967.041666666666</v>
      </c>
      <c r="I734" s="351" t="s">
        <v>870</v>
      </c>
      <c r="J734" s="350" t="s">
        <v>863</v>
      </c>
      <c r="K734" s="350">
        <f>INT(('Run Time Parameters'!$E$5-'Data Sample'!H734)/365.25)</f>
        <v>79</v>
      </c>
      <c r="L734" s="368">
        <v>1954</v>
      </c>
      <c r="M734" s="368">
        <v>0</v>
      </c>
      <c r="N734" s="350" t="s">
        <v>867</v>
      </c>
      <c r="O734" s="368">
        <v>0</v>
      </c>
      <c r="P734" s="368">
        <v>0</v>
      </c>
      <c r="Q734" s="367">
        <v>10967.041666666666</v>
      </c>
      <c r="R734" s="368" t="s">
        <v>870</v>
      </c>
      <c r="S734" s="368" t="s">
        <v>863</v>
      </c>
      <c r="T734" s="350">
        <f>INT(('Run Time Parameters'!$E$5-'Data Sample'!Q734)/365.25)</f>
        <v>79</v>
      </c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339"/>
      <c r="AJ734" s="353">
        <f t="shared" si="32"/>
        <v>218</v>
      </c>
    </row>
    <row r="735" spans="1:36">
      <c r="A735" s="332">
        <f t="shared" si="33"/>
        <v>219</v>
      </c>
      <c r="F735" s="365"/>
      <c r="G735" s="366" t="s">
        <v>1090</v>
      </c>
      <c r="H735" s="367">
        <v>26143</v>
      </c>
      <c r="I735" s="351" t="s">
        <v>870</v>
      </c>
      <c r="J735" s="350" t="s">
        <v>863</v>
      </c>
      <c r="K735" s="350">
        <f>INT(('Run Time Parameters'!$E$5-'Data Sample'!H735)/365.25)</f>
        <v>38</v>
      </c>
      <c r="L735" s="368">
        <v>1989</v>
      </c>
      <c r="M735" s="368">
        <v>1</v>
      </c>
      <c r="N735" s="350" t="s">
        <v>864</v>
      </c>
      <c r="O735" s="368">
        <v>0</v>
      </c>
      <c r="P735" s="368">
        <v>0</v>
      </c>
      <c r="Q735" s="367">
        <v>26537</v>
      </c>
      <c r="R735" s="368" t="s">
        <v>862</v>
      </c>
      <c r="S735" s="368" t="s">
        <v>863</v>
      </c>
      <c r="T735" s="350">
        <f>INT(('Run Time Parameters'!$E$5-'Data Sample'!Q735)/365.25)</f>
        <v>37</v>
      </c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339"/>
      <c r="AJ735" s="353">
        <f t="shared" si="32"/>
        <v>219</v>
      </c>
    </row>
    <row r="736" spans="1:36">
      <c r="A736" s="332">
        <f t="shared" si="33"/>
        <v>220</v>
      </c>
      <c r="F736" s="365"/>
      <c r="G736" s="366" t="s">
        <v>1091</v>
      </c>
      <c r="H736" s="367">
        <v>21390</v>
      </c>
      <c r="I736" s="351" t="s">
        <v>870</v>
      </c>
      <c r="J736" s="350" t="s">
        <v>863</v>
      </c>
      <c r="K736" s="350">
        <f>INT(('Run Time Parameters'!$E$5-'Data Sample'!H736)/365.25)</f>
        <v>51</v>
      </c>
      <c r="L736" s="368">
        <v>1975</v>
      </c>
      <c r="M736" s="368">
        <v>0</v>
      </c>
      <c r="N736" s="350" t="s">
        <v>864</v>
      </c>
      <c r="O736" s="368">
        <v>0</v>
      </c>
      <c r="P736" s="368">
        <v>0</v>
      </c>
      <c r="Q736" s="367">
        <v>21390</v>
      </c>
      <c r="R736" s="368" t="s">
        <v>870</v>
      </c>
      <c r="S736" s="368" t="s">
        <v>863</v>
      </c>
      <c r="T736" s="350">
        <f>INT(('Run Time Parameters'!$E$5-'Data Sample'!Q736)/365.25)</f>
        <v>51</v>
      </c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339"/>
      <c r="AJ736" s="353">
        <f t="shared" si="32"/>
        <v>220</v>
      </c>
    </row>
    <row r="737" spans="1:36">
      <c r="A737" s="332">
        <f t="shared" si="33"/>
        <v>221</v>
      </c>
      <c r="F737" s="365"/>
      <c r="G737" s="366" t="s">
        <v>1092</v>
      </c>
      <c r="H737" s="367">
        <v>25667</v>
      </c>
      <c r="I737" s="351" t="s">
        <v>870</v>
      </c>
      <c r="J737" s="350" t="s">
        <v>863</v>
      </c>
      <c r="K737" s="350">
        <f>INT(('Run Time Parameters'!$E$5-'Data Sample'!H737)/365.25)</f>
        <v>39</v>
      </c>
      <c r="L737" s="368">
        <v>1991</v>
      </c>
      <c r="M737" s="368">
        <v>0</v>
      </c>
      <c r="N737" s="350" t="s">
        <v>867</v>
      </c>
      <c r="O737" s="368">
        <v>0</v>
      </c>
      <c r="P737" s="368">
        <v>0</v>
      </c>
      <c r="Q737" s="367">
        <v>27321.041666666668</v>
      </c>
      <c r="R737" s="368" t="s">
        <v>862</v>
      </c>
      <c r="S737" s="368" t="s">
        <v>863</v>
      </c>
      <c r="T737" s="350">
        <f>INT(('Run Time Parameters'!$E$5-'Data Sample'!Q737)/365.25)</f>
        <v>35</v>
      </c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339"/>
      <c r="AJ737" s="353">
        <f t="shared" si="32"/>
        <v>221</v>
      </c>
    </row>
    <row r="738" spans="1:36">
      <c r="A738" s="332">
        <f t="shared" si="33"/>
        <v>222</v>
      </c>
      <c r="F738" s="365"/>
      <c r="G738" s="366" t="s">
        <v>1093</v>
      </c>
      <c r="H738" s="367">
        <v>24763.041666666668</v>
      </c>
      <c r="I738" s="351" t="s">
        <v>870</v>
      </c>
      <c r="J738" s="350" t="s">
        <v>863</v>
      </c>
      <c r="K738" s="350">
        <f>INT(('Run Time Parameters'!$E$5-'Data Sample'!H738)/365.25)</f>
        <v>42</v>
      </c>
      <c r="L738" s="368">
        <v>1986</v>
      </c>
      <c r="M738" s="368">
        <v>0</v>
      </c>
      <c r="N738" s="350" t="s">
        <v>864</v>
      </c>
      <c r="O738" s="368">
        <v>0</v>
      </c>
      <c r="P738" s="368">
        <v>0</v>
      </c>
      <c r="Q738" s="367">
        <v>24763.041666666668</v>
      </c>
      <c r="R738" s="368" t="s">
        <v>870</v>
      </c>
      <c r="S738" s="368" t="s">
        <v>863</v>
      </c>
      <c r="T738" s="350">
        <f>INT(('Run Time Parameters'!$E$5-'Data Sample'!Q738)/365.25)</f>
        <v>42</v>
      </c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339"/>
      <c r="AJ738" s="353">
        <f t="shared" si="32"/>
        <v>222</v>
      </c>
    </row>
    <row r="739" spans="1:36">
      <c r="A739" s="332">
        <f t="shared" si="33"/>
        <v>223</v>
      </c>
      <c r="F739" s="365"/>
      <c r="G739" s="366" t="s">
        <v>1094</v>
      </c>
      <c r="H739" s="367">
        <v>30469</v>
      </c>
      <c r="I739" s="351" t="s">
        <v>870</v>
      </c>
      <c r="J739" s="350" t="s">
        <v>866</v>
      </c>
      <c r="K739" s="350">
        <f>INT(('Run Time Parameters'!$E$5-'Data Sample'!H739)/365.25)</f>
        <v>26</v>
      </c>
      <c r="L739" s="368">
        <v>2001</v>
      </c>
      <c r="M739" s="368">
        <v>0</v>
      </c>
      <c r="N739" s="350" t="s">
        <v>864</v>
      </c>
      <c r="O739" s="368">
        <v>0</v>
      </c>
      <c r="P739" s="368">
        <v>0</v>
      </c>
      <c r="Q739" s="367">
        <v>30469</v>
      </c>
      <c r="R739" s="368" t="s">
        <v>870</v>
      </c>
      <c r="S739" s="368" t="s">
        <v>866</v>
      </c>
      <c r="T739" s="350">
        <f>INT(('Run Time Parameters'!$E$5-'Data Sample'!Q739)/365.25)</f>
        <v>26</v>
      </c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339"/>
      <c r="AJ739" s="353">
        <f t="shared" si="32"/>
        <v>223</v>
      </c>
    </row>
    <row r="740" spans="1:36">
      <c r="A740" s="332">
        <f t="shared" si="33"/>
        <v>224</v>
      </c>
      <c r="F740" s="365"/>
      <c r="G740" s="366" t="s">
        <v>1095</v>
      </c>
      <c r="H740" s="367">
        <v>20842.041666666668</v>
      </c>
      <c r="I740" s="351" t="s">
        <v>862</v>
      </c>
      <c r="J740" s="350" t="s">
        <v>863</v>
      </c>
      <c r="K740" s="350">
        <f>INT(('Run Time Parameters'!$E$5-'Data Sample'!H740)/365.25)</f>
        <v>52</v>
      </c>
      <c r="L740" s="368">
        <v>1974</v>
      </c>
      <c r="M740" s="368">
        <v>0</v>
      </c>
      <c r="N740" s="350" t="s">
        <v>867</v>
      </c>
      <c r="O740" s="368">
        <v>0</v>
      </c>
      <c r="P740" s="368">
        <v>0</v>
      </c>
      <c r="Q740" s="367">
        <v>20842.041666666668</v>
      </c>
      <c r="R740" s="368" t="s">
        <v>862</v>
      </c>
      <c r="S740" s="368" t="s">
        <v>863</v>
      </c>
      <c r="T740" s="350">
        <f>INT(('Run Time Parameters'!$E$5-'Data Sample'!Q740)/365.25)</f>
        <v>52</v>
      </c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339"/>
      <c r="AJ740" s="353">
        <f t="shared" si="32"/>
        <v>224</v>
      </c>
    </row>
    <row r="741" spans="1:36">
      <c r="A741" s="332">
        <f t="shared" si="33"/>
        <v>225</v>
      </c>
      <c r="F741" s="365"/>
      <c r="G741" s="366" t="s">
        <v>1096</v>
      </c>
      <c r="H741" s="367">
        <v>18936.041666666668</v>
      </c>
      <c r="I741" s="351" t="s">
        <v>862</v>
      </c>
      <c r="J741" s="350" t="s">
        <v>863</v>
      </c>
      <c r="K741" s="350">
        <f>INT(('Run Time Parameters'!$E$5-'Data Sample'!H741)/365.25)</f>
        <v>57</v>
      </c>
      <c r="L741" s="368">
        <v>1968</v>
      </c>
      <c r="M741" s="368">
        <v>0</v>
      </c>
      <c r="N741" s="350" t="s">
        <v>867</v>
      </c>
      <c r="O741" s="368">
        <v>0</v>
      </c>
      <c r="P741" s="368">
        <v>0</v>
      </c>
      <c r="Q741" s="367">
        <v>18936.041666666668</v>
      </c>
      <c r="R741" s="368" t="s">
        <v>862</v>
      </c>
      <c r="S741" s="368" t="s">
        <v>863</v>
      </c>
      <c r="T741" s="350">
        <f>INT(('Run Time Parameters'!$E$5-'Data Sample'!Q741)/365.25)</f>
        <v>57</v>
      </c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339"/>
      <c r="AJ741" s="353">
        <f t="shared" si="32"/>
        <v>225</v>
      </c>
    </row>
    <row r="742" spans="1:36">
      <c r="A742" s="332">
        <f t="shared" si="33"/>
        <v>226</v>
      </c>
      <c r="F742" s="365"/>
      <c r="G742" s="366" t="s">
        <v>1097</v>
      </c>
      <c r="H742" s="367">
        <v>24100.041666666668</v>
      </c>
      <c r="I742" s="351" t="s">
        <v>870</v>
      </c>
      <c r="J742" s="350" t="s">
        <v>863</v>
      </c>
      <c r="K742" s="350">
        <f>INT(('Run Time Parameters'!$E$5-'Data Sample'!H742)/365.25)</f>
        <v>43</v>
      </c>
      <c r="L742" s="368">
        <v>1983</v>
      </c>
      <c r="M742" s="368">
        <v>0</v>
      </c>
      <c r="N742" s="350" t="s">
        <v>864</v>
      </c>
      <c r="O742" s="368">
        <v>0</v>
      </c>
      <c r="P742" s="368">
        <v>0</v>
      </c>
      <c r="Q742" s="367">
        <v>24100.041666666668</v>
      </c>
      <c r="R742" s="368" t="s">
        <v>870</v>
      </c>
      <c r="S742" s="368" t="s">
        <v>863</v>
      </c>
      <c r="T742" s="350">
        <f>INT(('Run Time Parameters'!$E$5-'Data Sample'!Q742)/365.25)</f>
        <v>43</v>
      </c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339"/>
      <c r="AJ742" s="353">
        <f t="shared" si="32"/>
        <v>226</v>
      </c>
    </row>
    <row r="743" spans="1:36">
      <c r="A743" s="332">
        <f t="shared" si="33"/>
        <v>227</v>
      </c>
      <c r="F743" s="365"/>
      <c r="G743" s="366" t="s">
        <v>1098</v>
      </c>
      <c r="H743" s="367">
        <v>30263</v>
      </c>
      <c r="I743" s="351" t="s">
        <v>870</v>
      </c>
      <c r="J743" s="350" t="s">
        <v>863</v>
      </c>
      <c r="K743" s="350">
        <f>INT(('Run Time Parameters'!$E$5-'Data Sample'!H743)/365.25)</f>
        <v>26</v>
      </c>
      <c r="L743" s="368">
        <v>2000</v>
      </c>
      <c r="M743" s="368">
        <v>0</v>
      </c>
      <c r="N743" s="350" t="s">
        <v>867</v>
      </c>
      <c r="O743" s="368">
        <v>0</v>
      </c>
      <c r="P743" s="368">
        <v>0</v>
      </c>
      <c r="Q743" s="367">
        <v>30263</v>
      </c>
      <c r="R743" s="368" t="s">
        <v>870</v>
      </c>
      <c r="S743" s="368" t="s">
        <v>863</v>
      </c>
      <c r="T743" s="350">
        <f>INT(('Run Time Parameters'!$E$5-'Data Sample'!Q743)/365.25)</f>
        <v>26</v>
      </c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339"/>
      <c r="AJ743" s="353">
        <f t="shared" si="32"/>
        <v>227</v>
      </c>
    </row>
    <row r="744" spans="1:36">
      <c r="A744" s="332">
        <f t="shared" si="33"/>
        <v>228</v>
      </c>
      <c r="F744" s="365"/>
      <c r="G744" s="366" t="s">
        <v>1099</v>
      </c>
      <c r="H744" s="367">
        <v>12192</v>
      </c>
      <c r="I744" s="351" t="s">
        <v>862</v>
      </c>
      <c r="J744" s="350" t="s">
        <v>863</v>
      </c>
      <c r="K744" s="350">
        <f>INT(('Run Time Parameters'!$E$5-'Data Sample'!H744)/365.25)</f>
        <v>76</v>
      </c>
      <c r="L744" s="368">
        <v>1950</v>
      </c>
      <c r="M744" s="368">
        <v>0</v>
      </c>
      <c r="N744" s="350" t="s">
        <v>867</v>
      </c>
      <c r="O744" s="368">
        <v>0</v>
      </c>
      <c r="P744" s="368">
        <v>0</v>
      </c>
      <c r="Q744" s="367">
        <v>12192</v>
      </c>
      <c r="R744" s="368" t="s">
        <v>862</v>
      </c>
      <c r="S744" s="368" t="s">
        <v>863</v>
      </c>
      <c r="T744" s="350">
        <f>INT(('Run Time Parameters'!$E$5-'Data Sample'!Q744)/365.25)</f>
        <v>76</v>
      </c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339"/>
      <c r="AJ744" s="353">
        <f t="shared" si="32"/>
        <v>228</v>
      </c>
    </row>
    <row r="745" spans="1:36">
      <c r="A745" s="332">
        <f t="shared" si="33"/>
        <v>229</v>
      </c>
      <c r="F745" s="365"/>
      <c r="G745" s="366" t="s">
        <v>1100</v>
      </c>
      <c r="H745" s="367">
        <v>21165.041666666668</v>
      </c>
      <c r="I745" s="351" t="s">
        <v>862</v>
      </c>
      <c r="J745" s="350" t="s">
        <v>863</v>
      </c>
      <c r="K745" s="350">
        <f>INT(('Run Time Parameters'!$E$5-'Data Sample'!H745)/365.25)</f>
        <v>51</v>
      </c>
      <c r="L745" s="368">
        <v>1974</v>
      </c>
      <c r="M745" s="368">
        <v>1</v>
      </c>
      <c r="N745" s="350" t="s">
        <v>867</v>
      </c>
      <c r="O745" s="368">
        <v>0</v>
      </c>
      <c r="P745" s="368">
        <v>0</v>
      </c>
      <c r="Q745" s="367">
        <v>23633</v>
      </c>
      <c r="R745" s="368" t="s">
        <v>870</v>
      </c>
      <c r="S745" s="368" t="s">
        <v>863</v>
      </c>
      <c r="T745" s="350">
        <f>INT(('Run Time Parameters'!$E$5-'Data Sample'!Q745)/365.25)</f>
        <v>45</v>
      </c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339"/>
      <c r="AJ745" s="353">
        <f t="shared" si="32"/>
        <v>229</v>
      </c>
    </row>
    <row r="746" spans="1:36">
      <c r="A746" s="332">
        <f t="shared" si="33"/>
        <v>230</v>
      </c>
      <c r="F746" s="365"/>
      <c r="G746" s="366" t="s">
        <v>1101</v>
      </c>
      <c r="H746" s="367">
        <v>27145</v>
      </c>
      <c r="I746" s="351" t="s">
        <v>870</v>
      </c>
      <c r="J746" s="350" t="s">
        <v>863</v>
      </c>
      <c r="K746" s="350">
        <f>INT(('Run Time Parameters'!$E$5-'Data Sample'!H746)/365.25)</f>
        <v>35</v>
      </c>
      <c r="L746" s="368">
        <v>1992</v>
      </c>
      <c r="M746" s="368">
        <v>0</v>
      </c>
      <c r="N746" s="350" t="s">
        <v>867</v>
      </c>
      <c r="O746" s="368">
        <v>0</v>
      </c>
      <c r="P746" s="368">
        <v>0</v>
      </c>
      <c r="Q746" s="367">
        <v>27145</v>
      </c>
      <c r="R746" s="368" t="s">
        <v>870</v>
      </c>
      <c r="S746" s="368" t="s">
        <v>863</v>
      </c>
      <c r="T746" s="350">
        <f>INT(('Run Time Parameters'!$E$5-'Data Sample'!Q746)/365.25)</f>
        <v>35</v>
      </c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339"/>
      <c r="AJ746" s="353">
        <f t="shared" si="32"/>
        <v>230</v>
      </c>
    </row>
    <row r="747" spans="1:36">
      <c r="A747" s="332">
        <f t="shared" si="33"/>
        <v>231</v>
      </c>
      <c r="F747" s="365"/>
      <c r="G747" s="366" t="s">
        <v>1102</v>
      </c>
      <c r="H747" s="367">
        <v>20445.041666666668</v>
      </c>
      <c r="I747" s="351" t="s">
        <v>870</v>
      </c>
      <c r="J747" s="350" t="s">
        <v>863</v>
      </c>
      <c r="K747" s="350">
        <f>INT(('Run Time Parameters'!$E$5-'Data Sample'!H747)/365.25)</f>
        <v>53</v>
      </c>
      <c r="L747" s="368">
        <v>1972</v>
      </c>
      <c r="M747" s="368">
        <v>0</v>
      </c>
      <c r="N747" s="350" t="s">
        <v>867</v>
      </c>
      <c r="O747" s="368">
        <v>0</v>
      </c>
      <c r="P747" s="368">
        <v>0</v>
      </c>
      <c r="Q747" s="367">
        <v>20445.041666666668</v>
      </c>
      <c r="R747" s="368" t="s">
        <v>870</v>
      </c>
      <c r="S747" s="368" t="s">
        <v>863</v>
      </c>
      <c r="T747" s="350">
        <f>INT(('Run Time Parameters'!$E$5-'Data Sample'!Q747)/365.25)</f>
        <v>53</v>
      </c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339"/>
      <c r="AJ747" s="353">
        <f t="shared" si="32"/>
        <v>231</v>
      </c>
    </row>
    <row r="748" spans="1:36">
      <c r="A748" s="332">
        <f t="shared" si="33"/>
        <v>232</v>
      </c>
      <c r="F748" s="365"/>
      <c r="G748" s="366" t="s">
        <v>1103</v>
      </c>
      <c r="H748" s="367">
        <v>24177.041666666668</v>
      </c>
      <c r="I748" s="351" t="s">
        <v>862</v>
      </c>
      <c r="J748" s="350" t="s">
        <v>863</v>
      </c>
      <c r="K748" s="350">
        <f>INT(('Run Time Parameters'!$E$5-'Data Sample'!H748)/365.25)</f>
        <v>43</v>
      </c>
      <c r="L748" s="368">
        <v>2000</v>
      </c>
      <c r="M748" s="368">
        <v>0</v>
      </c>
      <c r="N748" s="350" t="s">
        <v>867</v>
      </c>
      <c r="O748" s="368">
        <v>0</v>
      </c>
      <c r="P748" s="368">
        <v>0</v>
      </c>
      <c r="Q748" s="367">
        <v>24177.041666666668</v>
      </c>
      <c r="R748" s="368" t="s">
        <v>862</v>
      </c>
      <c r="S748" s="368" t="s">
        <v>863</v>
      </c>
      <c r="T748" s="350">
        <f>INT(('Run Time Parameters'!$E$5-'Data Sample'!Q748)/365.25)</f>
        <v>43</v>
      </c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339"/>
      <c r="AJ748" s="353">
        <f t="shared" si="32"/>
        <v>232</v>
      </c>
    </row>
    <row r="749" spans="1:36">
      <c r="A749" s="332">
        <f t="shared" si="33"/>
        <v>233</v>
      </c>
      <c r="F749" s="365"/>
      <c r="G749" s="366" t="s">
        <v>1104</v>
      </c>
      <c r="H749" s="367">
        <v>24321</v>
      </c>
      <c r="I749" s="351" t="s">
        <v>862</v>
      </c>
      <c r="J749" s="350" t="s">
        <v>866</v>
      </c>
      <c r="K749" s="350">
        <f>INT(('Run Time Parameters'!$E$5-'Data Sample'!H749)/365.25)</f>
        <v>43</v>
      </c>
      <c r="L749" s="368">
        <v>2002</v>
      </c>
      <c r="M749" s="368">
        <v>0</v>
      </c>
      <c r="N749" s="350" t="s">
        <v>867</v>
      </c>
      <c r="O749" s="368">
        <v>0</v>
      </c>
      <c r="P749" s="368">
        <v>0</v>
      </c>
      <c r="Q749" s="367">
        <v>26470</v>
      </c>
      <c r="R749" s="368" t="s">
        <v>862</v>
      </c>
      <c r="S749" s="368" t="s">
        <v>866</v>
      </c>
      <c r="T749" s="350">
        <f>INT(('Run Time Parameters'!$E$5-'Data Sample'!Q749)/365.25)</f>
        <v>37</v>
      </c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339"/>
      <c r="AJ749" s="353">
        <f t="shared" si="32"/>
        <v>233</v>
      </c>
    </row>
    <row r="750" spans="1:36">
      <c r="A750" s="332">
        <f t="shared" si="33"/>
        <v>234</v>
      </c>
      <c r="F750" s="365"/>
      <c r="G750" s="366" t="s">
        <v>1105</v>
      </c>
      <c r="H750" s="367">
        <v>27305</v>
      </c>
      <c r="I750" s="351" t="s">
        <v>862</v>
      </c>
      <c r="J750" s="350" t="s">
        <v>863</v>
      </c>
      <c r="K750" s="350">
        <f>INT(('Run Time Parameters'!$E$5-'Data Sample'!H750)/365.25)</f>
        <v>35</v>
      </c>
      <c r="L750" s="368">
        <v>1991</v>
      </c>
      <c r="M750" s="368">
        <v>0</v>
      </c>
      <c r="N750" s="350" t="s">
        <v>867</v>
      </c>
      <c r="O750" s="368">
        <v>0</v>
      </c>
      <c r="P750" s="368">
        <v>0</v>
      </c>
      <c r="Q750" s="367">
        <v>27305</v>
      </c>
      <c r="R750" s="368" t="s">
        <v>862</v>
      </c>
      <c r="S750" s="368" t="s">
        <v>863</v>
      </c>
      <c r="T750" s="350">
        <f>INT(('Run Time Parameters'!$E$5-'Data Sample'!Q750)/365.25)</f>
        <v>35</v>
      </c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339"/>
      <c r="AJ750" s="353">
        <f t="shared" si="32"/>
        <v>234</v>
      </c>
    </row>
    <row r="751" spans="1:36">
      <c r="A751" s="332">
        <f t="shared" si="33"/>
        <v>235</v>
      </c>
      <c r="F751" s="365"/>
      <c r="G751" s="366" t="s">
        <v>1106</v>
      </c>
      <c r="H751" s="367">
        <v>18979.041666666668</v>
      </c>
      <c r="I751" s="351" t="s">
        <v>870</v>
      </c>
      <c r="J751" s="350" t="s">
        <v>863</v>
      </c>
      <c r="K751" s="350">
        <f>INT(('Run Time Parameters'!$E$5-'Data Sample'!H751)/365.25)</f>
        <v>57</v>
      </c>
      <c r="L751" s="368">
        <v>1968</v>
      </c>
      <c r="M751" s="368">
        <v>0</v>
      </c>
      <c r="N751" s="350" t="s">
        <v>867</v>
      </c>
      <c r="O751" s="368">
        <v>0</v>
      </c>
      <c r="P751" s="368">
        <v>0</v>
      </c>
      <c r="Q751" s="367">
        <v>19003.041666666668</v>
      </c>
      <c r="R751" s="368" t="s">
        <v>862</v>
      </c>
      <c r="S751" s="368" t="s">
        <v>863</v>
      </c>
      <c r="T751" s="350">
        <f>INT(('Run Time Parameters'!$E$5-'Data Sample'!Q751)/365.25)</f>
        <v>57</v>
      </c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339"/>
      <c r="AJ751" s="353">
        <f t="shared" si="32"/>
        <v>235</v>
      </c>
    </row>
    <row r="752" spans="1:36">
      <c r="A752" s="332">
        <f t="shared" si="33"/>
        <v>236</v>
      </c>
      <c r="F752" s="365"/>
      <c r="G752" s="366" t="s">
        <v>1107</v>
      </c>
      <c r="H752" s="367">
        <v>25883.041666666668</v>
      </c>
      <c r="I752" s="351" t="s">
        <v>862</v>
      </c>
      <c r="J752" s="350" t="s">
        <v>863</v>
      </c>
      <c r="K752" s="350">
        <f>INT(('Run Time Parameters'!$E$5-'Data Sample'!H752)/365.25)</f>
        <v>38</v>
      </c>
      <c r="L752" s="368">
        <v>1988</v>
      </c>
      <c r="M752" s="368">
        <v>0</v>
      </c>
      <c r="N752" s="350" t="s">
        <v>864</v>
      </c>
      <c r="O752" s="368">
        <v>0</v>
      </c>
      <c r="P752" s="368">
        <v>0</v>
      </c>
      <c r="Q752" s="367">
        <v>25883.041666666668</v>
      </c>
      <c r="R752" s="368" t="s">
        <v>862</v>
      </c>
      <c r="S752" s="368" t="s">
        <v>863</v>
      </c>
      <c r="T752" s="350">
        <f>INT(('Run Time Parameters'!$E$5-'Data Sample'!Q752)/365.25)</f>
        <v>38</v>
      </c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339"/>
      <c r="AJ752" s="353">
        <f t="shared" si="32"/>
        <v>236</v>
      </c>
    </row>
    <row r="753" spans="1:36">
      <c r="A753" s="332">
        <f t="shared" si="33"/>
        <v>237</v>
      </c>
      <c r="F753" s="365"/>
      <c r="G753" s="366" t="s">
        <v>1108</v>
      </c>
      <c r="H753" s="367">
        <v>25196.041666666668</v>
      </c>
      <c r="I753" s="351" t="s">
        <v>870</v>
      </c>
      <c r="J753" s="350" t="s">
        <v>863</v>
      </c>
      <c r="K753" s="350">
        <f>INT(('Run Time Parameters'!$E$5-'Data Sample'!H753)/365.25)</f>
        <v>40</v>
      </c>
      <c r="L753" s="368">
        <v>1986</v>
      </c>
      <c r="M753" s="368">
        <v>0</v>
      </c>
      <c r="N753" s="350" t="s">
        <v>867</v>
      </c>
      <c r="O753" s="368">
        <v>0</v>
      </c>
      <c r="P753" s="368">
        <v>0</v>
      </c>
      <c r="Q753" s="367">
        <v>25883.041666666668</v>
      </c>
      <c r="R753" s="368" t="s">
        <v>862</v>
      </c>
      <c r="S753" s="368" t="s">
        <v>863</v>
      </c>
      <c r="T753" s="350">
        <f>INT(('Run Time Parameters'!$E$5-'Data Sample'!Q753)/365.25)</f>
        <v>38</v>
      </c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339"/>
      <c r="AJ753" s="353">
        <f t="shared" si="32"/>
        <v>237</v>
      </c>
    </row>
    <row r="754" spans="1:36">
      <c r="A754" s="332">
        <f t="shared" si="33"/>
        <v>238</v>
      </c>
      <c r="F754" s="365"/>
      <c r="G754" s="366" t="s">
        <v>1109</v>
      </c>
      <c r="H754" s="367">
        <v>24777.041666666668</v>
      </c>
      <c r="I754" s="351" t="s">
        <v>862</v>
      </c>
      <c r="J754" s="350" t="s">
        <v>863</v>
      </c>
      <c r="K754" s="350">
        <f>INT(('Run Time Parameters'!$E$5-'Data Sample'!H754)/365.25)</f>
        <v>41</v>
      </c>
      <c r="L754" s="368">
        <v>1984</v>
      </c>
      <c r="M754" s="368">
        <v>0</v>
      </c>
      <c r="N754" s="350" t="s">
        <v>867</v>
      </c>
      <c r="O754" s="368">
        <v>0</v>
      </c>
      <c r="P754" s="368">
        <v>0</v>
      </c>
      <c r="Q754" s="367">
        <v>29805</v>
      </c>
      <c r="R754" s="368" t="s">
        <v>870</v>
      </c>
      <c r="S754" s="368" t="s">
        <v>863</v>
      </c>
      <c r="T754" s="350">
        <f>INT(('Run Time Parameters'!$E$5-'Data Sample'!Q754)/365.25)</f>
        <v>28</v>
      </c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339"/>
      <c r="AJ754" s="353">
        <f t="shared" si="32"/>
        <v>238</v>
      </c>
    </row>
    <row r="755" spans="1:36">
      <c r="A755" s="332">
        <f t="shared" si="33"/>
        <v>239</v>
      </c>
      <c r="F755" s="365"/>
      <c r="G755" s="366" t="s">
        <v>1110</v>
      </c>
      <c r="H755" s="367">
        <v>25715</v>
      </c>
      <c r="I755" s="351" t="s">
        <v>870</v>
      </c>
      <c r="J755" s="350" t="s">
        <v>863</v>
      </c>
      <c r="K755" s="350">
        <f>INT(('Run Time Parameters'!$E$5-'Data Sample'!H755)/365.25)</f>
        <v>39</v>
      </c>
      <c r="L755" s="368">
        <v>1990</v>
      </c>
      <c r="M755" s="368">
        <v>0</v>
      </c>
      <c r="N755" s="350" t="s">
        <v>864</v>
      </c>
      <c r="O755" s="368">
        <v>0</v>
      </c>
      <c r="P755" s="368">
        <v>0</v>
      </c>
      <c r="Q755" s="367">
        <v>29718</v>
      </c>
      <c r="R755" s="368" t="s">
        <v>862</v>
      </c>
      <c r="S755" s="368" t="s">
        <v>863</v>
      </c>
      <c r="T755" s="350">
        <f>INT(('Run Time Parameters'!$E$5-'Data Sample'!Q755)/365.25)</f>
        <v>28</v>
      </c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339"/>
      <c r="AJ755" s="353">
        <f t="shared" si="32"/>
        <v>239</v>
      </c>
    </row>
    <row r="756" spans="1:36">
      <c r="A756" s="332">
        <f t="shared" si="33"/>
        <v>240</v>
      </c>
      <c r="F756" s="365"/>
      <c r="G756" s="366" t="s">
        <v>1111</v>
      </c>
      <c r="H756" s="367">
        <v>24841.041666666668</v>
      </c>
      <c r="I756" s="351" t="s">
        <v>870</v>
      </c>
      <c r="J756" s="350" t="s">
        <v>863</v>
      </c>
      <c r="K756" s="350">
        <f>INT(('Run Time Parameters'!$E$5-'Data Sample'!H756)/365.25)</f>
        <v>41</v>
      </c>
      <c r="L756" s="368">
        <v>1985</v>
      </c>
      <c r="M756" s="368">
        <v>0</v>
      </c>
      <c r="N756" s="350" t="s">
        <v>864</v>
      </c>
      <c r="O756" s="368">
        <v>0</v>
      </c>
      <c r="P756" s="368">
        <v>0</v>
      </c>
      <c r="Q756" s="367">
        <v>26316</v>
      </c>
      <c r="R756" s="368" t="s">
        <v>862</v>
      </c>
      <c r="S756" s="368" t="s">
        <v>863</v>
      </c>
      <c r="T756" s="350">
        <f>INT(('Run Time Parameters'!$E$5-'Data Sample'!Q756)/365.25)</f>
        <v>37</v>
      </c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339"/>
      <c r="AJ756" s="353">
        <f t="shared" si="32"/>
        <v>240</v>
      </c>
    </row>
    <row r="757" spans="1:36">
      <c r="A757" s="332">
        <f t="shared" si="33"/>
        <v>241</v>
      </c>
      <c r="F757" s="365"/>
      <c r="G757" s="366" t="s">
        <v>1112</v>
      </c>
      <c r="H757" s="367">
        <v>23185</v>
      </c>
      <c r="I757" s="351" t="s">
        <v>870</v>
      </c>
      <c r="J757" s="350" t="s">
        <v>863</v>
      </c>
      <c r="K757" s="350">
        <f>INT(('Run Time Parameters'!$E$5-'Data Sample'!H757)/365.25)</f>
        <v>46</v>
      </c>
      <c r="L757" s="368">
        <v>1980</v>
      </c>
      <c r="M757" s="368">
        <v>0</v>
      </c>
      <c r="N757" s="350" t="s">
        <v>864</v>
      </c>
      <c r="O757" s="368">
        <v>0</v>
      </c>
      <c r="P757" s="368">
        <v>0</v>
      </c>
      <c r="Q757" s="367">
        <v>23861</v>
      </c>
      <c r="R757" s="368" t="s">
        <v>862</v>
      </c>
      <c r="S757" s="368" t="s">
        <v>863</v>
      </c>
      <c r="T757" s="350">
        <f>INT(('Run Time Parameters'!$E$5-'Data Sample'!Q757)/365.25)</f>
        <v>44</v>
      </c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339"/>
      <c r="AJ757" s="353">
        <f t="shared" si="32"/>
        <v>241</v>
      </c>
    </row>
    <row r="758" spans="1:36">
      <c r="A758" s="332">
        <f t="shared" si="33"/>
        <v>242</v>
      </c>
      <c r="F758" s="365"/>
      <c r="G758" s="366" t="s">
        <v>1113</v>
      </c>
      <c r="H758" s="367">
        <v>24571</v>
      </c>
      <c r="I758" s="351" t="s">
        <v>870</v>
      </c>
      <c r="J758" s="350" t="s">
        <v>863</v>
      </c>
      <c r="K758" s="350">
        <f>INT(('Run Time Parameters'!$E$5-'Data Sample'!H758)/365.25)</f>
        <v>42</v>
      </c>
      <c r="L758" s="368">
        <v>1984</v>
      </c>
      <c r="M758" s="368">
        <v>0</v>
      </c>
      <c r="N758" s="350" t="s">
        <v>864</v>
      </c>
      <c r="O758" s="368">
        <v>0</v>
      </c>
      <c r="P758" s="368">
        <v>0</v>
      </c>
      <c r="Q758" s="367">
        <v>25459</v>
      </c>
      <c r="R758" s="368" t="s">
        <v>862</v>
      </c>
      <c r="S758" s="368" t="s">
        <v>863</v>
      </c>
      <c r="T758" s="350">
        <f>INT(('Run Time Parameters'!$E$5-'Data Sample'!Q758)/365.25)</f>
        <v>40</v>
      </c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339"/>
      <c r="AJ758" s="353">
        <f t="shared" si="32"/>
        <v>242</v>
      </c>
    </row>
    <row r="759" spans="1:36">
      <c r="A759" s="332">
        <f t="shared" si="33"/>
        <v>243</v>
      </c>
      <c r="F759" s="365"/>
      <c r="G759" s="366" t="s">
        <v>1114</v>
      </c>
      <c r="H759" s="367">
        <v>26511</v>
      </c>
      <c r="I759" s="351" t="s">
        <v>862</v>
      </c>
      <c r="J759" s="350" t="s">
        <v>863</v>
      </c>
      <c r="K759" s="350">
        <f>INT(('Run Time Parameters'!$E$5-'Data Sample'!H759)/365.25)</f>
        <v>37</v>
      </c>
      <c r="L759" s="368">
        <v>1989</v>
      </c>
      <c r="M759" s="368">
        <v>0</v>
      </c>
      <c r="N759" s="350" t="s">
        <v>867</v>
      </c>
      <c r="O759" s="368">
        <v>0</v>
      </c>
      <c r="P759" s="368">
        <v>0</v>
      </c>
      <c r="Q759" s="367">
        <v>26511</v>
      </c>
      <c r="R759" s="368" t="s">
        <v>862</v>
      </c>
      <c r="S759" s="368" t="s">
        <v>863</v>
      </c>
      <c r="T759" s="350">
        <f>INT(('Run Time Parameters'!$E$5-'Data Sample'!Q759)/365.25)</f>
        <v>37</v>
      </c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339"/>
      <c r="AJ759" s="353">
        <f t="shared" si="32"/>
        <v>243</v>
      </c>
    </row>
    <row r="760" spans="1:36">
      <c r="A760" s="332">
        <f t="shared" si="33"/>
        <v>244</v>
      </c>
      <c r="F760" s="365"/>
      <c r="G760" s="366" t="s">
        <v>1115</v>
      </c>
      <c r="H760" s="367">
        <v>26416</v>
      </c>
      <c r="I760" s="351" t="s">
        <v>870</v>
      </c>
      <c r="J760" s="350" t="s">
        <v>866</v>
      </c>
      <c r="K760" s="350">
        <f>INT(('Run Time Parameters'!$E$5-'Data Sample'!H760)/365.25)</f>
        <v>37</v>
      </c>
      <c r="L760" s="368">
        <v>1990</v>
      </c>
      <c r="M760" s="368">
        <v>0</v>
      </c>
      <c r="N760" s="350" t="s">
        <v>867</v>
      </c>
      <c r="O760" s="368">
        <v>0</v>
      </c>
      <c r="P760" s="368">
        <v>0</v>
      </c>
      <c r="Q760" s="367">
        <v>26416</v>
      </c>
      <c r="R760" s="368" t="s">
        <v>870</v>
      </c>
      <c r="S760" s="368" t="s">
        <v>866</v>
      </c>
      <c r="T760" s="350">
        <f>INT(('Run Time Parameters'!$E$5-'Data Sample'!Q760)/365.25)</f>
        <v>37</v>
      </c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339"/>
      <c r="AJ760" s="353">
        <f t="shared" si="32"/>
        <v>244</v>
      </c>
    </row>
    <row r="761" spans="1:36">
      <c r="A761" s="332">
        <f t="shared" si="33"/>
        <v>245</v>
      </c>
      <c r="F761" s="365"/>
      <c r="G761" s="366" t="s">
        <v>1116</v>
      </c>
      <c r="H761" s="367">
        <v>25786</v>
      </c>
      <c r="I761" s="351" t="s">
        <v>862</v>
      </c>
      <c r="J761" s="350" t="s">
        <v>863</v>
      </c>
      <c r="K761" s="350">
        <f>INT(('Run Time Parameters'!$E$5-'Data Sample'!H761)/365.25)</f>
        <v>39</v>
      </c>
      <c r="L761" s="368">
        <v>1991</v>
      </c>
      <c r="M761" s="368">
        <v>0</v>
      </c>
      <c r="N761" s="350" t="s">
        <v>867</v>
      </c>
      <c r="O761" s="368">
        <v>0</v>
      </c>
      <c r="P761" s="368">
        <v>0</v>
      </c>
      <c r="Q761" s="367">
        <v>26176</v>
      </c>
      <c r="R761" s="368" t="s">
        <v>870</v>
      </c>
      <c r="S761" s="368" t="s">
        <v>863</v>
      </c>
      <c r="T761" s="350">
        <f>INT(('Run Time Parameters'!$E$5-'Data Sample'!Q761)/365.25)</f>
        <v>38</v>
      </c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339"/>
      <c r="AJ761" s="353">
        <f t="shared" si="32"/>
        <v>245</v>
      </c>
    </row>
    <row r="762" spans="1:36">
      <c r="A762" s="332">
        <f t="shared" si="33"/>
        <v>246</v>
      </c>
      <c r="F762" s="365"/>
      <c r="G762" s="366" t="s">
        <v>1117</v>
      </c>
      <c r="H762" s="367">
        <v>24090.041666666668</v>
      </c>
      <c r="I762" s="351" t="s">
        <v>862</v>
      </c>
      <c r="J762" s="350" t="s">
        <v>863</v>
      </c>
      <c r="K762" s="350">
        <f>INT(('Run Time Parameters'!$E$5-'Data Sample'!H762)/365.25)</f>
        <v>43</v>
      </c>
      <c r="L762" s="368">
        <v>1984</v>
      </c>
      <c r="M762" s="368">
        <v>1</v>
      </c>
      <c r="N762" s="350" t="s">
        <v>864</v>
      </c>
      <c r="O762" s="368">
        <v>0</v>
      </c>
      <c r="P762" s="368">
        <v>0</v>
      </c>
      <c r="Q762" s="367">
        <v>24090.041666666668</v>
      </c>
      <c r="R762" s="368" t="s">
        <v>862</v>
      </c>
      <c r="S762" s="368" t="s">
        <v>863</v>
      </c>
      <c r="T762" s="350">
        <f>INT(('Run Time Parameters'!$E$5-'Data Sample'!Q762)/365.25)</f>
        <v>43</v>
      </c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339"/>
      <c r="AJ762" s="353">
        <f t="shared" si="32"/>
        <v>246</v>
      </c>
    </row>
    <row r="763" spans="1:36">
      <c r="A763" s="332">
        <f t="shared" si="33"/>
        <v>247</v>
      </c>
      <c r="F763" s="365"/>
      <c r="G763" s="366" t="s">
        <v>1118</v>
      </c>
      <c r="H763" s="367">
        <v>22621.041666666668</v>
      </c>
      <c r="I763" s="351" t="s">
        <v>870</v>
      </c>
      <c r="J763" s="350" t="s">
        <v>863</v>
      </c>
      <c r="K763" s="350">
        <f>INT(('Run Time Parameters'!$E$5-'Data Sample'!H763)/365.25)</f>
        <v>47</v>
      </c>
      <c r="L763" s="368">
        <v>1978</v>
      </c>
      <c r="M763" s="368">
        <v>0</v>
      </c>
      <c r="N763" s="350" t="s">
        <v>867</v>
      </c>
      <c r="O763" s="368">
        <v>0</v>
      </c>
      <c r="P763" s="368">
        <v>0</v>
      </c>
      <c r="Q763" s="367">
        <v>27595</v>
      </c>
      <c r="R763" s="368" t="s">
        <v>862</v>
      </c>
      <c r="S763" s="368" t="s">
        <v>863</v>
      </c>
      <c r="T763" s="350">
        <f>INT(('Run Time Parameters'!$E$5-'Data Sample'!Q763)/365.25)</f>
        <v>34</v>
      </c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339"/>
      <c r="AJ763" s="353">
        <f t="shared" si="32"/>
        <v>247</v>
      </c>
    </row>
    <row r="764" spans="1:36">
      <c r="A764" s="332">
        <f t="shared" si="33"/>
        <v>248</v>
      </c>
      <c r="F764" s="365"/>
      <c r="G764" s="366" t="s">
        <v>1119</v>
      </c>
      <c r="H764" s="367">
        <v>23310.041666666668</v>
      </c>
      <c r="I764" s="351" t="s">
        <v>862</v>
      </c>
      <c r="J764" s="350" t="s">
        <v>866</v>
      </c>
      <c r="K764" s="350">
        <f>INT(('Run Time Parameters'!$E$5-'Data Sample'!H764)/365.25)</f>
        <v>46</v>
      </c>
      <c r="L764" s="368">
        <v>1980</v>
      </c>
      <c r="M764" s="368">
        <v>1</v>
      </c>
      <c r="N764" s="350" t="s">
        <v>864</v>
      </c>
      <c r="O764" s="368">
        <v>0</v>
      </c>
      <c r="P764" s="368">
        <v>0</v>
      </c>
      <c r="Q764" s="367">
        <v>23310.041666666668</v>
      </c>
      <c r="R764" s="368" t="s">
        <v>862</v>
      </c>
      <c r="S764" s="368" t="s">
        <v>866</v>
      </c>
      <c r="T764" s="350">
        <f>INT(('Run Time Parameters'!$E$5-'Data Sample'!Q764)/365.25)</f>
        <v>46</v>
      </c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339"/>
      <c r="AJ764" s="353">
        <f t="shared" si="32"/>
        <v>248</v>
      </c>
    </row>
    <row r="765" spans="1:36">
      <c r="A765" s="332">
        <f t="shared" si="33"/>
        <v>249</v>
      </c>
      <c r="F765" s="365"/>
      <c r="G765" s="366" t="s">
        <v>1120</v>
      </c>
      <c r="H765" s="367">
        <v>28359</v>
      </c>
      <c r="I765" s="351" t="s">
        <v>870</v>
      </c>
      <c r="J765" s="350" t="s">
        <v>863</v>
      </c>
      <c r="K765" s="350">
        <f>INT(('Run Time Parameters'!$E$5-'Data Sample'!H765)/365.25)</f>
        <v>32</v>
      </c>
      <c r="L765" s="368">
        <v>1994</v>
      </c>
      <c r="M765" s="368">
        <v>0</v>
      </c>
      <c r="N765" s="350" t="s">
        <v>867</v>
      </c>
      <c r="O765" s="368">
        <v>0</v>
      </c>
      <c r="P765" s="368">
        <v>0</v>
      </c>
      <c r="Q765" s="367">
        <v>28359</v>
      </c>
      <c r="R765" s="368" t="s">
        <v>870</v>
      </c>
      <c r="S765" s="368" t="s">
        <v>863</v>
      </c>
      <c r="T765" s="350">
        <f>INT(('Run Time Parameters'!$E$5-'Data Sample'!Q765)/365.25)</f>
        <v>32</v>
      </c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339"/>
      <c r="AJ765" s="353">
        <f t="shared" si="32"/>
        <v>249</v>
      </c>
    </row>
    <row r="766" spans="1:36">
      <c r="A766" s="332">
        <f t="shared" si="33"/>
        <v>250</v>
      </c>
      <c r="F766" s="365"/>
      <c r="G766" s="366" t="s">
        <v>1121</v>
      </c>
      <c r="H766" s="367">
        <v>24736</v>
      </c>
      <c r="I766" s="351" t="s">
        <v>870</v>
      </c>
      <c r="J766" s="350" t="s">
        <v>863</v>
      </c>
      <c r="K766" s="350">
        <f>INT(('Run Time Parameters'!$E$5-'Data Sample'!H766)/365.25)</f>
        <v>42</v>
      </c>
      <c r="L766" s="368">
        <v>1987</v>
      </c>
      <c r="M766" s="368">
        <v>0</v>
      </c>
      <c r="N766" s="350" t="s">
        <v>867</v>
      </c>
      <c r="O766" s="368">
        <v>0</v>
      </c>
      <c r="P766" s="368">
        <v>0</v>
      </c>
      <c r="Q766" s="367">
        <v>25095</v>
      </c>
      <c r="R766" s="368" t="s">
        <v>862</v>
      </c>
      <c r="S766" s="368" t="s">
        <v>863</v>
      </c>
      <c r="T766" s="350">
        <f>INT(('Run Time Parameters'!$E$5-'Data Sample'!Q766)/365.25)</f>
        <v>41</v>
      </c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339"/>
      <c r="AJ766" s="353">
        <f t="shared" si="32"/>
        <v>250</v>
      </c>
    </row>
    <row r="767" spans="1:36">
      <c r="A767" s="332">
        <f t="shared" si="33"/>
        <v>251</v>
      </c>
      <c r="F767" s="365"/>
      <c r="G767" s="366" t="s">
        <v>1122</v>
      </c>
      <c r="H767" s="367">
        <v>27545</v>
      </c>
      <c r="I767" s="351" t="s">
        <v>870</v>
      </c>
      <c r="J767" s="350" t="s">
        <v>863</v>
      </c>
      <c r="K767" s="350">
        <f>INT(('Run Time Parameters'!$E$5-'Data Sample'!H767)/365.25)</f>
        <v>34</v>
      </c>
      <c r="L767" s="368">
        <v>1992</v>
      </c>
      <c r="M767" s="368">
        <v>1</v>
      </c>
      <c r="N767" s="350" t="s">
        <v>867</v>
      </c>
      <c r="O767" s="368">
        <v>0</v>
      </c>
      <c r="P767" s="368">
        <v>0</v>
      </c>
      <c r="Q767" s="367">
        <v>27545</v>
      </c>
      <c r="R767" s="368" t="s">
        <v>870</v>
      </c>
      <c r="S767" s="368" t="s">
        <v>863</v>
      </c>
      <c r="T767" s="350">
        <f>INT(('Run Time Parameters'!$E$5-'Data Sample'!Q767)/365.25)</f>
        <v>34</v>
      </c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339"/>
      <c r="AJ767" s="353">
        <f t="shared" si="32"/>
        <v>251</v>
      </c>
    </row>
    <row r="768" spans="1:36">
      <c r="A768" s="332">
        <f t="shared" si="33"/>
        <v>252</v>
      </c>
      <c r="F768" s="365"/>
      <c r="G768" s="366" t="s">
        <v>1123</v>
      </c>
      <c r="H768" s="367">
        <v>24441.041666666668</v>
      </c>
      <c r="I768" s="351" t="s">
        <v>862</v>
      </c>
      <c r="J768" s="350" t="s">
        <v>874</v>
      </c>
      <c r="K768" s="350">
        <f>INT(('Run Time Parameters'!$E$5-'Data Sample'!H768)/365.25)</f>
        <v>42</v>
      </c>
      <c r="L768" s="368">
        <v>1983</v>
      </c>
      <c r="M768" s="368">
        <v>0</v>
      </c>
      <c r="N768" s="350" t="s">
        <v>867</v>
      </c>
      <c r="O768" s="368">
        <v>0</v>
      </c>
      <c r="P768" s="368">
        <v>0</v>
      </c>
      <c r="Q768" s="367">
        <v>24441.041666666668</v>
      </c>
      <c r="R768" s="368" t="s">
        <v>862</v>
      </c>
      <c r="S768" s="368" t="s">
        <v>874</v>
      </c>
      <c r="T768" s="350">
        <f>INT(('Run Time Parameters'!$E$5-'Data Sample'!Q768)/365.25)</f>
        <v>42</v>
      </c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339"/>
      <c r="AJ768" s="353">
        <f t="shared" si="32"/>
        <v>252</v>
      </c>
    </row>
    <row r="769" spans="1:36">
      <c r="A769" s="332">
        <f t="shared" si="33"/>
        <v>253</v>
      </c>
      <c r="F769" s="365"/>
      <c r="G769" s="366" t="s">
        <v>1124</v>
      </c>
      <c r="H769" s="367">
        <v>26425</v>
      </c>
      <c r="I769" s="351" t="s">
        <v>862</v>
      </c>
      <c r="J769" s="350" t="s">
        <v>863</v>
      </c>
      <c r="K769" s="350">
        <f>INT(('Run Time Parameters'!$E$5-'Data Sample'!H769)/365.25)</f>
        <v>37</v>
      </c>
      <c r="L769" s="368">
        <v>1989</v>
      </c>
      <c r="M769" s="368">
        <v>1</v>
      </c>
      <c r="N769" s="350" t="s">
        <v>864</v>
      </c>
      <c r="O769" s="368">
        <v>0</v>
      </c>
      <c r="P769" s="368">
        <v>0</v>
      </c>
      <c r="Q769" s="367">
        <v>26425</v>
      </c>
      <c r="R769" s="368" t="s">
        <v>862</v>
      </c>
      <c r="S769" s="368" t="s">
        <v>863</v>
      </c>
      <c r="T769" s="350">
        <f>INT(('Run Time Parameters'!$E$5-'Data Sample'!Q769)/365.25)</f>
        <v>37</v>
      </c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339"/>
      <c r="AJ769" s="353">
        <f t="shared" si="32"/>
        <v>253</v>
      </c>
    </row>
    <row r="770" spans="1:36">
      <c r="A770" s="332">
        <f t="shared" si="33"/>
        <v>254</v>
      </c>
      <c r="F770" s="365"/>
      <c r="G770" s="366" t="s">
        <v>1125</v>
      </c>
      <c r="H770" s="367">
        <v>26520</v>
      </c>
      <c r="I770" s="351" t="s">
        <v>862</v>
      </c>
      <c r="J770" s="350" t="s">
        <v>863</v>
      </c>
      <c r="K770" s="350">
        <f>INT(('Run Time Parameters'!$E$5-'Data Sample'!H770)/365.25)</f>
        <v>37</v>
      </c>
      <c r="L770" s="368">
        <v>1989</v>
      </c>
      <c r="M770" s="368">
        <v>0</v>
      </c>
      <c r="N770" s="350" t="s">
        <v>867</v>
      </c>
      <c r="O770" s="368">
        <v>0</v>
      </c>
      <c r="P770" s="368">
        <v>0</v>
      </c>
      <c r="Q770" s="367">
        <v>26520</v>
      </c>
      <c r="R770" s="368" t="s">
        <v>862</v>
      </c>
      <c r="S770" s="368" t="s">
        <v>863</v>
      </c>
      <c r="T770" s="350">
        <f>INT(('Run Time Parameters'!$E$5-'Data Sample'!Q770)/365.25)</f>
        <v>37</v>
      </c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339"/>
      <c r="AJ770" s="353">
        <f t="shared" si="32"/>
        <v>254</v>
      </c>
    </row>
    <row r="771" spans="1:36">
      <c r="A771" s="332">
        <f t="shared" si="33"/>
        <v>255</v>
      </c>
      <c r="F771" s="365"/>
      <c r="G771" s="366" t="s">
        <v>1126</v>
      </c>
      <c r="H771" s="367">
        <v>30441</v>
      </c>
      <c r="I771" s="351" t="s">
        <v>862</v>
      </c>
      <c r="J771" s="350" t="s">
        <v>863</v>
      </c>
      <c r="K771" s="350">
        <f>INT(('Run Time Parameters'!$E$5-'Data Sample'!H771)/365.25)</f>
        <v>26</v>
      </c>
      <c r="L771" s="368">
        <v>2000</v>
      </c>
      <c r="M771" s="368">
        <v>0</v>
      </c>
      <c r="N771" s="350" t="s">
        <v>867</v>
      </c>
      <c r="O771" s="368">
        <v>0</v>
      </c>
      <c r="P771" s="368">
        <v>0</v>
      </c>
      <c r="Q771" s="367">
        <v>30441</v>
      </c>
      <c r="R771" s="368" t="s">
        <v>862</v>
      </c>
      <c r="S771" s="368" t="s">
        <v>863</v>
      </c>
      <c r="T771" s="350">
        <f>INT(('Run Time Parameters'!$E$5-'Data Sample'!Q771)/365.25)</f>
        <v>26</v>
      </c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339"/>
      <c r="AJ771" s="353">
        <f t="shared" si="32"/>
        <v>255</v>
      </c>
    </row>
    <row r="772" spans="1:36">
      <c r="A772" s="332">
        <f t="shared" si="33"/>
        <v>256</v>
      </c>
      <c r="F772" s="365"/>
      <c r="G772" s="366" t="s">
        <v>1127</v>
      </c>
      <c r="H772" s="367">
        <v>21913.041666666668</v>
      </c>
      <c r="I772" s="351" t="s">
        <v>862</v>
      </c>
      <c r="J772" s="350" t="s">
        <v>863</v>
      </c>
      <c r="K772" s="350">
        <f>INT(('Run Time Parameters'!$E$5-'Data Sample'!H772)/365.25)</f>
        <v>49</v>
      </c>
      <c r="L772" s="368">
        <v>1979</v>
      </c>
      <c r="M772" s="368">
        <v>0</v>
      </c>
      <c r="N772" s="350" t="s">
        <v>867</v>
      </c>
      <c r="O772" s="368">
        <v>0</v>
      </c>
      <c r="P772" s="368">
        <v>0</v>
      </c>
      <c r="Q772" s="367">
        <v>21913.041666666668</v>
      </c>
      <c r="R772" s="368" t="s">
        <v>862</v>
      </c>
      <c r="S772" s="368" t="s">
        <v>863</v>
      </c>
      <c r="T772" s="350">
        <f>INT(('Run Time Parameters'!$E$5-'Data Sample'!Q772)/365.25)</f>
        <v>49</v>
      </c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339"/>
      <c r="AJ772" s="353">
        <f t="shared" si="32"/>
        <v>256</v>
      </c>
    </row>
    <row r="773" spans="1:36">
      <c r="A773" s="332">
        <f t="shared" si="33"/>
        <v>257</v>
      </c>
      <c r="F773" s="365"/>
      <c r="G773" s="366" t="s">
        <v>1128</v>
      </c>
      <c r="H773" s="367">
        <v>26291</v>
      </c>
      <c r="I773" s="351" t="s">
        <v>862</v>
      </c>
      <c r="J773" s="350" t="s">
        <v>863</v>
      </c>
      <c r="K773" s="350">
        <f>INT(('Run Time Parameters'!$E$5-'Data Sample'!H773)/365.25)</f>
        <v>37</v>
      </c>
      <c r="L773" s="368">
        <v>1990</v>
      </c>
      <c r="M773" s="368">
        <v>0</v>
      </c>
      <c r="N773" s="350" t="s">
        <v>867</v>
      </c>
      <c r="O773" s="368">
        <v>0</v>
      </c>
      <c r="P773" s="368">
        <v>0</v>
      </c>
      <c r="Q773" s="367">
        <v>26291</v>
      </c>
      <c r="R773" s="368" t="s">
        <v>862</v>
      </c>
      <c r="S773" s="368" t="s">
        <v>863</v>
      </c>
      <c r="T773" s="350">
        <f>INT(('Run Time Parameters'!$E$5-'Data Sample'!Q773)/365.25)</f>
        <v>37</v>
      </c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339"/>
      <c r="AJ773" s="353">
        <f t="shared" si="32"/>
        <v>257</v>
      </c>
    </row>
    <row r="774" spans="1:36">
      <c r="A774" s="332">
        <f t="shared" si="33"/>
        <v>258</v>
      </c>
      <c r="F774" s="365"/>
      <c r="G774" s="366" t="s">
        <v>1129</v>
      </c>
      <c r="H774" s="367">
        <v>20580</v>
      </c>
      <c r="I774" s="351" t="s">
        <v>870</v>
      </c>
      <c r="J774" s="350" t="s">
        <v>863</v>
      </c>
      <c r="K774" s="350">
        <f>INT(('Run Time Parameters'!$E$5-'Data Sample'!H774)/365.25)</f>
        <v>53</v>
      </c>
      <c r="L774" s="368">
        <v>1974</v>
      </c>
      <c r="M774" s="368">
        <v>0</v>
      </c>
      <c r="N774" s="350" t="s">
        <v>867</v>
      </c>
      <c r="O774" s="368">
        <v>0</v>
      </c>
      <c r="P774" s="368">
        <v>0</v>
      </c>
      <c r="Q774" s="367">
        <v>20580</v>
      </c>
      <c r="R774" s="368" t="s">
        <v>870</v>
      </c>
      <c r="S774" s="368" t="s">
        <v>863</v>
      </c>
      <c r="T774" s="350">
        <f>INT(('Run Time Parameters'!$E$5-'Data Sample'!Q774)/365.25)</f>
        <v>53</v>
      </c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339"/>
      <c r="AJ774" s="353">
        <f t="shared" si="32"/>
        <v>258</v>
      </c>
    </row>
    <row r="775" spans="1:36">
      <c r="A775" s="332">
        <f t="shared" si="33"/>
        <v>259</v>
      </c>
      <c r="F775" s="365"/>
      <c r="G775" s="366" t="s">
        <v>1130</v>
      </c>
      <c r="H775" s="367">
        <v>29789</v>
      </c>
      <c r="I775" s="351" t="s">
        <v>870</v>
      </c>
      <c r="J775" s="350" t="s">
        <v>863</v>
      </c>
      <c r="K775" s="350">
        <f>INT(('Run Time Parameters'!$E$5-'Data Sample'!H775)/365.25)</f>
        <v>28</v>
      </c>
      <c r="L775" s="368">
        <v>1998</v>
      </c>
      <c r="M775" s="368">
        <v>0</v>
      </c>
      <c r="N775" s="350" t="s">
        <v>864</v>
      </c>
      <c r="O775" s="368">
        <v>0</v>
      </c>
      <c r="P775" s="368">
        <v>0</v>
      </c>
      <c r="Q775" s="367">
        <v>29789</v>
      </c>
      <c r="R775" s="368" t="s">
        <v>870</v>
      </c>
      <c r="S775" s="368" t="s">
        <v>863</v>
      </c>
      <c r="T775" s="350">
        <f>INT(('Run Time Parameters'!$E$5-'Data Sample'!Q775)/365.25)</f>
        <v>28</v>
      </c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339"/>
      <c r="AJ775" s="353">
        <f t="shared" ref="AJ775:AJ838" si="34">AJ774+1</f>
        <v>259</v>
      </c>
    </row>
    <row r="776" spans="1:36">
      <c r="A776" s="332">
        <f t="shared" si="33"/>
        <v>260</v>
      </c>
      <c r="F776" s="365"/>
      <c r="G776" s="366" t="s">
        <v>1131</v>
      </c>
      <c r="H776" s="367">
        <v>17655</v>
      </c>
      <c r="I776" s="351" t="s">
        <v>870</v>
      </c>
      <c r="J776" s="350" t="s">
        <v>863</v>
      </c>
      <c r="K776" s="350">
        <f>INT(('Run Time Parameters'!$E$5-'Data Sample'!H776)/365.25)</f>
        <v>61</v>
      </c>
      <c r="L776" s="368">
        <v>1965</v>
      </c>
      <c r="M776" s="368">
        <v>0</v>
      </c>
      <c r="N776" s="350" t="s">
        <v>867</v>
      </c>
      <c r="O776" s="368">
        <v>0</v>
      </c>
      <c r="P776" s="368">
        <v>0</v>
      </c>
      <c r="Q776" s="367">
        <v>17655</v>
      </c>
      <c r="R776" s="368" t="s">
        <v>870</v>
      </c>
      <c r="S776" s="368" t="s">
        <v>863</v>
      </c>
      <c r="T776" s="350">
        <f>INT(('Run Time Parameters'!$E$5-'Data Sample'!Q776)/365.25)</f>
        <v>61</v>
      </c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339"/>
      <c r="AJ776" s="353">
        <f t="shared" si="34"/>
        <v>260</v>
      </c>
    </row>
    <row r="777" spans="1:36">
      <c r="A777" s="332">
        <f t="shared" si="33"/>
        <v>261</v>
      </c>
      <c r="F777" s="365"/>
      <c r="G777" s="366" t="s">
        <v>1132</v>
      </c>
      <c r="H777" s="367">
        <v>21644.041666666668</v>
      </c>
      <c r="I777" s="351" t="s">
        <v>870</v>
      </c>
      <c r="J777" s="350" t="s">
        <v>863</v>
      </c>
      <c r="K777" s="350">
        <f>INT(('Run Time Parameters'!$E$5-'Data Sample'!H777)/365.25)</f>
        <v>50</v>
      </c>
      <c r="L777" s="368">
        <v>1976</v>
      </c>
      <c r="M777" s="368">
        <v>0</v>
      </c>
      <c r="N777" s="350" t="s">
        <v>867</v>
      </c>
      <c r="O777" s="368">
        <v>0</v>
      </c>
      <c r="P777" s="368">
        <v>0</v>
      </c>
      <c r="Q777" s="367">
        <v>23746.041666666668</v>
      </c>
      <c r="R777" s="368" t="s">
        <v>862</v>
      </c>
      <c r="S777" s="368" t="s">
        <v>863</v>
      </c>
      <c r="T777" s="350">
        <f>INT(('Run Time Parameters'!$E$5-'Data Sample'!Q777)/365.25)</f>
        <v>44</v>
      </c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339"/>
      <c r="AJ777" s="353">
        <f t="shared" si="34"/>
        <v>261</v>
      </c>
    </row>
    <row r="778" spans="1:36">
      <c r="A778" s="332">
        <f t="shared" ref="A778:A841" si="35">1+A777</f>
        <v>262</v>
      </c>
      <c r="F778" s="365"/>
      <c r="G778" s="366" t="s">
        <v>1133</v>
      </c>
      <c r="H778" s="367">
        <v>11030.041666666666</v>
      </c>
      <c r="I778" s="351" t="s">
        <v>870</v>
      </c>
      <c r="J778" s="350" t="s">
        <v>863</v>
      </c>
      <c r="K778" s="350">
        <f>INT(('Run Time Parameters'!$E$5-'Data Sample'!H778)/365.25)</f>
        <v>79</v>
      </c>
      <c r="L778" s="368">
        <v>1947</v>
      </c>
      <c r="M778" s="368">
        <v>0</v>
      </c>
      <c r="N778" s="350" t="s">
        <v>867</v>
      </c>
      <c r="O778" s="368">
        <v>0</v>
      </c>
      <c r="P778" s="368">
        <v>0</v>
      </c>
      <c r="Q778" s="367">
        <v>11030.041666666666</v>
      </c>
      <c r="R778" s="368" t="s">
        <v>870</v>
      </c>
      <c r="S778" s="368" t="s">
        <v>863</v>
      </c>
      <c r="T778" s="350">
        <f>INT(('Run Time Parameters'!$E$5-'Data Sample'!Q778)/365.25)</f>
        <v>79</v>
      </c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339"/>
      <c r="AJ778" s="353">
        <f t="shared" si="34"/>
        <v>262</v>
      </c>
    </row>
    <row r="779" spans="1:36">
      <c r="A779" s="332">
        <f t="shared" si="35"/>
        <v>263</v>
      </c>
      <c r="F779" s="365"/>
      <c r="G779" s="366" t="s">
        <v>1134</v>
      </c>
      <c r="H779" s="367">
        <v>24345</v>
      </c>
      <c r="I779" s="351" t="s">
        <v>870</v>
      </c>
      <c r="J779" s="350" t="s">
        <v>863</v>
      </c>
      <c r="K779" s="350">
        <f>INT(('Run Time Parameters'!$E$5-'Data Sample'!H779)/365.25)</f>
        <v>43</v>
      </c>
      <c r="L779" s="368">
        <v>1986</v>
      </c>
      <c r="M779" s="368">
        <v>0</v>
      </c>
      <c r="N779" s="350" t="s">
        <v>867</v>
      </c>
      <c r="O779" s="368">
        <v>0</v>
      </c>
      <c r="P779" s="368">
        <v>0</v>
      </c>
      <c r="Q779" s="367">
        <v>24345</v>
      </c>
      <c r="R779" s="368" t="s">
        <v>870</v>
      </c>
      <c r="S779" s="368" t="s">
        <v>863</v>
      </c>
      <c r="T779" s="350">
        <f>INT(('Run Time Parameters'!$E$5-'Data Sample'!Q779)/365.25)</f>
        <v>43</v>
      </c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339"/>
      <c r="AJ779" s="353">
        <f t="shared" si="34"/>
        <v>263</v>
      </c>
    </row>
    <row r="780" spans="1:36">
      <c r="A780" s="332">
        <f t="shared" si="35"/>
        <v>264</v>
      </c>
      <c r="F780" s="365"/>
      <c r="G780" s="366" t="s">
        <v>1135</v>
      </c>
      <c r="H780" s="367">
        <v>25411</v>
      </c>
      <c r="I780" s="351" t="s">
        <v>862</v>
      </c>
      <c r="J780" s="350" t="s">
        <v>863</v>
      </c>
      <c r="K780" s="350">
        <f>INT(('Run Time Parameters'!$E$5-'Data Sample'!H780)/365.25)</f>
        <v>40</v>
      </c>
      <c r="L780" s="368">
        <v>1986</v>
      </c>
      <c r="M780" s="368">
        <v>0</v>
      </c>
      <c r="N780" s="350" t="s">
        <v>867</v>
      </c>
      <c r="O780" s="368">
        <v>0</v>
      </c>
      <c r="P780" s="368">
        <v>0</v>
      </c>
      <c r="Q780" s="367">
        <v>25411</v>
      </c>
      <c r="R780" s="368" t="s">
        <v>862</v>
      </c>
      <c r="S780" s="368" t="s">
        <v>863</v>
      </c>
      <c r="T780" s="350">
        <f>INT(('Run Time Parameters'!$E$5-'Data Sample'!Q780)/365.25)</f>
        <v>40</v>
      </c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339"/>
      <c r="AJ780" s="353">
        <f t="shared" si="34"/>
        <v>264</v>
      </c>
    </row>
    <row r="781" spans="1:36">
      <c r="A781" s="332">
        <f t="shared" si="35"/>
        <v>265</v>
      </c>
      <c r="F781" s="365"/>
      <c r="G781" s="366" t="s">
        <v>1136</v>
      </c>
      <c r="H781" s="367">
        <v>21502.041666666668</v>
      </c>
      <c r="I781" s="351" t="s">
        <v>870</v>
      </c>
      <c r="J781" s="350" t="s">
        <v>863</v>
      </c>
      <c r="K781" s="350">
        <f>INT(('Run Time Parameters'!$E$5-'Data Sample'!H781)/365.25)</f>
        <v>50</v>
      </c>
      <c r="L781" s="368">
        <v>1984</v>
      </c>
      <c r="M781" s="368">
        <v>0</v>
      </c>
      <c r="N781" s="350" t="s">
        <v>867</v>
      </c>
      <c r="O781" s="368">
        <v>0</v>
      </c>
      <c r="P781" s="368">
        <v>0</v>
      </c>
      <c r="Q781" s="367">
        <v>24787.041666666668</v>
      </c>
      <c r="R781" s="368" t="s">
        <v>862</v>
      </c>
      <c r="S781" s="368" t="s">
        <v>863</v>
      </c>
      <c r="T781" s="350">
        <f>INT(('Run Time Parameters'!$E$5-'Data Sample'!Q781)/365.25)</f>
        <v>41</v>
      </c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339"/>
      <c r="AJ781" s="353">
        <f t="shared" si="34"/>
        <v>265</v>
      </c>
    </row>
    <row r="782" spans="1:36">
      <c r="A782" s="332">
        <f t="shared" si="35"/>
        <v>266</v>
      </c>
      <c r="F782" s="365"/>
      <c r="G782" s="366" t="s">
        <v>1137</v>
      </c>
      <c r="H782" s="367">
        <v>17510.041666666668</v>
      </c>
      <c r="I782" s="351" t="s">
        <v>862</v>
      </c>
      <c r="J782" s="350" t="s">
        <v>863</v>
      </c>
      <c r="K782" s="350">
        <f>INT(('Run Time Parameters'!$E$5-'Data Sample'!H782)/365.25)</f>
        <v>61</v>
      </c>
      <c r="L782" s="368">
        <v>1970</v>
      </c>
      <c r="M782" s="368">
        <v>0</v>
      </c>
      <c r="N782" s="350" t="s">
        <v>867</v>
      </c>
      <c r="O782" s="368">
        <v>0</v>
      </c>
      <c r="P782" s="368">
        <v>0</v>
      </c>
      <c r="Q782" s="367">
        <v>17510.041666666668</v>
      </c>
      <c r="R782" s="368" t="s">
        <v>862</v>
      </c>
      <c r="S782" s="368" t="s">
        <v>863</v>
      </c>
      <c r="T782" s="350">
        <f>INT(('Run Time Parameters'!$E$5-'Data Sample'!Q782)/365.25)</f>
        <v>61</v>
      </c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339"/>
      <c r="AJ782" s="353">
        <f t="shared" si="34"/>
        <v>266</v>
      </c>
    </row>
    <row r="783" spans="1:36">
      <c r="A783" s="332">
        <f t="shared" si="35"/>
        <v>267</v>
      </c>
      <c r="F783" s="365"/>
      <c r="G783" s="366" t="s">
        <v>1138</v>
      </c>
      <c r="H783" s="367">
        <v>28276</v>
      </c>
      <c r="I783" s="351" t="s">
        <v>870</v>
      </c>
      <c r="J783" s="350" t="s">
        <v>863</v>
      </c>
      <c r="K783" s="350">
        <f>INT(('Run Time Parameters'!$E$5-'Data Sample'!H783)/365.25)</f>
        <v>32</v>
      </c>
      <c r="L783" s="368">
        <v>1994</v>
      </c>
      <c r="M783" s="368">
        <v>0</v>
      </c>
      <c r="N783" s="350" t="s">
        <v>867</v>
      </c>
      <c r="O783" s="368">
        <v>0</v>
      </c>
      <c r="P783" s="368">
        <v>0</v>
      </c>
      <c r="Q783" s="367">
        <v>28276</v>
      </c>
      <c r="R783" s="368" t="s">
        <v>870</v>
      </c>
      <c r="S783" s="368" t="s">
        <v>863</v>
      </c>
      <c r="T783" s="350">
        <f>INT(('Run Time Parameters'!$E$5-'Data Sample'!Q783)/365.25)</f>
        <v>32</v>
      </c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339"/>
      <c r="AJ783" s="353">
        <f t="shared" si="34"/>
        <v>267</v>
      </c>
    </row>
    <row r="784" spans="1:36">
      <c r="A784" s="332">
        <f t="shared" si="35"/>
        <v>268</v>
      </c>
      <c r="F784" s="365"/>
      <c r="G784" s="366" t="s">
        <v>1139</v>
      </c>
      <c r="H784" s="367">
        <v>21385</v>
      </c>
      <c r="I784" s="351" t="s">
        <v>870</v>
      </c>
      <c r="J784" s="350" t="s">
        <v>863</v>
      </c>
      <c r="K784" s="350">
        <f>INT(('Run Time Parameters'!$E$5-'Data Sample'!H784)/365.25)</f>
        <v>51</v>
      </c>
      <c r="L784" s="368">
        <v>1976</v>
      </c>
      <c r="M784" s="368">
        <v>0</v>
      </c>
      <c r="N784" s="350" t="s">
        <v>867</v>
      </c>
      <c r="O784" s="368">
        <v>0</v>
      </c>
      <c r="P784" s="368">
        <v>0</v>
      </c>
      <c r="Q784" s="367">
        <v>23801.041666666668</v>
      </c>
      <c r="R784" s="368" t="s">
        <v>862</v>
      </c>
      <c r="S784" s="368" t="s">
        <v>863</v>
      </c>
      <c r="T784" s="350">
        <f>INT(('Run Time Parameters'!$E$5-'Data Sample'!Q784)/365.25)</f>
        <v>44</v>
      </c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339"/>
      <c r="AJ784" s="353">
        <f t="shared" si="34"/>
        <v>268</v>
      </c>
    </row>
    <row r="785" spans="1:36">
      <c r="A785" s="332">
        <f t="shared" si="35"/>
        <v>269</v>
      </c>
      <c r="F785" s="365"/>
      <c r="G785" s="366" t="s">
        <v>1140</v>
      </c>
      <c r="H785" s="367">
        <v>27373</v>
      </c>
      <c r="I785" s="351" t="s">
        <v>862</v>
      </c>
      <c r="J785" s="350" t="s">
        <v>863</v>
      </c>
      <c r="K785" s="350">
        <f>INT(('Run Time Parameters'!$E$5-'Data Sample'!H785)/365.25)</f>
        <v>34</v>
      </c>
      <c r="L785" s="368">
        <v>1991</v>
      </c>
      <c r="M785" s="368">
        <v>0</v>
      </c>
      <c r="N785" s="350" t="s">
        <v>867</v>
      </c>
      <c r="O785" s="368">
        <v>0</v>
      </c>
      <c r="P785" s="368">
        <v>0</v>
      </c>
      <c r="Q785" s="367">
        <v>28563.041666666668</v>
      </c>
      <c r="R785" s="368" t="s">
        <v>870</v>
      </c>
      <c r="S785" s="368" t="s">
        <v>863</v>
      </c>
      <c r="T785" s="350">
        <f>INT(('Run Time Parameters'!$E$5-'Data Sample'!Q785)/365.25)</f>
        <v>31</v>
      </c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339"/>
      <c r="AJ785" s="353">
        <f t="shared" si="34"/>
        <v>269</v>
      </c>
    </row>
    <row r="786" spans="1:36">
      <c r="A786" s="332">
        <f t="shared" si="35"/>
        <v>270</v>
      </c>
      <c r="F786" s="365"/>
      <c r="G786" s="366" t="s">
        <v>1141</v>
      </c>
      <c r="H786" s="367">
        <v>27720</v>
      </c>
      <c r="I786" s="351" t="s">
        <v>862</v>
      </c>
      <c r="J786" s="350" t="s">
        <v>863</v>
      </c>
      <c r="K786" s="350">
        <f>INT(('Run Time Parameters'!$E$5-'Data Sample'!H786)/365.25)</f>
        <v>33</v>
      </c>
      <c r="L786" s="368">
        <v>2004</v>
      </c>
      <c r="M786" s="368">
        <v>0</v>
      </c>
      <c r="N786" s="350" t="s">
        <v>867</v>
      </c>
      <c r="O786" s="368">
        <v>0</v>
      </c>
      <c r="P786" s="368">
        <v>0</v>
      </c>
      <c r="Q786" s="367">
        <v>27720</v>
      </c>
      <c r="R786" s="368" t="s">
        <v>862</v>
      </c>
      <c r="S786" s="368" t="s">
        <v>863</v>
      </c>
      <c r="T786" s="350">
        <f>INT(('Run Time Parameters'!$E$5-'Data Sample'!Q786)/365.25)</f>
        <v>33</v>
      </c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339"/>
      <c r="AJ786" s="353">
        <f t="shared" si="34"/>
        <v>270</v>
      </c>
    </row>
    <row r="787" spans="1:36">
      <c r="A787" s="332">
        <f t="shared" si="35"/>
        <v>271</v>
      </c>
      <c r="F787" s="365"/>
      <c r="G787" s="366" t="s">
        <v>1142</v>
      </c>
      <c r="H787" s="367">
        <v>23992</v>
      </c>
      <c r="I787" s="351" t="s">
        <v>862</v>
      </c>
      <c r="J787" s="350" t="s">
        <v>915</v>
      </c>
      <c r="K787" s="350">
        <f>INT(('Run Time Parameters'!$E$5-'Data Sample'!H787)/365.25)</f>
        <v>44</v>
      </c>
      <c r="L787" s="368">
        <v>1982</v>
      </c>
      <c r="M787" s="368">
        <v>0</v>
      </c>
      <c r="N787" s="350" t="s">
        <v>864</v>
      </c>
      <c r="O787" s="368">
        <v>0</v>
      </c>
      <c r="P787" s="368">
        <v>0</v>
      </c>
      <c r="Q787" s="367">
        <v>23992</v>
      </c>
      <c r="R787" s="368" t="s">
        <v>862</v>
      </c>
      <c r="S787" s="368" t="s">
        <v>915</v>
      </c>
      <c r="T787" s="350">
        <f>INT(('Run Time Parameters'!$E$5-'Data Sample'!Q787)/365.25)</f>
        <v>44</v>
      </c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339"/>
      <c r="AJ787" s="353">
        <f t="shared" si="34"/>
        <v>271</v>
      </c>
    </row>
    <row r="788" spans="1:36">
      <c r="A788" s="332">
        <f t="shared" si="35"/>
        <v>272</v>
      </c>
      <c r="F788" s="365"/>
      <c r="G788" s="366" t="s">
        <v>1143</v>
      </c>
      <c r="H788" s="367">
        <v>23173</v>
      </c>
      <c r="I788" s="351" t="s">
        <v>862</v>
      </c>
      <c r="J788" s="350" t="s">
        <v>863</v>
      </c>
      <c r="K788" s="350">
        <f>INT(('Run Time Parameters'!$E$5-'Data Sample'!H788)/365.25)</f>
        <v>46</v>
      </c>
      <c r="L788" s="368">
        <v>1980</v>
      </c>
      <c r="M788" s="368">
        <v>0</v>
      </c>
      <c r="N788" s="350" t="s">
        <v>867</v>
      </c>
      <c r="O788" s="368">
        <v>0</v>
      </c>
      <c r="P788" s="368">
        <v>0</v>
      </c>
      <c r="Q788" s="367">
        <v>23173</v>
      </c>
      <c r="R788" s="368" t="s">
        <v>862</v>
      </c>
      <c r="S788" s="368" t="s">
        <v>863</v>
      </c>
      <c r="T788" s="350">
        <f>INT(('Run Time Parameters'!$E$5-'Data Sample'!Q788)/365.25)</f>
        <v>46</v>
      </c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339"/>
      <c r="AJ788" s="353">
        <f t="shared" si="34"/>
        <v>272</v>
      </c>
    </row>
    <row r="789" spans="1:36">
      <c r="A789" s="332">
        <f t="shared" si="35"/>
        <v>273</v>
      </c>
      <c r="F789" s="365"/>
      <c r="G789" s="366" t="s">
        <v>1144</v>
      </c>
      <c r="H789" s="367">
        <v>24220</v>
      </c>
      <c r="I789" s="351" t="s">
        <v>862</v>
      </c>
      <c r="J789" s="350" t="s">
        <v>863</v>
      </c>
      <c r="K789" s="350">
        <f>INT(('Run Time Parameters'!$E$5-'Data Sample'!H789)/365.25)</f>
        <v>43</v>
      </c>
      <c r="L789" s="368">
        <v>1985</v>
      </c>
      <c r="M789" s="368">
        <v>1</v>
      </c>
      <c r="N789" s="350" t="s">
        <v>867</v>
      </c>
      <c r="O789" s="368">
        <v>0</v>
      </c>
      <c r="P789" s="368">
        <v>0</v>
      </c>
      <c r="Q789" s="367">
        <v>24220</v>
      </c>
      <c r="R789" s="368" t="s">
        <v>862</v>
      </c>
      <c r="S789" s="368" t="s">
        <v>863</v>
      </c>
      <c r="T789" s="350">
        <f>INT(('Run Time Parameters'!$E$5-'Data Sample'!Q789)/365.25)</f>
        <v>43</v>
      </c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339"/>
      <c r="AJ789" s="353">
        <f t="shared" si="34"/>
        <v>273</v>
      </c>
    </row>
    <row r="790" spans="1:36">
      <c r="A790" s="332">
        <f t="shared" si="35"/>
        <v>274</v>
      </c>
      <c r="F790" s="365"/>
      <c r="G790" s="366" t="s">
        <v>1145</v>
      </c>
      <c r="H790" s="367">
        <v>14182.041666666666</v>
      </c>
      <c r="I790" s="351" t="s">
        <v>870</v>
      </c>
      <c r="J790" s="350" t="s">
        <v>863</v>
      </c>
      <c r="K790" s="350">
        <f>INT(('Run Time Parameters'!$E$5-'Data Sample'!H790)/365.25)</f>
        <v>71</v>
      </c>
      <c r="L790" s="368">
        <v>1955</v>
      </c>
      <c r="M790" s="368">
        <v>0</v>
      </c>
      <c r="N790" s="350" t="s">
        <v>864</v>
      </c>
      <c r="O790" s="368">
        <v>0</v>
      </c>
      <c r="P790" s="368">
        <v>0</v>
      </c>
      <c r="Q790" s="367">
        <v>15640</v>
      </c>
      <c r="R790" s="368" t="s">
        <v>862</v>
      </c>
      <c r="S790" s="368" t="s">
        <v>863</v>
      </c>
      <c r="T790" s="350">
        <f>INT(('Run Time Parameters'!$E$5-'Data Sample'!Q790)/365.25)</f>
        <v>67</v>
      </c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339"/>
      <c r="AJ790" s="353">
        <f t="shared" si="34"/>
        <v>274</v>
      </c>
    </row>
    <row r="791" spans="1:36">
      <c r="A791" s="332">
        <f t="shared" si="35"/>
        <v>275</v>
      </c>
      <c r="F791" s="365"/>
      <c r="G791" s="366" t="s">
        <v>1146</v>
      </c>
      <c r="H791" s="367">
        <v>13083.041666666666</v>
      </c>
      <c r="I791" s="351" t="s">
        <v>862</v>
      </c>
      <c r="J791" s="350" t="s">
        <v>863</v>
      </c>
      <c r="K791" s="350">
        <f>INT(('Run Time Parameters'!$E$5-'Data Sample'!H791)/365.25)</f>
        <v>74</v>
      </c>
      <c r="L791" s="368">
        <v>1952</v>
      </c>
      <c r="M791" s="368">
        <v>1</v>
      </c>
      <c r="N791" s="350" t="s">
        <v>867</v>
      </c>
      <c r="O791" s="368">
        <v>0</v>
      </c>
      <c r="P791" s="368">
        <v>0</v>
      </c>
      <c r="Q791" s="367">
        <v>13083.041666666666</v>
      </c>
      <c r="R791" s="368" t="s">
        <v>862</v>
      </c>
      <c r="S791" s="368" t="s">
        <v>863</v>
      </c>
      <c r="T791" s="350">
        <f>INT(('Run Time Parameters'!$E$5-'Data Sample'!Q791)/365.25)</f>
        <v>74</v>
      </c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339"/>
      <c r="AJ791" s="353">
        <f t="shared" si="34"/>
        <v>275</v>
      </c>
    </row>
    <row r="792" spans="1:36">
      <c r="A792" s="332">
        <f t="shared" si="35"/>
        <v>276</v>
      </c>
      <c r="F792" s="365"/>
      <c r="G792" s="366" t="s">
        <v>1147</v>
      </c>
      <c r="H792" s="367">
        <v>26272</v>
      </c>
      <c r="I792" s="351" t="s">
        <v>862</v>
      </c>
      <c r="J792" s="350" t="s">
        <v>863</v>
      </c>
      <c r="K792" s="350">
        <f>INT(('Run Time Parameters'!$E$5-'Data Sample'!H792)/365.25)</f>
        <v>37</v>
      </c>
      <c r="L792" s="368">
        <v>1995</v>
      </c>
      <c r="M792" s="368">
        <v>1</v>
      </c>
      <c r="N792" s="350" t="s">
        <v>867</v>
      </c>
      <c r="O792" s="368">
        <v>0</v>
      </c>
      <c r="P792" s="368">
        <v>0</v>
      </c>
      <c r="Q792" s="367">
        <v>26272</v>
      </c>
      <c r="R792" s="368" t="s">
        <v>862</v>
      </c>
      <c r="S792" s="368" t="s">
        <v>863</v>
      </c>
      <c r="T792" s="350">
        <f>INT(('Run Time Parameters'!$E$5-'Data Sample'!Q792)/365.25)</f>
        <v>37</v>
      </c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339"/>
      <c r="AJ792" s="353">
        <f t="shared" si="34"/>
        <v>276</v>
      </c>
    </row>
    <row r="793" spans="1:36">
      <c r="A793" s="332">
        <f t="shared" si="35"/>
        <v>277</v>
      </c>
      <c r="F793" s="365"/>
      <c r="G793" s="366" t="s">
        <v>1148</v>
      </c>
      <c r="H793" s="367">
        <v>26065</v>
      </c>
      <c r="I793" s="351" t="s">
        <v>870</v>
      </c>
      <c r="J793" s="350" t="s">
        <v>863</v>
      </c>
      <c r="K793" s="350">
        <f>INT(('Run Time Parameters'!$E$5-'Data Sample'!H793)/365.25)</f>
        <v>38</v>
      </c>
      <c r="L793" s="368">
        <v>1999</v>
      </c>
      <c r="M793" s="368">
        <v>0</v>
      </c>
      <c r="N793" s="350" t="s">
        <v>867</v>
      </c>
      <c r="O793" s="368">
        <v>0</v>
      </c>
      <c r="P793" s="368">
        <v>0</v>
      </c>
      <c r="Q793" s="367">
        <v>27825</v>
      </c>
      <c r="R793" s="368" t="s">
        <v>862</v>
      </c>
      <c r="S793" s="368" t="s">
        <v>863</v>
      </c>
      <c r="T793" s="350">
        <f>INT(('Run Time Parameters'!$E$5-'Data Sample'!Q793)/365.25)</f>
        <v>33</v>
      </c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339"/>
      <c r="AJ793" s="353">
        <f t="shared" si="34"/>
        <v>277</v>
      </c>
    </row>
    <row r="794" spans="1:36">
      <c r="A794" s="332">
        <f t="shared" si="35"/>
        <v>278</v>
      </c>
      <c r="F794" s="365"/>
      <c r="G794" s="366" t="s">
        <v>1149</v>
      </c>
      <c r="H794" s="367">
        <v>12536</v>
      </c>
      <c r="I794" s="351" t="s">
        <v>870</v>
      </c>
      <c r="J794" s="350" t="s">
        <v>863</v>
      </c>
      <c r="K794" s="350">
        <f>INT(('Run Time Parameters'!$E$5-'Data Sample'!H794)/365.25)</f>
        <v>75</v>
      </c>
      <c r="L794" s="368">
        <v>1951</v>
      </c>
      <c r="M794" s="368">
        <v>0</v>
      </c>
      <c r="N794" s="350" t="s">
        <v>867</v>
      </c>
      <c r="O794" s="368">
        <v>0</v>
      </c>
      <c r="P794" s="368">
        <v>0</v>
      </c>
      <c r="Q794" s="367">
        <v>14599.041666666666</v>
      </c>
      <c r="R794" s="368" t="s">
        <v>862</v>
      </c>
      <c r="S794" s="368" t="s">
        <v>863</v>
      </c>
      <c r="T794" s="350">
        <f>INT(('Run Time Parameters'!$E$5-'Data Sample'!Q794)/365.25)</f>
        <v>69</v>
      </c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339"/>
      <c r="AJ794" s="353">
        <f t="shared" si="34"/>
        <v>278</v>
      </c>
    </row>
    <row r="795" spans="1:36">
      <c r="A795" s="332">
        <f t="shared" si="35"/>
        <v>279</v>
      </c>
      <c r="F795" s="365"/>
      <c r="G795" s="366" t="s">
        <v>1150</v>
      </c>
      <c r="H795" s="367">
        <v>15087</v>
      </c>
      <c r="I795" s="351" t="s">
        <v>870</v>
      </c>
      <c r="J795" s="350" t="s">
        <v>863</v>
      </c>
      <c r="K795" s="350">
        <f>INT(('Run Time Parameters'!$E$5-'Data Sample'!H795)/365.25)</f>
        <v>68</v>
      </c>
      <c r="L795" s="368">
        <v>1958</v>
      </c>
      <c r="M795" s="368">
        <v>0</v>
      </c>
      <c r="N795" s="350" t="s">
        <v>867</v>
      </c>
      <c r="O795" s="368">
        <v>0</v>
      </c>
      <c r="P795" s="368">
        <v>0</v>
      </c>
      <c r="Q795" s="367">
        <v>15087</v>
      </c>
      <c r="R795" s="368" t="s">
        <v>870</v>
      </c>
      <c r="S795" s="368" t="s">
        <v>863</v>
      </c>
      <c r="T795" s="350">
        <f>INT(('Run Time Parameters'!$E$5-'Data Sample'!Q795)/365.25)</f>
        <v>68</v>
      </c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339"/>
      <c r="AJ795" s="353">
        <f t="shared" si="34"/>
        <v>279</v>
      </c>
    </row>
    <row r="796" spans="1:36">
      <c r="A796" s="332">
        <f t="shared" si="35"/>
        <v>280</v>
      </c>
      <c r="F796" s="365"/>
      <c r="G796" s="366" t="s">
        <v>1151</v>
      </c>
      <c r="H796" s="367">
        <v>26065</v>
      </c>
      <c r="I796" s="351" t="s">
        <v>870</v>
      </c>
      <c r="J796" s="350" t="s">
        <v>863</v>
      </c>
      <c r="K796" s="350">
        <f>INT(('Run Time Parameters'!$E$5-'Data Sample'!H796)/365.25)</f>
        <v>38</v>
      </c>
      <c r="L796" s="368">
        <v>1999</v>
      </c>
      <c r="M796" s="368">
        <v>0</v>
      </c>
      <c r="N796" s="350" t="s">
        <v>867</v>
      </c>
      <c r="O796" s="368">
        <v>0</v>
      </c>
      <c r="P796" s="368">
        <v>0</v>
      </c>
      <c r="Q796" s="367">
        <v>27825</v>
      </c>
      <c r="R796" s="368" t="s">
        <v>862</v>
      </c>
      <c r="S796" s="368" t="s">
        <v>863</v>
      </c>
      <c r="T796" s="350">
        <f>INT(('Run Time Parameters'!$E$5-'Data Sample'!Q796)/365.25)</f>
        <v>33</v>
      </c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339"/>
      <c r="AJ796" s="353">
        <f t="shared" si="34"/>
        <v>280</v>
      </c>
    </row>
    <row r="797" spans="1:36">
      <c r="A797" s="332">
        <f t="shared" si="35"/>
        <v>281</v>
      </c>
      <c r="F797" s="365"/>
      <c r="G797" s="366" t="s">
        <v>1152</v>
      </c>
      <c r="H797" s="367">
        <v>25450</v>
      </c>
      <c r="I797" s="351" t="s">
        <v>870</v>
      </c>
      <c r="J797" s="350" t="s">
        <v>863</v>
      </c>
      <c r="K797" s="350">
        <f>INT(('Run Time Parameters'!$E$5-'Data Sample'!H797)/365.25)</f>
        <v>40</v>
      </c>
      <c r="L797" s="368">
        <v>1988</v>
      </c>
      <c r="M797" s="368">
        <v>0</v>
      </c>
      <c r="N797" s="350" t="s">
        <v>867</v>
      </c>
      <c r="O797" s="368">
        <v>0</v>
      </c>
      <c r="P797" s="368">
        <v>0</v>
      </c>
      <c r="Q797" s="367">
        <v>25450</v>
      </c>
      <c r="R797" s="368" t="s">
        <v>870</v>
      </c>
      <c r="S797" s="368" t="s">
        <v>863</v>
      </c>
      <c r="T797" s="350">
        <f>INT(('Run Time Parameters'!$E$5-'Data Sample'!Q797)/365.25)</f>
        <v>40</v>
      </c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339"/>
      <c r="AJ797" s="353">
        <f t="shared" si="34"/>
        <v>281</v>
      </c>
    </row>
    <row r="798" spans="1:36">
      <c r="A798" s="332">
        <f t="shared" si="35"/>
        <v>282</v>
      </c>
      <c r="F798" s="365"/>
      <c r="G798" s="366" t="s">
        <v>1153</v>
      </c>
      <c r="H798" s="367">
        <v>28013</v>
      </c>
      <c r="I798" s="351" t="s">
        <v>862</v>
      </c>
      <c r="J798" s="350" t="s">
        <v>863</v>
      </c>
      <c r="K798" s="350">
        <f>INT(('Run Time Parameters'!$E$5-'Data Sample'!H798)/365.25)</f>
        <v>33</v>
      </c>
      <c r="L798" s="368">
        <v>1993</v>
      </c>
      <c r="M798" s="368">
        <v>0</v>
      </c>
      <c r="N798" s="350" t="s">
        <v>867</v>
      </c>
      <c r="O798" s="368">
        <v>0</v>
      </c>
      <c r="P798" s="368">
        <v>0</v>
      </c>
      <c r="Q798" s="367">
        <v>28013</v>
      </c>
      <c r="R798" s="368" t="s">
        <v>862</v>
      </c>
      <c r="S798" s="368" t="s">
        <v>863</v>
      </c>
      <c r="T798" s="350">
        <f>INT(('Run Time Parameters'!$E$5-'Data Sample'!Q798)/365.25)</f>
        <v>33</v>
      </c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339"/>
      <c r="AJ798" s="353">
        <f t="shared" si="34"/>
        <v>282</v>
      </c>
    </row>
    <row r="799" spans="1:36">
      <c r="A799" s="332">
        <f t="shared" si="35"/>
        <v>283</v>
      </c>
      <c r="F799" s="365"/>
      <c r="G799" s="366" t="s">
        <v>1154</v>
      </c>
      <c r="H799" s="367">
        <v>28337</v>
      </c>
      <c r="I799" s="351" t="s">
        <v>870</v>
      </c>
      <c r="J799" s="350" t="s">
        <v>863</v>
      </c>
      <c r="K799" s="350">
        <f>INT(('Run Time Parameters'!$E$5-'Data Sample'!H799)/365.25)</f>
        <v>32</v>
      </c>
      <c r="L799" s="368">
        <v>1994</v>
      </c>
      <c r="M799" s="368">
        <v>0</v>
      </c>
      <c r="N799" s="350" t="s">
        <v>864</v>
      </c>
      <c r="O799" s="368">
        <v>0</v>
      </c>
      <c r="P799" s="368">
        <v>0</v>
      </c>
      <c r="Q799" s="367">
        <v>29036</v>
      </c>
      <c r="R799" s="368" t="s">
        <v>862</v>
      </c>
      <c r="S799" s="368" t="s">
        <v>863</v>
      </c>
      <c r="T799" s="350">
        <f>INT(('Run Time Parameters'!$E$5-'Data Sample'!Q799)/365.25)</f>
        <v>30</v>
      </c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339"/>
      <c r="AJ799" s="353">
        <f t="shared" si="34"/>
        <v>283</v>
      </c>
    </row>
    <row r="800" spans="1:36">
      <c r="A800" s="332">
        <f t="shared" si="35"/>
        <v>284</v>
      </c>
      <c r="F800" s="365"/>
      <c r="G800" s="366" t="s">
        <v>1155</v>
      </c>
      <c r="H800" s="367">
        <v>17108.041666666668</v>
      </c>
      <c r="I800" s="351" t="s">
        <v>870</v>
      </c>
      <c r="J800" s="350" t="s">
        <v>863</v>
      </c>
      <c r="K800" s="350">
        <f>INT(('Run Time Parameters'!$E$5-'Data Sample'!H800)/365.25)</f>
        <v>62</v>
      </c>
      <c r="L800" s="368">
        <v>1963</v>
      </c>
      <c r="M800" s="368">
        <v>0</v>
      </c>
      <c r="N800" s="350" t="s">
        <v>864</v>
      </c>
      <c r="O800" s="368">
        <v>0</v>
      </c>
      <c r="P800" s="368">
        <v>0</v>
      </c>
      <c r="Q800" s="367">
        <v>25948.041666666668</v>
      </c>
      <c r="R800" s="368" t="s">
        <v>870</v>
      </c>
      <c r="S800" s="368" t="s">
        <v>863</v>
      </c>
      <c r="T800" s="350">
        <f>INT(('Run Time Parameters'!$E$5-'Data Sample'!Q800)/365.25)</f>
        <v>38</v>
      </c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339"/>
      <c r="AJ800" s="353">
        <f t="shared" si="34"/>
        <v>284</v>
      </c>
    </row>
    <row r="801" spans="1:36">
      <c r="A801" s="332">
        <f t="shared" si="35"/>
        <v>285</v>
      </c>
      <c r="F801" s="365"/>
      <c r="G801" s="366" t="s">
        <v>1156</v>
      </c>
      <c r="H801" s="367">
        <v>10461</v>
      </c>
      <c r="I801" s="351" t="s">
        <v>870</v>
      </c>
      <c r="J801" s="350" t="s">
        <v>863</v>
      </c>
      <c r="K801" s="350">
        <f>INT(('Run Time Parameters'!$E$5-'Data Sample'!H801)/365.25)</f>
        <v>81</v>
      </c>
      <c r="L801" s="368">
        <v>1945</v>
      </c>
      <c r="M801" s="368">
        <v>0</v>
      </c>
      <c r="N801" s="350" t="s">
        <v>867</v>
      </c>
      <c r="O801" s="368">
        <v>0</v>
      </c>
      <c r="P801" s="368">
        <v>0</v>
      </c>
      <c r="Q801" s="367">
        <v>10508</v>
      </c>
      <c r="R801" s="368" t="s">
        <v>862</v>
      </c>
      <c r="S801" s="368" t="s">
        <v>863</v>
      </c>
      <c r="T801" s="350">
        <f>INT(('Run Time Parameters'!$E$5-'Data Sample'!Q801)/365.25)</f>
        <v>81</v>
      </c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339"/>
      <c r="AJ801" s="353">
        <f t="shared" si="34"/>
        <v>285</v>
      </c>
    </row>
    <row r="802" spans="1:36">
      <c r="A802" s="332">
        <f t="shared" si="35"/>
        <v>286</v>
      </c>
      <c r="F802" s="365"/>
      <c r="G802" s="366" t="s">
        <v>1157</v>
      </c>
      <c r="H802" s="367">
        <v>26428</v>
      </c>
      <c r="I802" s="351" t="s">
        <v>870</v>
      </c>
      <c r="J802" s="350" t="s">
        <v>887</v>
      </c>
      <c r="K802" s="350">
        <f>INT(('Run Time Parameters'!$E$5-'Data Sample'!H802)/365.25)</f>
        <v>37</v>
      </c>
      <c r="L802" s="368">
        <v>1991</v>
      </c>
      <c r="M802" s="368">
        <v>1</v>
      </c>
      <c r="N802" s="350" t="s">
        <v>867</v>
      </c>
      <c r="O802" s="368">
        <v>0</v>
      </c>
      <c r="P802" s="368">
        <v>0</v>
      </c>
      <c r="Q802" s="367">
        <v>26428</v>
      </c>
      <c r="R802" s="368" t="s">
        <v>870</v>
      </c>
      <c r="S802" s="368" t="s">
        <v>887</v>
      </c>
      <c r="T802" s="350">
        <f>INT(('Run Time Parameters'!$E$5-'Data Sample'!Q802)/365.25)</f>
        <v>37</v>
      </c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339"/>
      <c r="AJ802" s="353">
        <f t="shared" si="34"/>
        <v>286</v>
      </c>
    </row>
    <row r="803" spans="1:36">
      <c r="A803" s="332">
        <f t="shared" si="35"/>
        <v>287</v>
      </c>
      <c r="F803" s="365"/>
      <c r="G803" s="366" t="s">
        <v>1158</v>
      </c>
      <c r="H803" s="367">
        <v>17911.041666666668</v>
      </c>
      <c r="I803" s="351" t="s">
        <v>862</v>
      </c>
      <c r="J803" s="350" t="s">
        <v>863</v>
      </c>
      <c r="K803" s="350">
        <f>INT(('Run Time Parameters'!$E$5-'Data Sample'!H803)/365.25)</f>
        <v>60</v>
      </c>
      <c r="L803" s="368">
        <v>1970</v>
      </c>
      <c r="M803" s="368">
        <v>0</v>
      </c>
      <c r="N803" s="350" t="s">
        <v>867</v>
      </c>
      <c r="O803" s="368">
        <v>0</v>
      </c>
      <c r="P803" s="368">
        <v>0</v>
      </c>
      <c r="Q803" s="367">
        <v>28955</v>
      </c>
      <c r="R803" s="368" t="s">
        <v>862</v>
      </c>
      <c r="S803" s="368" t="s">
        <v>863</v>
      </c>
      <c r="T803" s="350">
        <f>INT(('Run Time Parameters'!$E$5-'Data Sample'!Q803)/365.25)</f>
        <v>30</v>
      </c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339"/>
      <c r="AJ803" s="353">
        <f t="shared" si="34"/>
        <v>287</v>
      </c>
    </row>
    <row r="804" spans="1:36">
      <c r="A804" s="332">
        <f t="shared" si="35"/>
        <v>288</v>
      </c>
      <c r="F804" s="365"/>
      <c r="G804" s="366" t="s">
        <v>1159</v>
      </c>
      <c r="H804" s="367">
        <v>24154.041666666668</v>
      </c>
      <c r="I804" s="351" t="s">
        <v>870</v>
      </c>
      <c r="J804" s="350" t="s">
        <v>887</v>
      </c>
      <c r="K804" s="350">
        <f>INT(('Run Time Parameters'!$E$5-'Data Sample'!H804)/365.25)</f>
        <v>43</v>
      </c>
      <c r="L804" s="368">
        <v>1986</v>
      </c>
      <c r="M804" s="368">
        <v>0</v>
      </c>
      <c r="N804" s="350" t="s">
        <v>867</v>
      </c>
      <c r="O804" s="368">
        <v>0</v>
      </c>
      <c r="P804" s="368">
        <v>0</v>
      </c>
      <c r="Q804" s="367">
        <v>24154.041666666668</v>
      </c>
      <c r="R804" s="368" t="s">
        <v>870</v>
      </c>
      <c r="S804" s="368" t="s">
        <v>887</v>
      </c>
      <c r="T804" s="350">
        <f>INT(('Run Time Parameters'!$E$5-'Data Sample'!Q804)/365.25)</f>
        <v>43</v>
      </c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339"/>
      <c r="AJ804" s="353">
        <f t="shared" si="34"/>
        <v>288</v>
      </c>
    </row>
    <row r="805" spans="1:36">
      <c r="A805" s="332">
        <f t="shared" si="35"/>
        <v>289</v>
      </c>
      <c r="F805" s="365"/>
      <c r="G805" s="366" t="s">
        <v>1160</v>
      </c>
      <c r="H805" s="367">
        <v>17179.041666666668</v>
      </c>
      <c r="I805" s="351" t="s">
        <v>870</v>
      </c>
      <c r="J805" s="350" t="s">
        <v>863</v>
      </c>
      <c r="K805" s="350">
        <f>INT(('Run Time Parameters'!$E$5-'Data Sample'!H805)/365.25)</f>
        <v>62</v>
      </c>
      <c r="L805" s="368">
        <v>1975</v>
      </c>
      <c r="M805" s="368">
        <v>1</v>
      </c>
      <c r="N805" s="350" t="s">
        <v>867</v>
      </c>
      <c r="O805" s="368">
        <v>0</v>
      </c>
      <c r="P805" s="368">
        <v>0</v>
      </c>
      <c r="Q805" s="367">
        <v>17179.041666666668</v>
      </c>
      <c r="R805" s="368" t="s">
        <v>870</v>
      </c>
      <c r="S805" s="368" t="s">
        <v>863</v>
      </c>
      <c r="T805" s="350">
        <f>INT(('Run Time Parameters'!$E$5-'Data Sample'!Q805)/365.25)</f>
        <v>62</v>
      </c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339"/>
      <c r="AJ805" s="353">
        <f t="shared" si="34"/>
        <v>289</v>
      </c>
    </row>
    <row r="806" spans="1:36">
      <c r="A806" s="332">
        <f t="shared" si="35"/>
        <v>290</v>
      </c>
      <c r="F806" s="365"/>
      <c r="G806" s="366" t="s">
        <v>1161</v>
      </c>
      <c r="H806" s="367">
        <v>24079.041666666668</v>
      </c>
      <c r="I806" s="351" t="s">
        <v>870</v>
      </c>
      <c r="J806" s="350" t="s">
        <v>863</v>
      </c>
      <c r="K806" s="350">
        <f>INT(('Run Time Parameters'!$E$5-'Data Sample'!H806)/365.25)</f>
        <v>43</v>
      </c>
      <c r="L806" s="368">
        <v>1982</v>
      </c>
      <c r="M806" s="368">
        <v>0</v>
      </c>
      <c r="N806" s="350" t="s">
        <v>867</v>
      </c>
      <c r="O806" s="368">
        <v>0</v>
      </c>
      <c r="P806" s="368">
        <v>0</v>
      </c>
      <c r="Q806" s="367">
        <v>25280.041666666668</v>
      </c>
      <c r="R806" s="368" t="s">
        <v>862</v>
      </c>
      <c r="S806" s="368" t="s">
        <v>863</v>
      </c>
      <c r="T806" s="350">
        <f>INT(('Run Time Parameters'!$E$5-'Data Sample'!Q806)/365.25)</f>
        <v>40</v>
      </c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339"/>
      <c r="AJ806" s="353">
        <f t="shared" si="34"/>
        <v>290</v>
      </c>
    </row>
    <row r="807" spans="1:36">
      <c r="A807" s="332">
        <f t="shared" si="35"/>
        <v>291</v>
      </c>
      <c r="F807" s="365"/>
      <c r="G807" s="366" t="s">
        <v>1162</v>
      </c>
      <c r="H807" s="367">
        <v>28980</v>
      </c>
      <c r="I807" s="351" t="s">
        <v>870</v>
      </c>
      <c r="J807" s="350" t="s">
        <v>863</v>
      </c>
      <c r="K807" s="350">
        <f>INT(('Run Time Parameters'!$E$5-'Data Sample'!H807)/365.25)</f>
        <v>30</v>
      </c>
      <c r="L807" s="368">
        <v>1997</v>
      </c>
      <c r="M807" s="368">
        <v>0</v>
      </c>
      <c r="N807" s="350" t="s">
        <v>867</v>
      </c>
      <c r="O807" s="368">
        <v>0</v>
      </c>
      <c r="P807" s="368">
        <v>0</v>
      </c>
      <c r="Q807" s="367">
        <v>28980</v>
      </c>
      <c r="R807" s="368" t="s">
        <v>870</v>
      </c>
      <c r="S807" s="368" t="s">
        <v>863</v>
      </c>
      <c r="T807" s="350">
        <f>INT(('Run Time Parameters'!$E$5-'Data Sample'!Q807)/365.25)</f>
        <v>30</v>
      </c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339"/>
      <c r="AJ807" s="353">
        <f t="shared" si="34"/>
        <v>291</v>
      </c>
    </row>
    <row r="808" spans="1:36">
      <c r="A808" s="332">
        <f t="shared" si="35"/>
        <v>292</v>
      </c>
      <c r="F808" s="365"/>
      <c r="G808" s="366" t="s">
        <v>1163</v>
      </c>
      <c r="H808" s="367">
        <v>18969.041666666668</v>
      </c>
      <c r="I808" s="351" t="s">
        <v>870</v>
      </c>
      <c r="J808" s="350" t="s">
        <v>863</v>
      </c>
      <c r="K808" s="350">
        <f>INT(('Run Time Parameters'!$E$5-'Data Sample'!H808)/365.25)</f>
        <v>57</v>
      </c>
      <c r="L808" s="368">
        <v>1968</v>
      </c>
      <c r="M808" s="368">
        <v>1</v>
      </c>
      <c r="N808" s="350" t="s">
        <v>867</v>
      </c>
      <c r="O808" s="368">
        <v>0</v>
      </c>
      <c r="P808" s="368">
        <v>0</v>
      </c>
      <c r="Q808" s="367">
        <v>18969.041666666668</v>
      </c>
      <c r="R808" s="368" t="s">
        <v>870</v>
      </c>
      <c r="S808" s="368" t="s">
        <v>863</v>
      </c>
      <c r="T808" s="350">
        <f>INT(('Run Time Parameters'!$E$5-'Data Sample'!Q808)/365.25)</f>
        <v>57</v>
      </c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339"/>
      <c r="AJ808" s="353">
        <f t="shared" si="34"/>
        <v>292</v>
      </c>
    </row>
    <row r="809" spans="1:36">
      <c r="A809" s="332">
        <f t="shared" si="35"/>
        <v>293</v>
      </c>
      <c r="F809" s="365"/>
      <c r="G809" s="366" t="s">
        <v>1164</v>
      </c>
      <c r="H809" s="367">
        <v>18969.041666666668</v>
      </c>
      <c r="I809" s="351" t="s">
        <v>870</v>
      </c>
      <c r="J809" s="350" t="s">
        <v>863</v>
      </c>
      <c r="K809" s="350">
        <f>INT(('Run Time Parameters'!$E$5-'Data Sample'!H809)/365.25)</f>
        <v>57</v>
      </c>
      <c r="L809" s="368">
        <v>1968</v>
      </c>
      <c r="M809" s="368">
        <v>1</v>
      </c>
      <c r="N809" s="350" t="s">
        <v>867</v>
      </c>
      <c r="O809" s="368">
        <v>0</v>
      </c>
      <c r="P809" s="368">
        <v>0</v>
      </c>
      <c r="Q809" s="367">
        <v>27395</v>
      </c>
      <c r="R809" s="368" t="s">
        <v>870</v>
      </c>
      <c r="S809" s="368" t="s">
        <v>863</v>
      </c>
      <c r="T809" s="350">
        <f>INT(('Run Time Parameters'!$E$5-'Data Sample'!Q809)/365.25)</f>
        <v>34</v>
      </c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339"/>
      <c r="AJ809" s="353">
        <f t="shared" si="34"/>
        <v>293</v>
      </c>
    </row>
    <row r="810" spans="1:36">
      <c r="A810" s="332">
        <f t="shared" si="35"/>
        <v>294</v>
      </c>
      <c r="F810" s="365"/>
      <c r="G810" s="366" t="s">
        <v>1165</v>
      </c>
      <c r="H810" s="367">
        <v>23416.041666666668</v>
      </c>
      <c r="I810" s="351" t="s">
        <v>870</v>
      </c>
      <c r="J810" s="350" t="s">
        <v>863</v>
      </c>
      <c r="K810" s="350">
        <f>INT(('Run Time Parameters'!$E$5-'Data Sample'!H810)/365.25)</f>
        <v>45</v>
      </c>
      <c r="L810" s="368">
        <v>1981</v>
      </c>
      <c r="M810" s="368">
        <v>0</v>
      </c>
      <c r="N810" s="350" t="s">
        <v>867</v>
      </c>
      <c r="O810" s="368">
        <v>0</v>
      </c>
      <c r="P810" s="368">
        <v>0</v>
      </c>
      <c r="Q810" s="367">
        <v>23416.041666666668</v>
      </c>
      <c r="R810" s="368" t="s">
        <v>870</v>
      </c>
      <c r="S810" s="368" t="s">
        <v>863</v>
      </c>
      <c r="T810" s="350">
        <f>INT(('Run Time Parameters'!$E$5-'Data Sample'!Q810)/365.25)</f>
        <v>45</v>
      </c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339"/>
      <c r="AJ810" s="353">
        <f t="shared" si="34"/>
        <v>294</v>
      </c>
    </row>
    <row r="811" spans="1:36">
      <c r="A811" s="332">
        <f t="shared" si="35"/>
        <v>295</v>
      </c>
      <c r="F811" s="365"/>
      <c r="G811" s="366" t="s">
        <v>1166</v>
      </c>
      <c r="H811" s="367">
        <v>19559</v>
      </c>
      <c r="I811" s="351" t="s">
        <v>862</v>
      </c>
      <c r="J811" s="350" t="s">
        <v>863</v>
      </c>
      <c r="K811" s="350">
        <f>INT(('Run Time Parameters'!$E$5-'Data Sample'!H811)/365.25)</f>
        <v>56</v>
      </c>
      <c r="L811" s="368">
        <v>1974</v>
      </c>
      <c r="M811" s="368">
        <v>0</v>
      </c>
      <c r="N811" s="350" t="s">
        <v>867</v>
      </c>
      <c r="O811" s="368">
        <v>0</v>
      </c>
      <c r="P811" s="368">
        <v>0</v>
      </c>
      <c r="Q811" s="367">
        <v>19559</v>
      </c>
      <c r="R811" s="368" t="s">
        <v>862</v>
      </c>
      <c r="S811" s="368" t="s">
        <v>863</v>
      </c>
      <c r="T811" s="350">
        <f>INT(('Run Time Parameters'!$E$5-'Data Sample'!Q811)/365.25)</f>
        <v>56</v>
      </c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339"/>
      <c r="AJ811" s="353">
        <f t="shared" si="34"/>
        <v>295</v>
      </c>
    </row>
    <row r="812" spans="1:36">
      <c r="A812" s="332">
        <f t="shared" si="35"/>
        <v>296</v>
      </c>
      <c r="F812" s="365"/>
      <c r="G812" s="366" t="s">
        <v>1167</v>
      </c>
      <c r="H812" s="367">
        <v>24760.041666666668</v>
      </c>
      <c r="I812" s="351" t="s">
        <v>862</v>
      </c>
      <c r="J812" s="350" t="s">
        <v>863</v>
      </c>
      <c r="K812" s="350">
        <f>INT(('Run Time Parameters'!$E$5-'Data Sample'!H812)/365.25)</f>
        <v>42</v>
      </c>
      <c r="L812" s="368">
        <v>1984</v>
      </c>
      <c r="M812" s="368">
        <v>0</v>
      </c>
      <c r="N812" s="350" t="s">
        <v>867</v>
      </c>
      <c r="O812" s="368">
        <v>0</v>
      </c>
      <c r="P812" s="368">
        <v>0</v>
      </c>
      <c r="Q812" s="367">
        <v>24760.041666666668</v>
      </c>
      <c r="R812" s="368" t="s">
        <v>862</v>
      </c>
      <c r="S812" s="368" t="s">
        <v>863</v>
      </c>
      <c r="T812" s="350">
        <f>INT(('Run Time Parameters'!$E$5-'Data Sample'!Q812)/365.25)</f>
        <v>42</v>
      </c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339"/>
      <c r="AJ812" s="353">
        <f t="shared" si="34"/>
        <v>296</v>
      </c>
    </row>
    <row r="813" spans="1:36">
      <c r="A813" s="332">
        <f t="shared" si="35"/>
        <v>297</v>
      </c>
      <c r="F813" s="365"/>
      <c r="G813" s="366" t="s">
        <v>1168</v>
      </c>
      <c r="H813" s="367">
        <v>21361</v>
      </c>
      <c r="I813" s="351" t="s">
        <v>870</v>
      </c>
      <c r="J813" s="350" t="s">
        <v>863</v>
      </c>
      <c r="K813" s="350">
        <f>INT(('Run Time Parameters'!$E$5-'Data Sample'!H813)/365.25)</f>
        <v>51</v>
      </c>
      <c r="L813" s="368">
        <v>1975</v>
      </c>
      <c r="M813" s="368">
        <v>0</v>
      </c>
      <c r="N813" s="350" t="s">
        <v>867</v>
      </c>
      <c r="O813" s="368">
        <v>0</v>
      </c>
      <c r="P813" s="368">
        <v>0</v>
      </c>
      <c r="Q813" s="367">
        <v>21422</v>
      </c>
      <c r="R813" s="368" t="s">
        <v>862</v>
      </c>
      <c r="S813" s="368" t="s">
        <v>863</v>
      </c>
      <c r="T813" s="350">
        <f>INT(('Run Time Parameters'!$E$5-'Data Sample'!Q813)/365.25)</f>
        <v>51</v>
      </c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339"/>
      <c r="AJ813" s="353">
        <f t="shared" si="34"/>
        <v>297</v>
      </c>
    </row>
    <row r="814" spans="1:36">
      <c r="A814" s="332">
        <f t="shared" si="35"/>
        <v>298</v>
      </c>
      <c r="F814" s="365"/>
      <c r="G814" s="366" t="s">
        <v>1169</v>
      </c>
      <c r="H814" s="367">
        <v>19137</v>
      </c>
      <c r="I814" s="351" t="s">
        <v>862</v>
      </c>
      <c r="J814" s="350" t="s">
        <v>863</v>
      </c>
      <c r="K814" s="350">
        <f>INT(('Run Time Parameters'!$E$5-'Data Sample'!H814)/365.25)</f>
        <v>57</v>
      </c>
      <c r="L814" s="368">
        <v>1969</v>
      </c>
      <c r="M814" s="368">
        <v>0</v>
      </c>
      <c r="N814" s="350" t="s">
        <v>867</v>
      </c>
      <c r="O814" s="368">
        <v>0</v>
      </c>
      <c r="P814" s="368">
        <v>0</v>
      </c>
      <c r="Q814" s="367">
        <v>21055</v>
      </c>
      <c r="R814" s="368" t="s">
        <v>870</v>
      </c>
      <c r="S814" s="368" t="s">
        <v>863</v>
      </c>
      <c r="T814" s="350">
        <f>INT(('Run Time Parameters'!$E$5-'Data Sample'!Q814)/365.25)</f>
        <v>52</v>
      </c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339"/>
      <c r="AJ814" s="353">
        <f t="shared" si="34"/>
        <v>298</v>
      </c>
    </row>
    <row r="815" spans="1:36">
      <c r="A815" s="332">
        <f t="shared" si="35"/>
        <v>299</v>
      </c>
      <c r="F815" s="365"/>
      <c r="G815" s="366" t="s">
        <v>1170</v>
      </c>
      <c r="H815" s="367">
        <v>21874.041666666668</v>
      </c>
      <c r="I815" s="351" t="s">
        <v>862</v>
      </c>
      <c r="J815" s="350" t="s">
        <v>863</v>
      </c>
      <c r="K815" s="350">
        <f>INT(('Run Time Parameters'!$E$5-'Data Sample'!H815)/365.25)</f>
        <v>49</v>
      </c>
      <c r="L815" s="368">
        <v>1986</v>
      </c>
      <c r="M815" s="368">
        <v>1</v>
      </c>
      <c r="N815" s="350" t="s">
        <v>867</v>
      </c>
      <c r="O815" s="368">
        <v>0</v>
      </c>
      <c r="P815" s="368">
        <v>0</v>
      </c>
      <c r="Q815" s="367">
        <v>21874.041666666668</v>
      </c>
      <c r="R815" s="368" t="s">
        <v>862</v>
      </c>
      <c r="S815" s="368" t="s">
        <v>863</v>
      </c>
      <c r="T815" s="350">
        <f>INT(('Run Time Parameters'!$E$5-'Data Sample'!Q815)/365.25)</f>
        <v>49</v>
      </c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339"/>
      <c r="AJ815" s="353">
        <f t="shared" si="34"/>
        <v>299</v>
      </c>
    </row>
    <row r="816" spans="1:36">
      <c r="A816" s="332">
        <f t="shared" si="35"/>
        <v>300</v>
      </c>
      <c r="F816" s="365"/>
      <c r="G816" s="366" t="s">
        <v>1171</v>
      </c>
      <c r="H816" s="367">
        <v>15406</v>
      </c>
      <c r="I816" s="351" t="s">
        <v>870</v>
      </c>
      <c r="J816" s="350" t="s">
        <v>863</v>
      </c>
      <c r="K816" s="350">
        <f>INT(('Run Time Parameters'!$E$5-'Data Sample'!H816)/365.25)</f>
        <v>67</v>
      </c>
      <c r="L816" s="368">
        <v>1959</v>
      </c>
      <c r="M816" s="368">
        <v>0</v>
      </c>
      <c r="N816" s="350" t="s">
        <v>867</v>
      </c>
      <c r="O816" s="368">
        <v>0</v>
      </c>
      <c r="P816" s="368">
        <v>0</v>
      </c>
      <c r="Q816" s="367">
        <v>16137</v>
      </c>
      <c r="R816" s="368" t="s">
        <v>862</v>
      </c>
      <c r="S816" s="368" t="s">
        <v>863</v>
      </c>
      <c r="T816" s="350">
        <f>INT(('Run Time Parameters'!$E$5-'Data Sample'!Q816)/365.25)</f>
        <v>65</v>
      </c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339"/>
      <c r="AJ816" s="353">
        <f t="shared" si="34"/>
        <v>300</v>
      </c>
    </row>
    <row r="817" spans="1:36">
      <c r="A817" s="332">
        <f t="shared" si="35"/>
        <v>301</v>
      </c>
      <c r="F817" s="365"/>
      <c r="G817" s="366" t="s">
        <v>1172</v>
      </c>
      <c r="H817" s="367">
        <v>28437</v>
      </c>
      <c r="I817" s="351" t="s">
        <v>870</v>
      </c>
      <c r="J817" s="350" t="s">
        <v>863</v>
      </c>
      <c r="K817" s="350">
        <f>INT(('Run Time Parameters'!$E$5-'Data Sample'!H817)/365.25)</f>
        <v>31</v>
      </c>
      <c r="L817" s="368">
        <v>1994</v>
      </c>
      <c r="M817" s="368">
        <v>0</v>
      </c>
      <c r="N817" s="350" t="s">
        <v>867</v>
      </c>
      <c r="O817" s="368">
        <v>0</v>
      </c>
      <c r="P817" s="368">
        <v>0</v>
      </c>
      <c r="Q817" s="367">
        <v>28437</v>
      </c>
      <c r="R817" s="368" t="s">
        <v>870</v>
      </c>
      <c r="S817" s="368" t="s">
        <v>863</v>
      </c>
      <c r="T817" s="350">
        <f>INT(('Run Time Parameters'!$E$5-'Data Sample'!Q817)/365.25)</f>
        <v>31</v>
      </c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339"/>
      <c r="AJ817" s="353">
        <f t="shared" si="34"/>
        <v>301</v>
      </c>
    </row>
    <row r="818" spans="1:36">
      <c r="A818" s="332">
        <f t="shared" si="35"/>
        <v>302</v>
      </c>
      <c r="F818" s="365"/>
      <c r="G818" s="366" t="s">
        <v>1173</v>
      </c>
      <c r="H818" s="367">
        <v>10930.041666666666</v>
      </c>
      <c r="I818" s="351" t="s">
        <v>862</v>
      </c>
      <c r="J818" s="350" t="s">
        <v>863</v>
      </c>
      <c r="K818" s="350">
        <f>INT(('Run Time Parameters'!$E$5-'Data Sample'!H818)/365.25)</f>
        <v>79</v>
      </c>
      <c r="L818" s="368">
        <v>1946</v>
      </c>
      <c r="M818" s="368">
        <v>0</v>
      </c>
      <c r="N818" s="350" t="s">
        <v>867</v>
      </c>
      <c r="O818" s="368">
        <v>0</v>
      </c>
      <c r="P818" s="368">
        <v>0</v>
      </c>
      <c r="Q818" s="367">
        <v>10930.041666666666</v>
      </c>
      <c r="R818" s="368" t="s">
        <v>862</v>
      </c>
      <c r="S818" s="368" t="s">
        <v>863</v>
      </c>
      <c r="T818" s="350">
        <f>INT(('Run Time Parameters'!$E$5-'Data Sample'!Q818)/365.25)</f>
        <v>79</v>
      </c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339"/>
      <c r="AJ818" s="353">
        <f t="shared" si="34"/>
        <v>302</v>
      </c>
    </row>
    <row r="819" spans="1:36">
      <c r="A819" s="332">
        <f t="shared" si="35"/>
        <v>303</v>
      </c>
      <c r="F819" s="365"/>
      <c r="G819" s="366" t="s">
        <v>1174</v>
      </c>
      <c r="H819" s="367">
        <v>14429</v>
      </c>
      <c r="I819" s="351" t="s">
        <v>862</v>
      </c>
      <c r="J819" s="350" t="s">
        <v>863</v>
      </c>
      <c r="K819" s="350">
        <f>INT(('Run Time Parameters'!$E$5-'Data Sample'!H819)/365.25)</f>
        <v>70</v>
      </c>
      <c r="L819" s="368">
        <v>1956</v>
      </c>
      <c r="M819" s="368">
        <v>0</v>
      </c>
      <c r="N819" s="350" t="s">
        <v>867</v>
      </c>
      <c r="O819" s="368">
        <v>0</v>
      </c>
      <c r="P819" s="368">
        <v>0</v>
      </c>
      <c r="Q819" s="367">
        <v>25813</v>
      </c>
      <c r="R819" s="368" t="s">
        <v>870</v>
      </c>
      <c r="S819" s="368" t="s">
        <v>866</v>
      </c>
      <c r="T819" s="350">
        <f>INT(('Run Time Parameters'!$E$5-'Data Sample'!Q819)/365.25)</f>
        <v>39</v>
      </c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339"/>
      <c r="AJ819" s="353">
        <f t="shared" si="34"/>
        <v>303</v>
      </c>
    </row>
    <row r="820" spans="1:36">
      <c r="A820" s="332">
        <f t="shared" si="35"/>
        <v>304</v>
      </c>
      <c r="F820" s="365"/>
      <c r="G820" s="366" t="s">
        <v>1175</v>
      </c>
      <c r="H820" s="367">
        <v>29956</v>
      </c>
      <c r="I820" s="351" t="s">
        <v>862</v>
      </c>
      <c r="J820" s="350" t="s">
        <v>863</v>
      </c>
      <c r="K820" s="350">
        <f>INT(('Run Time Parameters'!$E$5-'Data Sample'!H820)/365.25)</f>
        <v>27</v>
      </c>
      <c r="L820" s="368">
        <v>2001</v>
      </c>
      <c r="M820" s="368">
        <v>0</v>
      </c>
      <c r="N820" s="350" t="s">
        <v>867</v>
      </c>
      <c r="O820" s="368">
        <v>0</v>
      </c>
      <c r="P820" s="368">
        <v>0</v>
      </c>
      <c r="Q820" s="367">
        <v>29956</v>
      </c>
      <c r="R820" s="368" t="s">
        <v>862</v>
      </c>
      <c r="S820" s="368" t="s">
        <v>863</v>
      </c>
      <c r="T820" s="350">
        <f>INT(('Run Time Parameters'!$E$5-'Data Sample'!Q820)/365.25)</f>
        <v>27</v>
      </c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339"/>
      <c r="AJ820" s="353">
        <f t="shared" si="34"/>
        <v>304</v>
      </c>
    </row>
    <row r="821" spans="1:36">
      <c r="A821" s="332">
        <f t="shared" si="35"/>
        <v>305</v>
      </c>
      <c r="F821" s="365"/>
      <c r="G821" s="366" t="s">
        <v>1176</v>
      </c>
      <c r="H821" s="367">
        <v>19279.041666666668</v>
      </c>
      <c r="I821" s="351" t="s">
        <v>862</v>
      </c>
      <c r="J821" s="350" t="s">
        <v>863</v>
      </c>
      <c r="K821" s="350">
        <f>INT(('Run Time Parameters'!$E$5-'Data Sample'!H821)/365.25)</f>
        <v>57</v>
      </c>
      <c r="L821" s="368">
        <v>1969</v>
      </c>
      <c r="M821" s="368">
        <v>1</v>
      </c>
      <c r="N821" s="350" t="s">
        <v>867</v>
      </c>
      <c r="O821" s="368">
        <v>0</v>
      </c>
      <c r="P821" s="368">
        <v>0</v>
      </c>
      <c r="Q821" s="367">
        <v>19279.041666666668</v>
      </c>
      <c r="R821" s="368" t="s">
        <v>862</v>
      </c>
      <c r="S821" s="368" t="s">
        <v>863</v>
      </c>
      <c r="T821" s="350">
        <f>INT(('Run Time Parameters'!$E$5-'Data Sample'!Q821)/365.25)</f>
        <v>57</v>
      </c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339"/>
      <c r="AJ821" s="353">
        <f t="shared" si="34"/>
        <v>305</v>
      </c>
    </row>
    <row r="822" spans="1:36">
      <c r="A822" s="332">
        <f t="shared" si="35"/>
        <v>306</v>
      </c>
      <c r="F822" s="365"/>
      <c r="G822" s="366" t="s">
        <v>1177</v>
      </c>
      <c r="H822" s="367">
        <v>14352</v>
      </c>
      <c r="I822" s="351" t="s">
        <v>862</v>
      </c>
      <c r="J822" s="350" t="s">
        <v>863</v>
      </c>
      <c r="K822" s="350">
        <f>INT(('Run Time Parameters'!$E$5-'Data Sample'!H822)/365.25)</f>
        <v>70</v>
      </c>
      <c r="L822" s="368">
        <v>1956</v>
      </c>
      <c r="M822" s="368">
        <v>0</v>
      </c>
      <c r="N822" s="350" t="s">
        <v>867</v>
      </c>
      <c r="O822" s="368">
        <v>0</v>
      </c>
      <c r="P822" s="368">
        <v>0</v>
      </c>
      <c r="Q822" s="367">
        <v>14352</v>
      </c>
      <c r="R822" s="368" t="s">
        <v>862</v>
      </c>
      <c r="S822" s="368" t="s">
        <v>863</v>
      </c>
      <c r="T822" s="350">
        <f>INT(('Run Time Parameters'!$E$5-'Data Sample'!Q822)/365.25)</f>
        <v>70</v>
      </c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339"/>
      <c r="AJ822" s="353">
        <f t="shared" si="34"/>
        <v>306</v>
      </c>
    </row>
    <row r="823" spans="1:36">
      <c r="A823" s="332">
        <f t="shared" si="35"/>
        <v>307</v>
      </c>
      <c r="F823" s="365"/>
      <c r="G823" s="366" t="s">
        <v>1178</v>
      </c>
      <c r="H823" s="367">
        <v>22443</v>
      </c>
      <c r="I823" s="351" t="s">
        <v>870</v>
      </c>
      <c r="J823" s="350" t="s">
        <v>863</v>
      </c>
      <c r="K823" s="350">
        <f>INT(('Run Time Parameters'!$E$5-'Data Sample'!H823)/365.25)</f>
        <v>48</v>
      </c>
      <c r="L823" s="368">
        <v>1982</v>
      </c>
      <c r="M823" s="368">
        <v>0</v>
      </c>
      <c r="N823" s="350" t="s">
        <v>867</v>
      </c>
      <c r="O823" s="368">
        <v>0</v>
      </c>
      <c r="P823" s="368">
        <v>0</v>
      </c>
      <c r="Q823" s="367">
        <v>22443</v>
      </c>
      <c r="R823" s="368" t="s">
        <v>870</v>
      </c>
      <c r="S823" s="368" t="s">
        <v>863</v>
      </c>
      <c r="T823" s="350">
        <f>INT(('Run Time Parameters'!$E$5-'Data Sample'!Q823)/365.25)</f>
        <v>48</v>
      </c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339"/>
      <c r="AJ823" s="353">
        <f t="shared" si="34"/>
        <v>307</v>
      </c>
    </row>
    <row r="824" spans="1:36">
      <c r="A824" s="332">
        <f t="shared" si="35"/>
        <v>308</v>
      </c>
      <c r="F824" s="365"/>
      <c r="G824" s="366" t="s">
        <v>1179</v>
      </c>
      <c r="H824" s="367">
        <v>25166.041666666668</v>
      </c>
      <c r="I824" s="351" t="s">
        <v>862</v>
      </c>
      <c r="J824" s="350" t="s">
        <v>863</v>
      </c>
      <c r="K824" s="350">
        <f>INT(('Run Time Parameters'!$E$5-'Data Sample'!H824)/365.25)</f>
        <v>40</v>
      </c>
      <c r="L824" s="368">
        <v>1993</v>
      </c>
      <c r="M824" s="368">
        <v>1</v>
      </c>
      <c r="N824" s="350" t="s">
        <v>867</v>
      </c>
      <c r="O824" s="368">
        <v>0</v>
      </c>
      <c r="P824" s="368">
        <v>0</v>
      </c>
      <c r="Q824" s="367">
        <v>25166.041666666668</v>
      </c>
      <c r="R824" s="368" t="s">
        <v>862</v>
      </c>
      <c r="S824" s="368" t="s">
        <v>863</v>
      </c>
      <c r="T824" s="350">
        <f>INT(('Run Time Parameters'!$E$5-'Data Sample'!Q824)/365.25)</f>
        <v>40</v>
      </c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339"/>
      <c r="AJ824" s="353">
        <f t="shared" si="34"/>
        <v>308</v>
      </c>
    </row>
    <row r="825" spans="1:36">
      <c r="A825" s="332">
        <f t="shared" si="35"/>
        <v>309</v>
      </c>
      <c r="F825" s="365"/>
      <c r="G825" s="366" t="s">
        <v>1180</v>
      </c>
      <c r="H825" s="367">
        <v>29432</v>
      </c>
      <c r="I825" s="351" t="s">
        <v>870</v>
      </c>
      <c r="J825" s="350" t="s">
        <v>863</v>
      </c>
      <c r="K825" s="350">
        <f>INT(('Run Time Parameters'!$E$5-'Data Sample'!H825)/365.25)</f>
        <v>29</v>
      </c>
      <c r="L825" s="368">
        <v>1997</v>
      </c>
      <c r="M825" s="368">
        <v>0</v>
      </c>
      <c r="N825" s="350" t="s">
        <v>867</v>
      </c>
      <c r="O825" s="368">
        <v>0</v>
      </c>
      <c r="P825" s="368">
        <v>0</v>
      </c>
      <c r="Q825" s="367">
        <v>29432</v>
      </c>
      <c r="R825" s="368" t="s">
        <v>870</v>
      </c>
      <c r="S825" s="368" t="s">
        <v>863</v>
      </c>
      <c r="T825" s="350">
        <f>INT(('Run Time Parameters'!$E$5-'Data Sample'!Q825)/365.25)</f>
        <v>29</v>
      </c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339"/>
      <c r="AJ825" s="353">
        <f t="shared" si="34"/>
        <v>309</v>
      </c>
    </row>
    <row r="826" spans="1:36">
      <c r="A826" s="332">
        <f t="shared" si="35"/>
        <v>310</v>
      </c>
      <c r="F826" s="365"/>
      <c r="G826" s="366" t="s">
        <v>1181</v>
      </c>
      <c r="H826" s="367">
        <v>15959</v>
      </c>
      <c r="I826" s="351" t="s">
        <v>870</v>
      </c>
      <c r="J826" s="350" t="s">
        <v>863</v>
      </c>
      <c r="K826" s="350">
        <f>INT(('Run Time Parameters'!$E$5-'Data Sample'!H826)/365.25)</f>
        <v>66</v>
      </c>
      <c r="L826" s="368">
        <v>1960</v>
      </c>
      <c r="M826" s="368">
        <v>0</v>
      </c>
      <c r="N826" s="350" t="s">
        <v>867</v>
      </c>
      <c r="O826" s="368">
        <v>0</v>
      </c>
      <c r="P826" s="368">
        <v>0</v>
      </c>
      <c r="Q826" s="367">
        <v>15959</v>
      </c>
      <c r="R826" s="368" t="s">
        <v>870</v>
      </c>
      <c r="S826" s="368" t="s">
        <v>863</v>
      </c>
      <c r="T826" s="350">
        <f>INT(('Run Time Parameters'!$E$5-'Data Sample'!Q826)/365.25)</f>
        <v>66</v>
      </c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339"/>
      <c r="AJ826" s="353">
        <f t="shared" si="34"/>
        <v>310</v>
      </c>
    </row>
    <row r="827" spans="1:36">
      <c r="A827" s="332">
        <f t="shared" si="35"/>
        <v>311</v>
      </c>
      <c r="F827" s="365"/>
      <c r="G827" s="366" t="s">
        <v>1182</v>
      </c>
      <c r="H827" s="367">
        <v>28049.041666666668</v>
      </c>
      <c r="I827" s="351" t="s">
        <v>870</v>
      </c>
      <c r="J827" s="350" t="s">
        <v>863</v>
      </c>
      <c r="K827" s="350">
        <f>INT(('Run Time Parameters'!$E$5-'Data Sample'!H827)/365.25)</f>
        <v>33</v>
      </c>
      <c r="L827" s="368">
        <v>2002</v>
      </c>
      <c r="M827" s="368">
        <v>0</v>
      </c>
      <c r="N827" s="350" t="s">
        <v>867</v>
      </c>
      <c r="O827" s="368">
        <v>0</v>
      </c>
      <c r="P827" s="368">
        <v>0</v>
      </c>
      <c r="Q827" s="367">
        <v>28049.041666666668</v>
      </c>
      <c r="R827" s="368" t="s">
        <v>870</v>
      </c>
      <c r="S827" s="368" t="s">
        <v>863</v>
      </c>
      <c r="T827" s="350">
        <f>INT(('Run Time Parameters'!$E$5-'Data Sample'!Q827)/365.25)</f>
        <v>33</v>
      </c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339"/>
      <c r="AJ827" s="353">
        <f t="shared" si="34"/>
        <v>311</v>
      </c>
    </row>
    <row r="828" spans="1:36">
      <c r="A828" s="332">
        <f t="shared" si="35"/>
        <v>312</v>
      </c>
      <c r="F828" s="365"/>
      <c r="G828" s="366" t="s">
        <v>1183</v>
      </c>
      <c r="H828" s="367">
        <v>20530.041666666668</v>
      </c>
      <c r="I828" s="351" t="s">
        <v>862</v>
      </c>
      <c r="J828" s="350" t="s">
        <v>863</v>
      </c>
      <c r="K828" s="350">
        <f>INT(('Run Time Parameters'!$E$5-'Data Sample'!H828)/365.25)</f>
        <v>53</v>
      </c>
      <c r="L828" s="368">
        <v>1977</v>
      </c>
      <c r="M828" s="368">
        <v>0</v>
      </c>
      <c r="N828" s="350" t="s">
        <v>864</v>
      </c>
      <c r="O828" s="368">
        <v>0</v>
      </c>
      <c r="P828" s="368">
        <v>0</v>
      </c>
      <c r="Q828" s="367">
        <v>20530.041666666668</v>
      </c>
      <c r="R828" s="368" t="s">
        <v>862</v>
      </c>
      <c r="S828" s="368" t="s">
        <v>863</v>
      </c>
      <c r="T828" s="350">
        <f>INT(('Run Time Parameters'!$E$5-'Data Sample'!Q828)/365.25)</f>
        <v>53</v>
      </c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339"/>
      <c r="AJ828" s="353">
        <f t="shared" si="34"/>
        <v>312</v>
      </c>
    </row>
    <row r="829" spans="1:36">
      <c r="A829" s="332">
        <f t="shared" si="35"/>
        <v>313</v>
      </c>
      <c r="F829" s="365"/>
      <c r="G829" s="366" t="s">
        <v>1184</v>
      </c>
      <c r="H829" s="367">
        <v>27201</v>
      </c>
      <c r="I829" s="351" t="s">
        <v>870</v>
      </c>
      <c r="J829" s="350" t="s">
        <v>866</v>
      </c>
      <c r="K829" s="350">
        <f>INT(('Run Time Parameters'!$E$5-'Data Sample'!H829)/365.25)</f>
        <v>35</v>
      </c>
      <c r="L829" s="368">
        <v>1992</v>
      </c>
      <c r="M829" s="368">
        <v>0</v>
      </c>
      <c r="N829" s="350" t="s">
        <v>864</v>
      </c>
      <c r="O829" s="368">
        <v>0</v>
      </c>
      <c r="P829" s="368">
        <v>0</v>
      </c>
      <c r="Q829" s="367">
        <v>27201</v>
      </c>
      <c r="R829" s="368" t="s">
        <v>870</v>
      </c>
      <c r="S829" s="368" t="s">
        <v>866</v>
      </c>
      <c r="T829" s="350">
        <f>INT(('Run Time Parameters'!$E$5-'Data Sample'!Q829)/365.25)</f>
        <v>35</v>
      </c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339"/>
      <c r="AJ829" s="353">
        <f t="shared" si="34"/>
        <v>313</v>
      </c>
    </row>
    <row r="830" spans="1:36">
      <c r="A830" s="332">
        <f t="shared" si="35"/>
        <v>314</v>
      </c>
      <c r="F830" s="365"/>
      <c r="G830" s="366" t="s">
        <v>1185</v>
      </c>
      <c r="H830" s="367">
        <v>28219</v>
      </c>
      <c r="I830" s="351" t="s">
        <v>870</v>
      </c>
      <c r="J830" s="350" t="s">
        <v>863</v>
      </c>
      <c r="K830" s="350">
        <f>INT(('Run Time Parameters'!$E$5-'Data Sample'!H830)/365.25)</f>
        <v>32</v>
      </c>
      <c r="L830" s="368">
        <v>1994</v>
      </c>
      <c r="M830" s="368">
        <v>0</v>
      </c>
      <c r="N830" s="350" t="s">
        <v>867</v>
      </c>
      <c r="O830" s="368">
        <v>0</v>
      </c>
      <c r="P830" s="368">
        <v>0</v>
      </c>
      <c r="Q830" s="367">
        <v>28219</v>
      </c>
      <c r="R830" s="368" t="s">
        <v>870</v>
      </c>
      <c r="S830" s="368" t="s">
        <v>863</v>
      </c>
      <c r="T830" s="350">
        <f>INT(('Run Time Parameters'!$E$5-'Data Sample'!Q830)/365.25)</f>
        <v>32</v>
      </c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339"/>
      <c r="AJ830" s="353">
        <f t="shared" si="34"/>
        <v>314</v>
      </c>
    </row>
    <row r="831" spans="1:36">
      <c r="A831" s="332">
        <f t="shared" si="35"/>
        <v>315</v>
      </c>
      <c r="F831" s="365"/>
      <c r="G831" s="366" t="s">
        <v>1186</v>
      </c>
      <c r="H831" s="367">
        <v>25753</v>
      </c>
      <c r="I831" s="351" t="s">
        <v>870</v>
      </c>
      <c r="J831" s="350" t="s">
        <v>863</v>
      </c>
      <c r="K831" s="350">
        <f>INT(('Run Time Parameters'!$E$5-'Data Sample'!H831)/365.25)</f>
        <v>39</v>
      </c>
      <c r="L831" s="368">
        <v>1987</v>
      </c>
      <c r="M831" s="368">
        <v>1</v>
      </c>
      <c r="N831" s="350" t="s">
        <v>867</v>
      </c>
      <c r="O831" s="368">
        <v>0</v>
      </c>
      <c r="P831" s="368">
        <v>0</v>
      </c>
      <c r="Q831" s="367">
        <v>25753</v>
      </c>
      <c r="R831" s="368" t="s">
        <v>870</v>
      </c>
      <c r="S831" s="368" t="s">
        <v>863</v>
      </c>
      <c r="T831" s="350">
        <f>INT(('Run Time Parameters'!$E$5-'Data Sample'!Q831)/365.25)</f>
        <v>39</v>
      </c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339"/>
      <c r="AJ831" s="353">
        <f t="shared" si="34"/>
        <v>315</v>
      </c>
    </row>
    <row r="832" spans="1:36">
      <c r="A832" s="332">
        <f t="shared" si="35"/>
        <v>316</v>
      </c>
      <c r="F832" s="365"/>
      <c r="G832" s="366" t="s">
        <v>1187</v>
      </c>
      <c r="H832" s="367">
        <v>30256</v>
      </c>
      <c r="I832" s="351" t="s">
        <v>862</v>
      </c>
      <c r="J832" s="350" t="s">
        <v>863</v>
      </c>
      <c r="K832" s="350">
        <f>INT(('Run Time Parameters'!$E$5-'Data Sample'!H832)/365.25)</f>
        <v>26</v>
      </c>
      <c r="L832" s="368">
        <v>1999</v>
      </c>
      <c r="M832" s="368">
        <v>0</v>
      </c>
      <c r="N832" s="350" t="s">
        <v>867</v>
      </c>
      <c r="O832" s="368">
        <v>0</v>
      </c>
      <c r="P832" s="368">
        <v>0</v>
      </c>
      <c r="Q832" s="367">
        <v>30256</v>
      </c>
      <c r="R832" s="368" t="s">
        <v>862</v>
      </c>
      <c r="S832" s="368" t="s">
        <v>863</v>
      </c>
      <c r="T832" s="350">
        <f>INT(('Run Time Parameters'!$E$5-'Data Sample'!Q832)/365.25)</f>
        <v>26</v>
      </c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339"/>
      <c r="AJ832" s="353">
        <f t="shared" si="34"/>
        <v>316</v>
      </c>
    </row>
    <row r="833" spans="1:36">
      <c r="A833" s="332">
        <f t="shared" si="35"/>
        <v>317</v>
      </c>
      <c r="F833" s="365"/>
      <c r="G833" s="366" t="s">
        <v>1188</v>
      </c>
      <c r="H833" s="367">
        <v>24920.041666666668</v>
      </c>
      <c r="I833" s="351" t="s">
        <v>870</v>
      </c>
      <c r="J833" s="350" t="s">
        <v>863</v>
      </c>
      <c r="K833" s="350">
        <f>INT(('Run Time Parameters'!$E$5-'Data Sample'!H833)/365.25)</f>
        <v>41</v>
      </c>
      <c r="L833" s="368">
        <v>1986</v>
      </c>
      <c r="M833" s="368">
        <v>0</v>
      </c>
      <c r="N833" s="350" t="s">
        <v>864</v>
      </c>
      <c r="O833" s="368">
        <v>0</v>
      </c>
      <c r="P833" s="368">
        <v>0</v>
      </c>
      <c r="Q833" s="367">
        <v>26493</v>
      </c>
      <c r="R833" s="368" t="s">
        <v>862</v>
      </c>
      <c r="S833" s="368" t="s">
        <v>863</v>
      </c>
      <c r="T833" s="350">
        <f>INT(('Run Time Parameters'!$E$5-'Data Sample'!Q833)/365.25)</f>
        <v>37</v>
      </c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339"/>
      <c r="AJ833" s="353">
        <f t="shared" si="34"/>
        <v>317</v>
      </c>
    </row>
    <row r="834" spans="1:36">
      <c r="A834" s="332">
        <f t="shared" si="35"/>
        <v>318</v>
      </c>
      <c r="F834" s="365"/>
      <c r="G834" s="366" t="s">
        <v>1189</v>
      </c>
      <c r="H834" s="367">
        <v>16101</v>
      </c>
      <c r="I834" s="351" t="s">
        <v>870</v>
      </c>
      <c r="J834" s="350" t="s">
        <v>863</v>
      </c>
      <c r="K834" s="350">
        <f>INT(('Run Time Parameters'!$E$5-'Data Sample'!H834)/365.25)</f>
        <v>65</v>
      </c>
      <c r="L834" s="368">
        <v>1961</v>
      </c>
      <c r="M834" s="368">
        <v>0</v>
      </c>
      <c r="N834" s="350" t="s">
        <v>867</v>
      </c>
      <c r="O834" s="368">
        <v>0</v>
      </c>
      <c r="P834" s="368">
        <v>0</v>
      </c>
      <c r="Q834" s="367">
        <v>16192</v>
      </c>
      <c r="R834" s="368" t="s">
        <v>862</v>
      </c>
      <c r="S834" s="368" t="s">
        <v>863</v>
      </c>
      <c r="T834" s="350">
        <f>INT(('Run Time Parameters'!$E$5-'Data Sample'!Q834)/365.25)</f>
        <v>65</v>
      </c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339"/>
      <c r="AJ834" s="353">
        <f t="shared" si="34"/>
        <v>318</v>
      </c>
    </row>
    <row r="835" spans="1:36">
      <c r="A835" s="332">
        <f t="shared" si="35"/>
        <v>319</v>
      </c>
      <c r="F835" s="365"/>
      <c r="G835" s="366" t="s">
        <v>1190</v>
      </c>
      <c r="H835" s="367">
        <v>21880.041666666668</v>
      </c>
      <c r="I835" s="351" t="s">
        <v>862</v>
      </c>
      <c r="J835" s="350" t="s">
        <v>863</v>
      </c>
      <c r="K835" s="350">
        <f>INT(('Run Time Parameters'!$E$5-'Data Sample'!H835)/365.25)</f>
        <v>49</v>
      </c>
      <c r="L835" s="368">
        <v>1977</v>
      </c>
      <c r="M835" s="368">
        <v>0</v>
      </c>
      <c r="N835" s="350" t="s">
        <v>867</v>
      </c>
      <c r="O835" s="368">
        <v>0</v>
      </c>
      <c r="P835" s="368">
        <v>0</v>
      </c>
      <c r="Q835" s="367">
        <v>21880.041666666668</v>
      </c>
      <c r="R835" s="368" t="s">
        <v>862</v>
      </c>
      <c r="S835" s="368" t="s">
        <v>863</v>
      </c>
      <c r="T835" s="350">
        <f>INT(('Run Time Parameters'!$E$5-'Data Sample'!Q835)/365.25)</f>
        <v>49</v>
      </c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339"/>
      <c r="AJ835" s="353">
        <f t="shared" si="34"/>
        <v>319</v>
      </c>
    </row>
    <row r="836" spans="1:36">
      <c r="A836" s="332">
        <f t="shared" si="35"/>
        <v>320</v>
      </c>
      <c r="F836" s="365"/>
      <c r="G836" s="366" t="s">
        <v>1191</v>
      </c>
      <c r="H836" s="367">
        <v>17346</v>
      </c>
      <c r="I836" s="351" t="s">
        <v>870</v>
      </c>
      <c r="J836" s="350" t="s">
        <v>863</v>
      </c>
      <c r="K836" s="350">
        <f>INT(('Run Time Parameters'!$E$5-'Data Sample'!H836)/365.25)</f>
        <v>62</v>
      </c>
      <c r="L836" s="368">
        <v>1964</v>
      </c>
      <c r="M836" s="368">
        <v>0</v>
      </c>
      <c r="N836" s="350" t="s">
        <v>864</v>
      </c>
      <c r="O836" s="368">
        <v>0</v>
      </c>
      <c r="P836" s="368">
        <v>0</v>
      </c>
      <c r="Q836" s="367">
        <v>18041</v>
      </c>
      <c r="R836" s="368" t="s">
        <v>862</v>
      </c>
      <c r="S836" s="368" t="s">
        <v>863</v>
      </c>
      <c r="T836" s="350">
        <f>INT(('Run Time Parameters'!$E$5-'Data Sample'!Q836)/365.25)</f>
        <v>60</v>
      </c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339"/>
      <c r="AJ836" s="353">
        <f t="shared" si="34"/>
        <v>320</v>
      </c>
    </row>
    <row r="837" spans="1:36">
      <c r="A837" s="332">
        <f t="shared" si="35"/>
        <v>321</v>
      </c>
      <c r="F837" s="365"/>
      <c r="G837" s="366" t="s">
        <v>1192</v>
      </c>
      <c r="H837" s="367">
        <v>26316</v>
      </c>
      <c r="I837" s="351" t="s">
        <v>870</v>
      </c>
      <c r="J837" s="350" t="s">
        <v>863</v>
      </c>
      <c r="K837" s="350">
        <f>INT(('Run Time Parameters'!$E$5-'Data Sample'!H837)/365.25)</f>
        <v>37</v>
      </c>
      <c r="L837" s="368">
        <v>1989</v>
      </c>
      <c r="M837" s="368">
        <v>0</v>
      </c>
      <c r="N837" s="350" t="s">
        <v>867</v>
      </c>
      <c r="O837" s="368">
        <v>0</v>
      </c>
      <c r="P837" s="368">
        <v>0</v>
      </c>
      <c r="Q837" s="367">
        <v>28673</v>
      </c>
      <c r="R837" s="368" t="s">
        <v>862</v>
      </c>
      <c r="S837" s="368" t="s">
        <v>863</v>
      </c>
      <c r="T837" s="350">
        <f>INT(('Run Time Parameters'!$E$5-'Data Sample'!Q837)/365.25)</f>
        <v>31</v>
      </c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339"/>
      <c r="AJ837" s="353">
        <f t="shared" si="34"/>
        <v>321</v>
      </c>
    </row>
    <row r="838" spans="1:36">
      <c r="A838" s="332">
        <f t="shared" si="35"/>
        <v>322</v>
      </c>
      <c r="F838" s="365"/>
      <c r="G838" s="366" t="s">
        <v>1193</v>
      </c>
      <c r="H838" s="367">
        <v>19952</v>
      </c>
      <c r="I838" s="351" t="s">
        <v>870</v>
      </c>
      <c r="J838" s="350" t="s">
        <v>863</v>
      </c>
      <c r="K838" s="350">
        <f>INT(('Run Time Parameters'!$E$5-'Data Sample'!H838)/365.25)</f>
        <v>55</v>
      </c>
      <c r="L838" s="368">
        <v>1989</v>
      </c>
      <c r="M838" s="368">
        <v>0</v>
      </c>
      <c r="N838" s="350" t="s">
        <v>867</v>
      </c>
      <c r="O838" s="368">
        <v>0</v>
      </c>
      <c r="P838" s="368">
        <v>0</v>
      </c>
      <c r="Q838" s="367">
        <v>19952</v>
      </c>
      <c r="R838" s="368" t="s">
        <v>870</v>
      </c>
      <c r="S838" s="368" t="s">
        <v>863</v>
      </c>
      <c r="T838" s="350">
        <f>INT(('Run Time Parameters'!$E$5-'Data Sample'!Q838)/365.25)</f>
        <v>55</v>
      </c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339"/>
      <c r="AJ838" s="353">
        <f t="shared" si="34"/>
        <v>322</v>
      </c>
    </row>
    <row r="839" spans="1:36">
      <c r="A839" s="332">
        <f t="shared" si="35"/>
        <v>323</v>
      </c>
      <c r="F839" s="365"/>
      <c r="G839" s="366" t="s">
        <v>1194</v>
      </c>
      <c r="H839" s="367">
        <v>22117</v>
      </c>
      <c r="I839" s="351" t="s">
        <v>862</v>
      </c>
      <c r="J839" s="350" t="s">
        <v>863</v>
      </c>
      <c r="K839" s="350">
        <f>INT(('Run Time Parameters'!$E$5-'Data Sample'!H839)/365.25)</f>
        <v>49</v>
      </c>
      <c r="L839" s="368">
        <v>1987</v>
      </c>
      <c r="M839" s="368">
        <v>0</v>
      </c>
      <c r="N839" s="350" t="s">
        <v>867</v>
      </c>
      <c r="O839" s="368">
        <v>0</v>
      </c>
      <c r="P839" s="368">
        <v>0</v>
      </c>
      <c r="Q839" s="367">
        <v>26133</v>
      </c>
      <c r="R839" s="368" t="s">
        <v>870</v>
      </c>
      <c r="S839" s="368" t="s">
        <v>863</v>
      </c>
      <c r="T839" s="350">
        <f>INT(('Run Time Parameters'!$E$5-'Data Sample'!Q839)/365.25)</f>
        <v>38</v>
      </c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339"/>
      <c r="AJ839" s="353">
        <f t="shared" ref="AJ839:AJ902" si="36">AJ838+1</f>
        <v>323</v>
      </c>
    </row>
    <row r="840" spans="1:36">
      <c r="A840" s="332">
        <f t="shared" si="35"/>
        <v>324</v>
      </c>
      <c r="F840" s="365"/>
      <c r="G840" s="366" t="s">
        <v>1195</v>
      </c>
      <c r="H840" s="367">
        <v>28586</v>
      </c>
      <c r="I840" s="351" t="s">
        <v>862</v>
      </c>
      <c r="J840" s="350" t="s">
        <v>863</v>
      </c>
      <c r="K840" s="350">
        <f>INT(('Run Time Parameters'!$E$5-'Data Sample'!H840)/365.25)</f>
        <v>31</v>
      </c>
      <c r="L840" s="368">
        <v>1995</v>
      </c>
      <c r="M840" s="368">
        <v>0</v>
      </c>
      <c r="N840" s="350" t="s">
        <v>867</v>
      </c>
      <c r="O840" s="368">
        <v>0</v>
      </c>
      <c r="P840" s="368">
        <v>0</v>
      </c>
      <c r="Q840" s="367">
        <v>28586</v>
      </c>
      <c r="R840" s="368" t="s">
        <v>862</v>
      </c>
      <c r="S840" s="368" t="s">
        <v>863</v>
      </c>
      <c r="T840" s="350">
        <f>INT(('Run Time Parameters'!$E$5-'Data Sample'!Q840)/365.25)</f>
        <v>31</v>
      </c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339"/>
      <c r="AJ840" s="353">
        <f t="shared" si="36"/>
        <v>324</v>
      </c>
    </row>
    <row r="841" spans="1:36">
      <c r="A841" s="332">
        <f t="shared" si="35"/>
        <v>325</v>
      </c>
      <c r="F841" s="365"/>
      <c r="G841" s="366" t="s">
        <v>1196</v>
      </c>
      <c r="H841" s="367">
        <v>25106</v>
      </c>
      <c r="I841" s="351" t="s">
        <v>862</v>
      </c>
      <c r="J841" s="350" t="s">
        <v>863</v>
      </c>
      <c r="K841" s="350">
        <f>INT(('Run Time Parameters'!$E$5-'Data Sample'!H841)/365.25)</f>
        <v>41</v>
      </c>
      <c r="L841" s="368">
        <v>2000</v>
      </c>
      <c r="M841" s="368">
        <v>0</v>
      </c>
      <c r="N841" s="350" t="s">
        <v>864</v>
      </c>
      <c r="O841" s="368">
        <v>0</v>
      </c>
      <c r="P841" s="368">
        <v>0</v>
      </c>
      <c r="Q841" s="367">
        <v>27745</v>
      </c>
      <c r="R841" s="368" t="s">
        <v>870</v>
      </c>
      <c r="S841" s="368" t="s">
        <v>863</v>
      </c>
      <c r="T841" s="350">
        <f>INT(('Run Time Parameters'!$E$5-'Data Sample'!Q841)/365.25)</f>
        <v>33</v>
      </c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339"/>
      <c r="AJ841" s="353">
        <f t="shared" si="36"/>
        <v>325</v>
      </c>
    </row>
    <row r="842" spans="1:36">
      <c r="A842" s="332">
        <f t="shared" ref="A842:A905" si="37">1+A841</f>
        <v>326</v>
      </c>
      <c r="F842" s="365"/>
      <c r="G842" s="366" t="s">
        <v>1197</v>
      </c>
      <c r="H842" s="367">
        <v>29955</v>
      </c>
      <c r="I842" s="351" t="s">
        <v>870</v>
      </c>
      <c r="J842" s="350" t="s">
        <v>863</v>
      </c>
      <c r="K842" s="350">
        <f>INT(('Run Time Parameters'!$E$5-'Data Sample'!H842)/365.25)</f>
        <v>27</v>
      </c>
      <c r="L842" s="368">
        <v>1999</v>
      </c>
      <c r="M842" s="368">
        <v>0</v>
      </c>
      <c r="N842" s="350" t="s">
        <v>867</v>
      </c>
      <c r="O842" s="368">
        <v>0</v>
      </c>
      <c r="P842" s="368">
        <v>0</v>
      </c>
      <c r="Q842" s="367">
        <v>29955</v>
      </c>
      <c r="R842" s="368" t="s">
        <v>870</v>
      </c>
      <c r="S842" s="368" t="s">
        <v>863</v>
      </c>
      <c r="T842" s="350">
        <f>INT(('Run Time Parameters'!$E$5-'Data Sample'!Q842)/365.25)</f>
        <v>27</v>
      </c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339"/>
      <c r="AJ842" s="353">
        <f t="shared" si="36"/>
        <v>326</v>
      </c>
    </row>
    <row r="843" spans="1:36">
      <c r="A843" s="332">
        <f t="shared" si="37"/>
        <v>327</v>
      </c>
      <c r="F843" s="365"/>
      <c r="G843" s="366" t="s">
        <v>1198</v>
      </c>
      <c r="H843" s="367">
        <v>20628</v>
      </c>
      <c r="I843" s="351" t="s">
        <v>870</v>
      </c>
      <c r="J843" s="350" t="s">
        <v>863</v>
      </c>
      <c r="K843" s="350">
        <f>INT(('Run Time Parameters'!$E$5-'Data Sample'!H843)/365.25)</f>
        <v>53</v>
      </c>
      <c r="L843" s="368">
        <v>1973</v>
      </c>
      <c r="M843" s="368">
        <v>0</v>
      </c>
      <c r="N843" s="350" t="s">
        <v>867</v>
      </c>
      <c r="O843" s="368">
        <v>0</v>
      </c>
      <c r="P843" s="368">
        <v>0</v>
      </c>
      <c r="Q843" s="367">
        <v>21472.041666666668</v>
      </c>
      <c r="R843" s="368" t="s">
        <v>862</v>
      </c>
      <c r="S843" s="368" t="s">
        <v>863</v>
      </c>
      <c r="T843" s="350">
        <f>INT(('Run Time Parameters'!$E$5-'Data Sample'!Q843)/365.25)</f>
        <v>51</v>
      </c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339"/>
      <c r="AJ843" s="353">
        <f t="shared" si="36"/>
        <v>327</v>
      </c>
    </row>
    <row r="844" spans="1:36">
      <c r="A844" s="332">
        <f t="shared" si="37"/>
        <v>328</v>
      </c>
      <c r="F844" s="365"/>
      <c r="G844" s="366" t="s">
        <v>1199</v>
      </c>
      <c r="H844" s="367">
        <v>22602.041666666668</v>
      </c>
      <c r="I844" s="351" t="s">
        <v>862</v>
      </c>
      <c r="J844" s="350" t="s">
        <v>863</v>
      </c>
      <c r="K844" s="350">
        <f>INT(('Run Time Parameters'!$E$5-'Data Sample'!H844)/365.25)</f>
        <v>47</v>
      </c>
      <c r="L844" s="368">
        <v>1978</v>
      </c>
      <c r="M844" s="368">
        <v>0</v>
      </c>
      <c r="N844" s="350" t="s">
        <v>867</v>
      </c>
      <c r="O844" s="368">
        <v>0</v>
      </c>
      <c r="P844" s="368">
        <v>0</v>
      </c>
      <c r="Q844" s="367">
        <v>22602.041666666668</v>
      </c>
      <c r="R844" s="368" t="s">
        <v>862</v>
      </c>
      <c r="S844" s="368" t="s">
        <v>863</v>
      </c>
      <c r="T844" s="350">
        <f>INT(('Run Time Parameters'!$E$5-'Data Sample'!Q844)/365.25)</f>
        <v>47</v>
      </c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339"/>
      <c r="AJ844" s="353">
        <f t="shared" si="36"/>
        <v>328</v>
      </c>
    </row>
    <row r="845" spans="1:36">
      <c r="A845" s="332">
        <f t="shared" si="37"/>
        <v>329</v>
      </c>
      <c r="F845" s="365"/>
      <c r="G845" s="366" t="s">
        <v>1200</v>
      </c>
      <c r="H845" s="367">
        <v>26068</v>
      </c>
      <c r="I845" s="351" t="s">
        <v>870</v>
      </c>
      <c r="J845" s="350" t="s">
        <v>866</v>
      </c>
      <c r="K845" s="350">
        <f>INT(('Run Time Parameters'!$E$5-'Data Sample'!H845)/365.25)</f>
        <v>38</v>
      </c>
      <c r="L845" s="368">
        <v>1989</v>
      </c>
      <c r="M845" s="368">
        <v>0</v>
      </c>
      <c r="N845" s="350" t="s">
        <v>867</v>
      </c>
      <c r="O845" s="368">
        <v>0</v>
      </c>
      <c r="P845" s="368">
        <v>0</v>
      </c>
      <c r="Q845" s="367">
        <v>26068</v>
      </c>
      <c r="R845" s="368" t="s">
        <v>870</v>
      </c>
      <c r="S845" s="368" t="s">
        <v>866</v>
      </c>
      <c r="T845" s="350">
        <f>INT(('Run Time Parameters'!$E$5-'Data Sample'!Q845)/365.25)</f>
        <v>38</v>
      </c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339"/>
      <c r="AJ845" s="353">
        <f t="shared" si="36"/>
        <v>329</v>
      </c>
    </row>
    <row r="846" spans="1:36">
      <c r="A846" s="332">
        <f t="shared" si="37"/>
        <v>330</v>
      </c>
      <c r="F846" s="365"/>
      <c r="G846" s="366" t="s">
        <v>1201</v>
      </c>
      <c r="H846" s="367">
        <v>12508.041666666666</v>
      </c>
      <c r="I846" s="351" t="s">
        <v>862</v>
      </c>
      <c r="J846" s="350" t="s">
        <v>863</v>
      </c>
      <c r="K846" s="350">
        <f>INT(('Run Time Parameters'!$E$5-'Data Sample'!H846)/365.25)</f>
        <v>75</v>
      </c>
      <c r="L846" s="368">
        <v>1951</v>
      </c>
      <c r="M846" s="368">
        <v>0</v>
      </c>
      <c r="N846" s="350" t="s">
        <v>867</v>
      </c>
      <c r="O846" s="368">
        <v>0</v>
      </c>
      <c r="P846" s="368">
        <v>0</v>
      </c>
      <c r="Q846" s="367">
        <v>12508.041666666666</v>
      </c>
      <c r="R846" s="368" t="s">
        <v>862</v>
      </c>
      <c r="S846" s="368" t="s">
        <v>863</v>
      </c>
      <c r="T846" s="350">
        <f>INT(('Run Time Parameters'!$E$5-'Data Sample'!Q846)/365.25)</f>
        <v>75</v>
      </c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339"/>
      <c r="AJ846" s="353">
        <f t="shared" si="36"/>
        <v>330</v>
      </c>
    </row>
    <row r="847" spans="1:36">
      <c r="A847" s="332">
        <f t="shared" si="37"/>
        <v>331</v>
      </c>
      <c r="F847" s="365"/>
      <c r="G847" s="366" t="s">
        <v>1202</v>
      </c>
      <c r="H847" s="367">
        <v>27592</v>
      </c>
      <c r="I847" s="351" t="s">
        <v>862</v>
      </c>
      <c r="J847" s="350" t="s">
        <v>863</v>
      </c>
      <c r="K847" s="350">
        <f>INT(('Run Time Parameters'!$E$5-'Data Sample'!H847)/365.25)</f>
        <v>34</v>
      </c>
      <c r="L847" s="368">
        <v>1993</v>
      </c>
      <c r="M847" s="368">
        <v>0</v>
      </c>
      <c r="N847" s="350" t="s">
        <v>867</v>
      </c>
      <c r="O847" s="368">
        <v>0</v>
      </c>
      <c r="P847" s="368">
        <v>0</v>
      </c>
      <c r="Q847" s="367">
        <v>27592</v>
      </c>
      <c r="R847" s="368" t="s">
        <v>862</v>
      </c>
      <c r="S847" s="368" t="s">
        <v>863</v>
      </c>
      <c r="T847" s="350">
        <f>INT(('Run Time Parameters'!$E$5-'Data Sample'!Q847)/365.25)</f>
        <v>34</v>
      </c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339"/>
      <c r="AJ847" s="353">
        <f t="shared" si="36"/>
        <v>331</v>
      </c>
    </row>
    <row r="848" spans="1:36">
      <c r="A848" s="332">
        <f t="shared" si="37"/>
        <v>332</v>
      </c>
      <c r="F848" s="365"/>
      <c r="G848" s="366" t="s">
        <v>1203</v>
      </c>
      <c r="H848" s="367">
        <v>29276</v>
      </c>
      <c r="I848" s="351" t="s">
        <v>870</v>
      </c>
      <c r="J848" s="350" t="s">
        <v>863</v>
      </c>
      <c r="K848" s="350">
        <f>INT(('Run Time Parameters'!$E$5-'Data Sample'!H848)/365.25)</f>
        <v>29</v>
      </c>
      <c r="L848" s="368">
        <v>1997</v>
      </c>
      <c r="M848" s="368">
        <v>0</v>
      </c>
      <c r="N848" s="350" t="s">
        <v>867</v>
      </c>
      <c r="O848" s="368">
        <v>0</v>
      </c>
      <c r="P848" s="368">
        <v>0</v>
      </c>
      <c r="Q848" s="367">
        <v>29276</v>
      </c>
      <c r="R848" s="368" t="s">
        <v>870</v>
      </c>
      <c r="S848" s="368" t="s">
        <v>863</v>
      </c>
      <c r="T848" s="350">
        <f>INT(('Run Time Parameters'!$E$5-'Data Sample'!Q848)/365.25)</f>
        <v>29</v>
      </c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339"/>
      <c r="AJ848" s="353">
        <f t="shared" si="36"/>
        <v>332</v>
      </c>
    </row>
    <row r="849" spans="1:36">
      <c r="A849" s="332">
        <f t="shared" si="37"/>
        <v>333</v>
      </c>
      <c r="F849" s="365"/>
      <c r="G849" s="366" t="s">
        <v>1204</v>
      </c>
      <c r="H849" s="367">
        <v>25678</v>
      </c>
      <c r="I849" s="351" t="s">
        <v>862</v>
      </c>
      <c r="J849" s="350" t="s">
        <v>863</v>
      </c>
      <c r="K849" s="350">
        <f>INT(('Run Time Parameters'!$E$5-'Data Sample'!H849)/365.25)</f>
        <v>39</v>
      </c>
      <c r="L849" s="368">
        <v>1992</v>
      </c>
      <c r="M849" s="368">
        <v>0</v>
      </c>
      <c r="N849" s="350" t="s">
        <v>867</v>
      </c>
      <c r="O849" s="368">
        <v>0</v>
      </c>
      <c r="P849" s="368">
        <v>0</v>
      </c>
      <c r="Q849" s="367">
        <v>25678</v>
      </c>
      <c r="R849" s="368" t="s">
        <v>862</v>
      </c>
      <c r="S849" s="368" t="s">
        <v>863</v>
      </c>
      <c r="T849" s="350">
        <f>INT(('Run Time Parameters'!$E$5-'Data Sample'!Q849)/365.25)</f>
        <v>39</v>
      </c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339"/>
      <c r="AJ849" s="353">
        <f t="shared" si="36"/>
        <v>333</v>
      </c>
    </row>
    <row r="850" spans="1:36">
      <c r="A850" s="332">
        <f t="shared" si="37"/>
        <v>334</v>
      </c>
      <c r="F850" s="365"/>
      <c r="G850" s="366" t="s">
        <v>1205</v>
      </c>
      <c r="H850" s="367">
        <v>24187.041666666668</v>
      </c>
      <c r="I850" s="351" t="s">
        <v>870</v>
      </c>
      <c r="J850" s="350" t="s">
        <v>863</v>
      </c>
      <c r="K850" s="350">
        <f>INT(('Run Time Parameters'!$E$5-'Data Sample'!H850)/365.25)</f>
        <v>43</v>
      </c>
      <c r="L850" s="368">
        <v>1983</v>
      </c>
      <c r="M850" s="368">
        <v>1</v>
      </c>
      <c r="N850" s="350" t="s">
        <v>864</v>
      </c>
      <c r="O850" s="368">
        <v>0</v>
      </c>
      <c r="P850" s="368">
        <v>0</v>
      </c>
      <c r="Q850" s="367">
        <v>24262</v>
      </c>
      <c r="R850" s="368" t="s">
        <v>862</v>
      </c>
      <c r="S850" s="368" t="s">
        <v>863</v>
      </c>
      <c r="T850" s="350">
        <f>INT(('Run Time Parameters'!$E$5-'Data Sample'!Q850)/365.25)</f>
        <v>43</v>
      </c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339"/>
      <c r="AJ850" s="353">
        <f t="shared" si="36"/>
        <v>334</v>
      </c>
    </row>
    <row r="851" spans="1:36">
      <c r="A851" s="332">
        <f t="shared" si="37"/>
        <v>335</v>
      </c>
      <c r="F851" s="365"/>
      <c r="G851" s="366" t="s">
        <v>1206</v>
      </c>
      <c r="H851" s="367">
        <v>30580</v>
      </c>
      <c r="I851" s="351" t="s">
        <v>870</v>
      </c>
      <c r="J851" s="350" t="s">
        <v>863</v>
      </c>
      <c r="K851" s="350">
        <f>INT(('Run Time Parameters'!$E$5-'Data Sample'!H851)/365.25)</f>
        <v>26</v>
      </c>
      <c r="L851" s="368">
        <v>2000</v>
      </c>
      <c r="M851" s="368">
        <v>0</v>
      </c>
      <c r="N851" s="350" t="s">
        <v>867</v>
      </c>
      <c r="O851" s="368">
        <v>0</v>
      </c>
      <c r="P851" s="368">
        <v>0</v>
      </c>
      <c r="Q851" s="367">
        <v>30580</v>
      </c>
      <c r="R851" s="368" t="s">
        <v>870</v>
      </c>
      <c r="S851" s="368" t="s">
        <v>863</v>
      </c>
      <c r="T851" s="350">
        <f>INT(('Run Time Parameters'!$E$5-'Data Sample'!Q851)/365.25)</f>
        <v>26</v>
      </c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339"/>
      <c r="AJ851" s="353">
        <f t="shared" si="36"/>
        <v>335</v>
      </c>
    </row>
    <row r="852" spans="1:36">
      <c r="A852" s="332">
        <f t="shared" si="37"/>
        <v>336</v>
      </c>
      <c r="F852" s="365"/>
      <c r="G852" s="366" t="s">
        <v>1207</v>
      </c>
      <c r="H852" s="367">
        <v>19132</v>
      </c>
      <c r="I852" s="351" t="s">
        <v>862</v>
      </c>
      <c r="J852" s="350" t="s">
        <v>863</v>
      </c>
      <c r="K852" s="350">
        <f>INT(('Run Time Parameters'!$E$5-'Data Sample'!H852)/365.25)</f>
        <v>57</v>
      </c>
      <c r="L852" s="368">
        <v>1969</v>
      </c>
      <c r="M852" s="368">
        <v>0</v>
      </c>
      <c r="N852" s="350" t="s">
        <v>867</v>
      </c>
      <c r="O852" s="368">
        <v>0</v>
      </c>
      <c r="P852" s="368">
        <v>0</v>
      </c>
      <c r="Q852" s="367">
        <v>19132</v>
      </c>
      <c r="R852" s="368" t="s">
        <v>862</v>
      </c>
      <c r="S852" s="368" t="s">
        <v>863</v>
      </c>
      <c r="T852" s="350">
        <f>INT(('Run Time Parameters'!$E$5-'Data Sample'!Q852)/365.25)</f>
        <v>57</v>
      </c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339"/>
      <c r="AJ852" s="353">
        <f t="shared" si="36"/>
        <v>336</v>
      </c>
    </row>
    <row r="853" spans="1:36">
      <c r="A853" s="332">
        <f t="shared" si="37"/>
        <v>337</v>
      </c>
      <c r="F853" s="365"/>
      <c r="G853" s="366" t="s">
        <v>1208</v>
      </c>
      <c r="H853" s="367">
        <v>23721.041666666668</v>
      </c>
      <c r="I853" s="351" t="s">
        <v>870</v>
      </c>
      <c r="J853" s="350" t="s">
        <v>863</v>
      </c>
      <c r="K853" s="350">
        <f>INT(('Run Time Parameters'!$E$5-'Data Sample'!H853)/365.25)</f>
        <v>44</v>
      </c>
      <c r="L853" s="368">
        <v>1981</v>
      </c>
      <c r="M853" s="368">
        <v>0</v>
      </c>
      <c r="N853" s="350" t="s">
        <v>867</v>
      </c>
      <c r="O853" s="368">
        <v>0</v>
      </c>
      <c r="P853" s="368">
        <v>0</v>
      </c>
      <c r="Q853" s="367">
        <v>25626.041666666668</v>
      </c>
      <c r="R853" s="368" t="s">
        <v>862</v>
      </c>
      <c r="S853" s="368" t="s">
        <v>863</v>
      </c>
      <c r="T853" s="350">
        <f>INT(('Run Time Parameters'!$E$5-'Data Sample'!Q853)/365.25)</f>
        <v>39</v>
      </c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339"/>
      <c r="AJ853" s="353">
        <f t="shared" si="36"/>
        <v>337</v>
      </c>
    </row>
    <row r="854" spans="1:36">
      <c r="A854" s="332">
        <f t="shared" si="37"/>
        <v>338</v>
      </c>
      <c r="F854" s="365"/>
      <c r="G854" s="366" t="s">
        <v>1209</v>
      </c>
      <c r="H854" s="367">
        <v>26233.041666666668</v>
      </c>
      <c r="I854" s="351" t="s">
        <v>870</v>
      </c>
      <c r="J854" s="350" t="s">
        <v>863</v>
      </c>
      <c r="K854" s="350">
        <f>INT(('Run Time Parameters'!$E$5-'Data Sample'!H854)/365.25)</f>
        <v>38</v>
      </c>
      <c r="L854" s="368">
        <v>2000</v>
      </c>
      <c r="M854" s="368">
        <v>0</v>
      </c>
      <c r="N854" s="350" t="s">
        <v>864</v>
      </c>
      <c r="O854" s="368">
        <v>0</v>
      </c>
      <c r="P854" s="368">
        <v>0</v>
      </c>
      <c r="Q854" s="367">
        <v>26233.041666666668</v>
      </c>
      <c r="R854" s="368" t="s">
        <v>870</v>
      </c>
      <c r="S854" s="368" t="s">
        <v>863</v>
      </c>
      <c r="T854" s="350">
        <f>INT(('Run Time Parameters'!$E$5-'Data Sample'!Q854)/365.25)</f>
        <v>38</v>
      </c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339"/>
      <c r="AJ854" s="353">
        <f t="shared" si="36"/>
        <v>338</v>
      </c>
    </row>
    <row r="855" spans="1:36">
      <c r="A855" s="332">
        <f t="shared" si="37"/>
        <v>339</v>
      </c>
      <c r="F855" s="365"/>
      <c r="G855" s="366" t="s">
        <v>1210</v>
      </c>
      <c r="H855" s="367">
        <v>19446.041666666668</v>
      </c>
      <c r="I855" s="351" t="s">
        <v>870</v>
      </c>
      <c r="J855" s="350" t="s">
        <v>863</v>
      </c>
      <c r="K855" s="350">
        <f>INT(('Run Time Parameters'!$E$5-'Data Sample'!H855)/365.25)</f>
        <v>56</v>
      </c>
      <c r="L855" s="368">
        <v>1970</v>
      </c>
      <c r="M855" s="368">
        <v>0</v>
      </c>
      <c r="N855" s="350" t="s">
        <v>867</v>
      </c>
      <c r="O855" s="368">
        <v>0</v>
      </c>
      <c r="P855" s="368">
        <v>0</v>
      </c>
      <c r="Q855" s="367">
        <v>20952</v>
      </c>
      <c r="R855" s="368" t="s">
        <v>862</v>
      </c>
      <c r="S855" s="368" t="s">
        <v>863</v>
      </c>
      <c r="T855" s="350">
        <f>INT(('Run Time Parameters'!$E$5-'Data Sample'!Q855)/365.25)</f>
        <v>52</v>
      </c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339"/>
      <c r="AJ855" s="353">
        <f t="shared" si="36"/>
        <v>339</v>
      </c>
    </row>
    <row r="856" spans="1:36">
      <c r="A856" s="332">
        <f t="shared" si="37"/>
        <v>340</v>
      </c>
      <c r="F856" s="365"/>
      <c r="G856" s="366" t="s">
        <v>1211</v>
      </c>
      <c r="H856" s="367">
        <v>20811.041666666668</v>
      </c>
      <c r="I856" s="351" t="s">
        <v>862</v>
      </c>
      <c r="J856" s="350" t="s">
        <v>874</v>
      </c>
      <c r="K856" s="350">
        <f>INT(('Run Time Parameters'!$E$5-'Data Sample'!H856)/365.25)</f>
        <v>52</v>
      </c>
      <c r="L856" s="368">
        <v>1976</v>
      </c>
      <c r="M856" s="368">
        <v>0</v>
      </c>
      <c r="N856" s="350" t="s">
        <v>864</v>
      </c>
      <c r="O856" s="368">
        <v>0</v>
      </c>
      <c r="P856" s="368">
        <v>0</v>
      </c>
      <c r="Q856" s="367">
        <v>20811.041666666668</v>
      </c>
      <c r="R856" s="368" t="s">
        <v>862</v>
      </c>
      <c r="S856" s="368" t="s">
        <v>874</v>
      </c>
      <c r="T856" s="350">
        <f>INT(('Run Time Parameters'!$E$5-'Data Sample'!Q856)/365.25)</f>
        <v>52</v>
      </c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339"/>
      <c r="AJ856" s="353">
        <f t="shared" si="36"/>
        <v>340</v>
      </c>
    </row>
    <row r="857" spans="1:36">
      <c r="A857" s="332">
        <f t="shared" si="37"/>
        <v>341</v>
      </c>
      <c r="F857" s="365"/>
      <c r="G857" s="366" t="s">
        <v>1212</v>
      </c>
      <c r="H857" s="367">
        <v>27863</v>
      </c>
      <c r="I857" s="351" t="s">
        <v>870</v>
      </c>
      <c r="J857" s="350" t="s">
        <v>863</v>
      </c>
      <c r="K857" s="350">
        <f>INT(('Run Time Parameters'!$E$5-'Data Sample'!H857)/365.25)</f>
        <v>33</v>
      </c>
      <c r="L857" s="368">
        <v>1995</v>
      </c>
      <c r="M857" s="368">
        <v>1</v>
      </c>
      <c r="N857" s="350" t="s">
        <v>867</v>
      </c>
      <c r="O857" s="368">
        <v>0</v>
      </c>
      <c r="P857" s="368">
        <v>0</v>
      </c>
      <c r="Q857" s="367">
        <v>27863</v>
      </c>
      <c r="R857" s="368" t="s">
        <v>870</v>
      </c>
      <c r="S857" s="368" t="s">
        <v>863</v>
      </c>
      <c r="T857" s="350">
        <f>INT(('Run Time Parameters'!$E$5-'Data Sample'!Q857)/365.25)</f>
        <v>33</v>
      </c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339"/>
      <c r="AJ857" s="353">
        <f t="shared" si="36"/>
        <v>341</v>
      </c>
    </row>
    <row r="858" spans="1:36">
      <c r="A858" s="332">
        <f t="shared" si="37"/>
        <v>342</v>
      </c>
      <c r="F858" s="365"/>
      <c r="G858" s="366" t="s">
        <v>1213</v>
      </c>
      <c r="H858" s="367">
        <v>27477.041666666668</v>
      </c>
      <c r="I858" s="351" t="s">
        <v>862</v>
      </c>
      <c r="J858" s="350" t="s">
        <v>863</v>
      </c>
      <c r="K858" s="350">
        <f>INT(('Run Time Parameters'!$E$5-'Data Sample'!H858)/365.25)</f>
        <v>34</v>
      </c>
      <c r="L858" s="368">
        <v>1992</v>
      </c>
      <c r="M858" s="368">
        <v>0</v>
      </c>
      <c r="N858" s="350" t="s">
        <v>864</v>
      </c>
      <c r="O858" s="368">
        <v>0</v>
      </c>
      <c r="P858" s="368">
        <v>0</v>
      </c>
      <c r="Q858" s="367">
        <v>27477.041666666668</v>
      </c>
      <c r="R858" s="368" t="s">
        <v>862</v>
      </c>
      <c r="S858" s="368" t="s">
        <v>863</v>
      </c>
      <c r="T858" s="350">
        <f>INT(('Run Time Parameters'!$E$5-'Data Sample'!Q858)/365.25)</f>
        <v>34</v>
      </c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339"/>
      <c r="AJ858" s="353">
        <f t="shared" si="36"/>
        <v>342</v>
      </c>
    </row>
    <row r="859" spans="1:36">
      <c r="A859" s="332">
        <f t="shared" si="37"/>
        <v>343</v>
      </c>
      <c r="F859" s="365"/>
      <c r="G859" s="366" t="s">
        <v>1214</v>
      </c>
      <c r="H859" s="367">
        <v>30566</v>
      </c>
      <c r="I859" s="351" t="s">
        <v>862</v>
      </c>
      <c r="J859" s="350" t="s">
        <v>874</v>
      </c>
      <c r="K859" s="350">
        <f>INT(('Run Time Parameters'!$E$5-'Data Sample'!H859)/365.25)</f>
        <v>26</v>
      </c>
      <c r="L859" s="368">
        <v>2002</v>
      </c>
      <c r="M859" s="368">
        <v>0</v>
      </c>
      <c r="N859" s="350" t="s">
        <v>867</v>
      </c>
      <c r="O859" s="368">
        <v>0</v>
      </c>
      <c r="P859" s="368">
        <v>0</v>
      </c>
      <c r="Q859" s="367">
        <v>30566</v>
      </c>
      <c r="R859" s="368" t="s">
        <v>862</v>
      </c>
      <c r="S859" s="368" t="s">
        <v>874</v>
      </c>
      <c r="T859" s="350">
        <f>INT(('Run Time Parameters'!$E$5-'Data Sample'!Q859)/365.25)</f>
        <v>26</v>
      </c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339"/>
      <c r="AJ859" s="353">
        <f t="shared" si="36"/>
        <v>343</v>
      </c>
    </row>
    <row r="860" spans="1:36">
      <c r="A860" s="332">
        <f t="shared" si="37"/>
        <v>344</v>
      </c>
      <c r="F860" s="365"/>
      <c r="G860" s="366" t="s">
        <v>1215</v>
      </c>
      <c r="H860" s="367">
        <v>22126</v>
      </c>
      <c r="I860" s="351" t="s">
        <v>862</v>
      </c>
      <c r="J860" s="350" t="s">
        <v>863</v>
      </c>
      <c r="K860" s="350">
        <f>INT(('Run Time Parameters'!$E$5-'Data Sample'!H860)/365.25)</f>
        <v>49</v>
      </c>
      <c r="L860" s="368">
        <v>1977</v>
      </c>
      <c r="M860" s="368">
        <v>0</v>
      </c>
      <c r="N860" s="350" t="s">
        <v>864</v>
      </c>
      <c r="O860" s="368">
        <v>0</v>
      </c>
      <c r="P860" s="368">
        <v>0</v>
      </c>
      <c r="Q860" s="367">
        <v>22164</v>
      </c>
      <c r="R860" s="368" t="s">
        <v>870</v>
      </c>
      <c r="S860" s="368" t="s">
        <v>863</v>
      </c>
      <c r="T860" s="350">
        <f>INT(('Run Time Parameters'!$E$5-'Data Sample'!Q860)/365.25)</f>
        <v>49</v>
      </c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339"/>
      <c r="AJ860" s="353">
        <f t="shared" si="36"/>
        <v>344</v>
      </c>
    </row>
    <row r="861" spans="1:36">
      <c r="A861" s="332">
        <f t="shared" si="37"/>
        <v>345</v>
      </c>
      <c r="F861" s="365"/>
      <c r="G861" s="366" t="s">
        <v>1216</v>
      </c>
      <c r="H861" s="367">
        <v>14669.041666666666</v>
      </c>
      <c r="I861" s="351" t="s">
        <v>870</v>
      </c>
      <c r="J861" s="350" t="s">
        <v>863</v>
      </c>
      <c r="K861" s="350">
        <f>INT(('Run Time Parameters'!$E$5-'Data Sample'!H861)/365.25)</f>
        <v>69</v>
      </c>
      <c r="L861" s="368">
        <v>1957</v>
      </c>
      <c r="M861" s="368">
        <v>0</v>
      </c>
      <c r="N861" s="350" t="s">
        <v>867</v>
      </c>
      <c r="O861" s="368">
        <v>0</v>
      </c>
      <c r="P861" s="368">
        <v>0</v>
      </c>
      <c r="Q861" s="367">
        <v>14669.041666666666</v>
      </c>
      <c r="R861" s="368" t="s">
        <v>870</v>
      </c>
      <c r="S861" s="368" t="s">
        <v>863</v>
      </c>
      <c r="T861" s="350">
        <f>INT(('Run Time Parameters'!$E$5-'Data Sample'!Q861)/365.25)</f>
        <v>69</v>
      </c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339"/>
      <c r="AJ861" s="353">
        <f t="shared" si="36"/>
        <v>345</v>
      </c>
    </row>
    <row r="862" spans="1:36">
      <c r="A862" s="332">
        <f t="shared" si="37"/>
        <v>346</v>
      </c>
      <c r="F862" s="365"/>
      <c r="G862" s="366" t="s">
        <v>1217</v>
      </c>
      <c r="H862" s="367">
        <v>26869</v>
      </c>
      <c r="I862" s="351" t="s">
        <v>862</v>
      </c>
      <c r="J862" s="350" t="s">
        <v>874</v>
      </c>
      <c r="K862" s="350">
        <f>INT(('Run Time Parameters'!$E$5-'Data Sample'!H862)/365.25)</f>
        <v>36</v>
      </c>
      <c r="L862" s="368">
        <v>1990</v>
      </c>
      <c r="M862" s="368">
        <v>0</v>
      </c>
      <c r="N862" s="350" t="s">
        <v>867</v>
      </c>
      <c r="O862" s="368">
        <v>0</v>
      </c>
      <c r="P862" s="368">
        <v>0</v>
      </c>
      <c r="Q862" s="367">
        <v>26869</v>
      </c>
      <c r="R862" s="368" t="s">
        <v>862</v>
      </c>
      <c r="S862" s="368" t="s">
        <v>874</v>
      </c>
      <c r="T862" s="350">
        <f>INT(('Run Time Parameters'!$E$5-'Data Sample'!Q862)/365.25)</f>
        <v>36</v>
      </c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339"/>
      <c r="AJ862" s="353">
        <f t="shared" si="36"/>
        <v>346</v>
      </c>
    </row>
    <row r="863" spans="1:36">
      <c r="A863" s="332">
        <f t="shared" si="37"/>
        <v>347</v>
      </c>
      <c r="F863" s="365"/>
      <c r="G863" s="366" t="s">
        <v>1218</v>
      </c>
      <c r="H863" s="367">
        <v>26546</v>
      </c>
      <c r="I863" s="351" t="s">
        <v>870</v>
      </c>
      <c r="J863" s="350" t="s">
        <v>863</v>
      </c>
      <c r="K863" s="350">
        <f>INT(('Run Time Parameters'!$E$5-'Data Sample'!H863)/365.25)</f>
        <v>37</v>
      </c>
      <c r="L863" s="368">
        <v>1989</v>
      </c>
      <c r="M863" s="368">
        <v>0</v>
      </c>
      <c r="N863" s="350" t="s">
        <v>864</v>
      </c>
      <c r="O863" s="368">
        <v>0</v>
      </c>
      <c r="P863" s="368">
        <v>0</v>
      </c>
      <c r="Q863" s="367">
        <v>26546</v>
      </c>
      <c r="R863" s="368" t="s">
        <v>870</v>
      </c>
      <c r="S863" s="368" t="s">
        <v>863</v>
      </c>
      <c r="T863" s="350">
        <f>INT(('Run Time Parameters'!$E$5-'Data Sample'!Q863)/365.25)</f>
        <v>37</v>
      </c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339"/>
      <c r="AJ863" s="353">
        <f t="shared" si="36"/>
        <v>347</v>
      </c>
    </row>
    <row r="864" spans="1:36">
      <c r="A864" s="332">
        <f t="shared" si="37"/>
        <v>348</v>
      </c>
      <c r="F864" s="365"/>
      <c r="G864" s="366" t="s">
        <v>1219</v>
      </c>
      <c r="H864" s="367">
        <v>20655</v>
      </c>
      <c r="I864" s="351" t="s">
        <v>870</v>
      </c>
      <c r="J864" s="350" t="s">
        <v>863</v>
      </c>
      <c r="K864" s="350">
        <f>INT(('Run Time Parameters'!$E$5-'Data Sample'!H864)/365.25)</f>
        <v>53</v>
      </c>
      <c r="L864" s="368">
        <v>1974</v>
      </c>
      <c r="M864" s="368">
        <v>0</v>
      </c>
      <c r="N864" s="350" t="s">
        <v>864</v>
      </c>
      <c r="O864" s="368">
        <v>0</v>
      </c>
      <c r="P864" s="368">
        <v>0</v>
      </c>
      <c r="Q864" s="367">
        <v>21554.041666666668</v>
      </c>
      <c r="R864" s="368" t="s">
        <v>862</v>
      </c>
      <c r="S864" s="368" t="s">
        <v>863</v>
      </c>
      <c r="T864" s="350">
        <f>INT(('Run Time Parameters'!$E$5-'Data Sample'!Q864)/365.25)</f>
        <v>50</v>
      </c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339"/>
      <c r="AJ864" s="353">
        <f t="shared" si="36"/>
        <v>348</v>
      </c>
    </row>
    <row r="865" spans="1:36">
      <c r="A865" s="332">
        <f t="shared" si="37"/>
        <v>349</v>
      </c>
      <c r="F865" s="365"/>
      <c r="G865" s="366" t="s">
        <v>1220</v>
      </c>
      <c r="H865" s="367">
        <v>19755.041666666668</v>
      </c>
      <c r="I865" s="351" t="s">
        <v>870</v>
      </c>
      <c r="J865" s="350" t="s">
        <v>863</v>
      </c>
      <c r="K865" s="350">
        <f>INT(('Run Time Parameters'!$E$5-'Data Sample'!H865)/365.25)</f>
        <v>55</v>
      </c>
      <c r="L865" s="368">
        <v>1971</v>
      </c>
      <c r="M865" s="368">
        <v>0</v>
      </c>
      <c r="N865" s="350" t="s">
        <v>867</v>
      </c>
      <c r="O865" s="368">
        <v>0</v>
      </c>
      <c r="P865" s="368">
        <v>0</v>
      </c>
      <c r="Q865" s="367">
        <v>19755.041666666668</v>
      </c>
      <c r="R865" s="368" t="s">
        <v>870</v>
      </c>
      <c r="S865" s="368" t="s">
        <v>863</v>
      </c>
      <c r="T865" s="350">
        <f>INT(('Run Time Parameters'!$E$5-'Data Sample'!Q865)/365.25)</f>
        <v>55</v>
      </c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339"/>
      <c r="AJ865" s="353">
        <f t="shared" si="36"/>
        <v>349</v>
      </c>
    </row>
    <row r="866" spans="1:36">
      <c r="A866" s="332">
        <f t="shared" si="37"/>
        <v>350</v>
      </c>
      <c r="F866" s="365"/>
      <c r="G866" s="366" t="s">
        <v>1221</v>
      </c>
      <c r="H866" s="367">
        <v>28823</v>
      </c>
      <c r="I866" s="351" t="s">
        <v>862</v>
      </c>
      <c r="J866" s="350" t="s">
        <v>863</v>
      </c>
      <c r="K866" s="350">
        <f>INT(('Run Time Parameters'!$E$5-'Data Sample'!H866)/365.25)</f>
        <v>30</v>
      </c>
      <c r="L866" s="368">
        <v>1998</v>
      </c>
      <c r="M866" s="368">
        <v>0</v>
      </c>
      <c r="N866" s="350" t="s">
        <v>867</v>
      </c>
      <c r="O866" s="368">
        <v>0</v>
      </c>
      <c r="P866" s="368">
        <v>0</v>
      </c>
      <c r="Q866" s="367">
        <v>28823</v>
      </c>
      <c r="R866" s="368" t="s">
        <v>862</v>
      </c>
      <c r="S866" s="368" t="s">
        <v>863</v>
      </c>
      <c r="T866" s="350">
        <f>INT(('Run Time Parameters'!$E$5-'Data Sample'!Q866)/365.25)</f>
        <v>30</v>
      </c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339"/>
      <c r="AJ866" s="353">
        <f t="shared" si="36"/>
        <v>350</v>
      </c>
    </row>
    <row r="867" spans="1:36">
      <c r="A867" s="332">
        <f t="shared" si="37"/>
        <v>351</v>
      </c>
      <c r="F867" s="365"/>
      <c r="G867" s="366" t="s">
        <v>1222</v>
      </c>
      <c r="H867" s="367">
        <v>28621</v>
      </c>
      <c r="I867" s="351" t="s">
        <v>862</v>
      </c>
      <c r="J867" s="350" t="s">
        <v>863</v>
      </c>
      <c r="K867" s="350">
        <f>INT(('Run Time Parameters'!$E$5-'Data Sample'!H867)/365.25)</f>
        <v>31</v>
      </c>
      <c r="L867" s="368">
        <v>2000</v>
      </c>
      <c r="M867" s="368">
        <v>0</v>
      </c>
      <c r="N867" s="350" t="s">
        <v>867</v>
      </c>
      <c r="O867" s="368">
        <v>0</v>
      </c>
      <c r="P867" s="368">
        <v>0</v>
      </c>
      <c r="Q867" s="367">
        <v>28835</v>
      </c>
      <c r="R867" s="368" t="s">
        <v>870</v>
      </c>
      <c r="S867" s="368" t="s">
        <v>863</v>
      </c>
      <c r="T867" s="350">
        <f>INT(('Run Time Parameters'!$E$5-'Data Sample'!Q867)/365.25)</f>
        <v>30</v>
      </c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339"/>
      <c r="AJ867" s="353">
        <f t="shared" si="36"/>
        <v>351</v>
      </c>
    </row>
    <row r="868" spans="1:36">
      <c r="A868" s="332">
        <f t="shared" si="37"/>
        <v>352</v>
      </c>
      <c r="F868" s="365"/>
      <c r="G868" s="366" t="s">
        <v>1223</v>
      </c>
      <c r="H868" s="367">
        <v>24386.041666666668</v>
      </c>
      <c r="I868" s="351" t="s">
        <v>870</v>
      </c>
      <c r="J868" s="350" t="s">
        <v>863</v>
      </c>
      <c r="K868" s="350">
        <f>INT(('Run Time Parameters'!$E$5-'Data Sample'!H868)/365.25)</f>
        <v>43</v>
      </c>
      <c r="L868" s="368">
        <v>1986</v>
      </c>
      <c r="M868" s="368">
        <v>0</v>
      </c>
      <c r="N868" s="350" t="s">
        <v>864</v>
      </c>
      <c r="O868" s="368">
        <v>0</v>
      </c>
      <c r="P868" s="368">
        <v>0</v>
      </c>
      <c r="Q868" s="367">
        <v>24386.041666666668</v>
      </c>
      <c r="R868" s="368" t="s">
        <v>870</v>
      </c>
      <c r="S868" s="368" t="s">
        <v>863</v>
      </c>
      <c r="T868" s="350">
        <f>INT(('Run Time Parameters'!$E$5-'Data Sample'!Q868)/365.25)</f>
        <v>43</v>
      </c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339"/>
      <c r="AJ868" s="353">
        <f t="shared" si="36"/>
        <v>352</v>
      </c>
    </row>
    <row r="869" spans="1:36">
      <c r="A869" s="332">
        <f t="shared" si="37"/>
        <v>353</v>
      </c>
      <c r="F869" s="365"/>
      <c r="G869" s="366" t="s">
        <v>1224</v>
      </c>
      <c r="H869" s="367">
        <v>21968.041666666668</v>
      </c>
      <c r="I869" s="351" t="s">
        <v>870</v>
      </c>
      <c r="J869" s="350" t="s">
        <v>863</v>
      </c>
      <c r="K869" s="350">
        <f>INT(('Run Time Parameters'!$E$5-'Data Sample'!H869)/365.25)</f>
        <v>49</v>
      </c>
      <c r="L869" s="368">
        <v>1977</v>
      </c>
      <c r="M869" s="368">
        <v>0</v>
      </c>
      <c r="N869" s="350" t="s">
        <v>864</v>
      </c>
      <c r="O869" s="368">
        <v>0</v>
      </c>
      <c r="P869" s="368">
        <v>0</v>
      </c>
      <c r="Q869" s="367">
        <v>22521</v>
      </c>
      <c r="R869" s="368" t="s">
        <v>862</v>
      </c>
      <c r="S869" s="368" t="s">
        <v>863</v>
      </c>
      <c r="T869" s="350">
        <f>INT(('Run Time Parameters'!$E$5-'Data Sample'!Q869)/365.25)</f>
        <v>48</v>
      </c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339"/>
      <c r="AJ869" s="353">
        <f t="shared" si="36"/>
        <v>353</v>
      </c>
    </row>
    <row r="870" spans="1:36">
      <c r="A870" s="332">
        <f t="shared" si="37"/>
        <v>354</v>
      </c>
      <c r="F870" s="365"/>
      <c r="G870" s="366" t="s">
        <v>1225</v>
      </c>
      <c r="H870" s="367">
        <v>10801</v>
      </c>
      <c r="I870" s="351" t="s">
        <v>870</v>
      </c>
      <c r="J870" s="350" t="s">
        <v>863</v>
      </c>
      <c r="K870" s="350">
        <f>INT(('Run Time Parameters'!$E$5-'Data Sample'!H870)/365.25)</f>
        <v>80</v>
      </c>
      <c r="L870" s="368">
        <v>1946</v>
      </c>
      <c r="M870" s="368">
        <v>0</v>
      </c>
      <c r="N870" s="350" t="s">
        <v>867</v>
      </c>
      <c r="O870" s="368">
        <v>0</v>
      </c>
      <c r="P870" s="368">
        <v>0</v>
      </c>
      <c r="Q870" s="367">
        <v>10801</v>
      </c>
      <c r="R870" s="368" t="s">
        <v>870</v>
      </c>
      <c r="S870" s="368" t="s">
        <v>863</v>
      </c>
      <c r="T870" s="350">
        <f>INT(('Run Time Parameters'!$E$5-'Data Sample'!Q870)/365.25)</f>
        <v>80</v>
      </c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339"/>
      <c r="AJ870" s="353">
        <f t="shared" si="36"/>
        <v>354</v>
      </c>
    </row>
    <row r="871" spans="1:36">
      <c r="A871" s="332">
        <f t="shared" si="37"/>
        <v>355</v>
      </c>
      <c r="F871" s="365"/>
      <c r="G871" s="366" t="s">
        <v>1226</v>
      </c>
      <c r="H871" s="367">
        <v>20424.041666666668</v>
      </c>
      <c r="I871" s="351" t="s">
        <v>870</v>
      </c>
      <c r="J871" s="350" t="s">
        <v>863</v>
      </c>
      <c r="K871" s="350">
        <f>INT(('Run Time Parameters'!$E$5-'Data Sample'!H871)/365.25)</f>
        <v>53</v>
      </c>
      <c r="L871" s="368">
        <v>1972</v>
      </c>
      <c r="M871" s="368">
        <v>0</v>
      </c>
      <c r="N871" s="350" t="s">
        <v>867</v>
      </c>
      <c r="O871" s="368">
        <v>0</v>
      </c>
      <c r="P871" s="368">
        <v>0</v>
      </c>
      <c r="Q871" s="367">
        <v>22778</v>
      </c>
      <c r="R871" s="368" t="s">
        <v>862</v>
      </c>
      <c r="S871" s="368" t="s">
        <v>863</v>
      </c>
      <c r="T871" s="350">
        <f>INT(('Run Time Parameters'!$E$5-'Data Sample'!Q871)/365.25)</f>
        <v>47</v>
      </c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339"/>
      <c r="AJ871" s="353">
        <f t="shared" si="36"/>
        <v>355</v>
      </c>
    </row>
    <row r="872" spans="1:36">
      <c r="A872" s="332">
        <f t="shared" si="37"/>
        <v>356</v>
      </c>
      <c r="F872" s="365"/>
      <c r="G872" s="366" t="s">
        <v>1227</v>
      </c>
      <c r="H872" s="367">
        <v>12122.041666666666</v>
      </c>
      <c r="I872" s="351" t="s">
        <v>870</v>
      </c>
      <c r="J872" s="350" t="s">
        <v>863</v>
      </c>
      <c r="K872" s="350">
        <f>INT(('Run Time Parameters'!$E$5-'Data Sample'!H872)/365.25)</f>
        <v>76</v>
      </c>
      <c r="L872" s="368">
        <v>1950</v>
      </c>
      <c r="M872" s="368">
        <v>0</v>
      </c>
      <c r="N872" s="350" t="s">
        <v>867</v>
      </c>
      <c r="O872" s="368">
        <v>0</v>
      </c>
      <c r="P872" s="368">
        <v>0</v>
      </c>
      <c r="Q872" s="367">
        <v>12122.041666666666</v>
      </c>
      <c r="R872" s="368" t="s">
        <v>870</v>
      </c>
      <c r="S872" s="368" t="s">
        <v>863</v>
      </c>
      <c r="T872" s="350">
        <f>INT(('Run Time Parameters'!$E$5-'Data Sample'!Q872)/365.25)</f>
        <v>76</v>
      </c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339"/>
      <c r="AJ872" s="353">
        <f t="shared" si="36"/>
        <v>356</v>
      </c>
    </row>
    <row r="873" spans="1:36">
      <c r="A873" s="332">
        <f t="shared" si="37"/>
        <v>357</v>
      </c>
      <c r="F873" s="365"/>
      <c r="G873" s="366" t="s">
        <v>1228</v>
      </c>
      <c r="H873" s="367">
        <v>24401.041666666668</v>
      </c>
      <c r="I873" s="351" t="s">
        <v>870</v>
      </c>
      <c r="J873" s="350" t="s">
        <v>863</v>
      </c>
      <c r="K873" s="350">
        <f>INT(('Run Time Parameters'!$E$5-'Data Sample'!H873)/365.25)</f>
        <v>43</v>
      </c>
      <c r="L873" s="368">
        <v>1986</v>
      </c>
      <c r="M873" s="368">
        <v>0</v>
      </c>
      <c r="N873" s="350" t="s">
        <v>867</v>
      </c>
      <c r="O873" s="368">
        <v>0</v>
      </c>
      <c r="P873" s="368">
        <v>0</v>
      </c>
      <c r="Q873" s="367">
        <v>24401.041666666668</v>
      </c>
      <c r="R873" s="368" t="s">
        <v>870</v>
      </c>
      <c r="S873" s="368" t="s">
        <v>863</v>
      </c>
      <c r="T873" s="350">
        <f>INT(('Run Time Parameters'!$E$5-'Data Sample'!Q873)/365.25)</f>
        <v>43</v>
      </c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339"/>
      <c r="AJ873" s="353">
        <f t="shared" si="36"/>
        <v>357</v>
      </c>
    </row>
    <row r="874" spans="1:36">
      <c r="A874" s="332">
        <f t="shared" si="37"/>
        <v>358</v>
      </c>
      <c r="F874" s="365"/>
      <c r="G874" s="366" t="s">
        <v>1229</v>
      </c>
      <c r="H874" s="367">
        <v>20520.041666666668</v>
      </c>
      <c r="I874" s="351" t="s">
        <v>870</v>
      </c>
      <c r="J874" s="350" t="s">
        <v>863</v>
      </c>
      <c r="K874" s="350">
        <f>INT(('Run Time Parameters'!$E$5-'Data Sample'!H874)/365.25)</f>
        <v>53</v>
      </c>
      <c r="L874" s="368">
        <v>1974</v>
      </c>
      <c r="M874" s="368">
        <v>0</v>
      </c>
      <c r="N874" s="350" t="s">
        <v>867</v>
      </c>
      <c r="O874" s="368">
        <v>0</v>
      </c>
      <c r="P874" s="368">
        <v>0</v>
      </c>
      <c r="Q874" s="367">
        <v>20520.041666666668</v>
      </c>
      <c r="R874" s="368" t="s">
        <v>870</v>
      </c>
      <c r="S874" s="368" t="s">
        <v>863</v>
      </c>
      <c r="T874" s="350">
        <f>INT(('Run Time Parameters'!$E$5-'Data Sample'!Q874)/365.25)</f>
        <v>53</v>
      </c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339"/>
      <c r="AJ874" s="353">
        <f t="shared" si="36"/>
        <v>358</v>
      </c>
    </row>
    <row r="875" spans="1:36">
      <c r="A875" s="332">
        <f t="shared" si="37"/>
        <v>359</v>
      </c>
      <c r="F875" s="365"/>
      <c r="G875" s="366" t="s">
        <v>1230</v>
      </c>
      <c r="H875" s="367">
        <v>25715</v>
      </c>
      <c r="I875" s="351" t="s">
        <v>870</v>
      </c>
      <c r="J875" s="350" t="s">
        <v>863</v>
      </c>
      <c r="K875" s="350">
        <f>INT(('Run Time Parameters'!$E$5-'Data Sample'!H875)/365.25)</f>
        <v>39</v>
      </c>
      <c r="L875" s="368">
        <v>1987</v>
      </c>
      <c r="M875" s="368">
        <v>0</v>
      </c>
      <c r="N875" s="350" t="s">
        <v>867</v>
      </c>
      <c r="O875" s="368">
        <v>0</v>
      </c>
      <c r="P875" s="368">
        <v>0</v>
      </c>
      <c r="Q875" s="367">
        <v>25715</v>
      </c>
      <c r="R875" s="368" t="s">
        <v>870</v>
      </c>
      <c r="S875" s="368" t="s">
        <v>863</v>
      </c>
      <c r="T875" s="350">
        <f>INT(('Run Time Parameters'!$E$5-'Data Sample'!Q875)/365.25)</f>
        <v>39</v>
      </c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339"/>
      <c r="AJ875" s="353">
        <f t="shared" si="36"/>
        <v>359</v>
      </c>
    </row>
    <row r="876" spans="1:36">
      <c r="A876" s="332">
        <f t="shared" si="37"/>
        <v>360</v>
      </c>
      <c r="F876" s="365"/>
      <c r="G876" s="366" t="s">
        <v>1231</v>
      </c>
      <c r="H876" s="367">
        <v>24329</v>
      </c>
      <c r="I876" s="351" t="s">
        <v>862</v>
      </c>
      <c r="J876" s="350" t="s">
        <v>863</v>
      </c>
      <c r="K876" s="350">
        <f>INT(('Run Time Parameters'!$E$5-'Data Sample'!H876)/365.25)</f>
        <v>43</v>
      </c>
      <c r="L876" s="368">
        <v>1983</v>
      </c>
      <c r="M876" s="368">
        <v>0</v>
      </c>
      <c r="N876" s="350" t="s">
        <v>864</v>
      </c>
      <c r="O876" s="368">
        <v>0</v>
      </c>
      <c r="P876" s="368">
        <v>0</v>
      </c>
      <c r="Q876" s="367">
        <v>25056</v>
      </c>
      <c r="R876" s="368" t="s">
        <v>870</v>
      </c>
      <c r="S876" s="368" t="s">
        <v>863</v>
      </c>
      <c r="T876" s="350">
        <f>INT(('Run Time Parameters'!$E$5-'Data Sample'!Q876)/365.25)</f>
        <v>41</v>
      </c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339"/>
      <c r="AJ876" s="353">
        <f t="shared" si="36"/>
        <v>360</v>
      </c>
    </row>
    <row r="877" spans="1:36">
      <c r="A877" s="332">
        <f t="shared" si="37"/>
        <v>361</v>
      </c>
      <c r="F877" s="365"/>
      <c r="G877" s="366" t="s">
        <v>1232</v>
      </c>
      <c r="H877" s="367">
        <v>25466</v>
      </c>
      <c r="I877" s="351" t="s">
        <v>862</v>
      </c>
      <c r="J877" s="350" t="s">
        <v>863</v>
      </c>
      <c r="K877" s="350">
        <f>INT(('Run Time Parameters'!$E$5-'Data Sample'!H877)/365.25)</f>
        <v>40</v>
      </c>
      <c r="L877" s="368">
        <v>1986</v>
      </c>
      <c r="M877" s="368">
        <v>0</v>
      </c>
      <c r="N877" s="350" t="s">
        <v>867</v>
      </c>
      <c r="O877" s="368">
        <v>0</v>
      </c>
      <c r="P877" s="368">
        <v>0</v>
      </c>
      <c r="Q877" s="367">
        <v>25466</v>
      </c>
      <c r="R877" s="368" t="s">
        <v>862</v>
      </c>
      <c r="S877" s="368" t="s">
        <v>863</v>
      </c>
      <c r="T877" s="350">
        <f>INT(('Run Time Parameters'!$E$5-'Data Sample'!Q877)/365.25)</f>
        <v>40</v>
      </c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339"/>
      <c r="AJ877" s="353">
        <f t="shared" si="36"/>
        <v>361</v>
      </c>
    </row>
    <row r="878" spans="1:36">
      <c r="A878" s="332">
        <f t="shared" si="37"/>
        <v>362</v>
      </c>
      <c r="F878" s="365"/>
      <c r="G878" s="366" t="s">
        <v>1233</v>
      </c>
      <c r="H878" s="367">
        <v>23153</v>
      </c>
      <c r="I878" s="351" t="s">
        <v>862</v>
      </c>
      <c r="J878" s="350" t="s">
        <v>863</v>
      </c>
      <c r="K878" s="350">
        <f>INT(('Run Time Parameters'!$E$5-'Data Sample'!H878)/365.25)</f>
        <v>46</v>
      </c>
      <c r="L878" s="368">
        <v>1990</v>
      </c>
      <c r="M878" s="368">
        <v>0</v>
      </c>
      <c r="N878" s="350" t="s">
        <v>867</v>
      </c>
      <c r="O878" s="368">
        <v>0</v>
      </c>
      <c r="P878" s="368">
        <v>0</v>
      </c>
      <c r="Q878" s="367">
        <v>23153</v>
      </c>
      <c r="R878" s="368" t="s">
        <v>862</v>
      </c>
      <c r="S878" s="368" t="s">
        <v>863</v>
      </c>
      <c r="T878" s="350">
        <f>INT(('Run Time Parameters'!$E$5-'Data Sample'!Q878)/365.25)</f>
        <v>46</v>
      </c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339"/>
      <c r="AJ878" s="353">
        <f t="shared" si="36"/>
        <v>362</v>
      </c>
    </row>
    <row r="879" spans="1:36">
      <c r="A879" s="332">
        <f t="shared" si="37"/>
        <v>363</v>
      </c>
      <c r="F879" s="365"/>
      <c r="G879" s="366" t="s">
        <v>1234</v>
      </c>
      <c r="H879" s="367">
        <v>29850</v>
      </c>
      <c r="I879" s="351" t="s">
        <v>862</v>
      </c>
      <c r="J879" s="350" t="s">
        <v>863</v>
      </c>
      <c r="K879" s="350">
        <f>INT(('Run Time Parameters'!$E$5-'Data Sample'!H879)/365.25)</f>
        <v>28</v>
      </c>
      <c r="L879" s="368">
        <v>1998</v>
      </c>
      <c r="M879" s="368">
        <v>0</v>
      </c>
      <c r="N879" s="350" t="s">
        <v>867</v>
      </c>
      <c r="O879" s="368">
        <v>0</v>
      </c>
      <c r="P879" s="368">
        <v>0</v>
      </c>
      <c r="Q879" s="367">
        <v>29850</v>
      </c>
      <c r="R879" s="368" t="s">
        <v>862</v>
      </c>
      <c r="S879" s="368" t="s">
        <v>863</v>
      </c>
      <c r="T879" s="350">
        <f>INT(('Run Time Parameters'!$E$5-'Data Sample'!Q879)/365.25)</f>
        <v>28</v>
      </c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339"/>
      <c r="AJ879" s="353">
        <f t="shared" si="36"/>
        <v>363</v>
      </c>
    </row>
    <row r="880" spans="1:36">
      <c r="A880" s="332">
        <f t="shared" si="37"/>
        <v>364</v>
      </c>
      <c r="F880" s="365"/>
      <c r="G880" s="366" t="s">
        <v>1235</v>
      </c>
      <c r="H880" s="367">
        <v>26658</v>
      </c>
      <c r="I880" s="351" t="s">
        <v>870</v>
      </c>
      <c r="J880" s="350" t="s">
        <v>863</v>
      </c>
      <c r="K880" s="350">
        <f>INT(('Run Time Parameters'!$E$5-'Data Sample'!H880)/365.25)</f>
        <v>36</v>
      </c>
      <c r="L880" s="368">
        <v>1989</v>
      </c>
      <c r="M880" s="368">
        <v>1</v>
      </c>
      <c r="N880" s="350" t="s">
        <v>867</v>
      </c>
      <c r="O880" s="368">
        <v>0</v>
      </c>
      <c r="P880" s="368">
        <v>0</v>
      </c>
      <c r="Q880" s="367">
        <v>26658</v>
      </c>
      <c r="R880" s="368" t="s">
        <v>870</v>
      </c>
      <c r="S880" s="368" t="s">
        <v>863</v>
      </c>
      <c r="T880" s="350">
        <f>INT(('Run Time Parameters'!$E$5-'Data Sample'!Q880)/365.25)</f>
        <v>36</v>
      </c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339"/>
      <c r="AJ880" s="353">
        <f t="shared" si="36"/>
        <v>364</v>
      </c>
    </row>
    <row r="881" spans="1:36">
      <c r="A881" s="332">
        <f t="shared" si="37"/>
        <v>365</v>
      </c>
      <c r="F881" s="365"/>
      <c r="G881" s="366" t="s">
        <v>1236</v>
      </c>
      <c r="H881" s="367">
        <v>11054.041666666666</v>
      </c>
      <c r="I881" s="351" t="s">
        <v>862</v>
      </c>
      <c r="J881" s="350" t="s">
        <v>863</v>
      </c>
      <c r="K881" s="350">
        <f>INT(('Run Time Parameters'!$E$5-'Data Sample'!H881)/365.25)</f>
        <v>79</v>
      </c>
      <c r="L881" s="368">
        <v>1954</v>
      </c>
      <c r="M881" s="368">
        <v>0</v>
      </c>
      <c r="N881" s="350" t="s">
        <v>867</v>
      </c>
      <c r="O881" s="368">
        <v>0</v>
      </c>
      <c r="P881" s="368">
        <v>0</v>
      </c>
      <c r="Q881" s="367">
        <v>11054.041666666666</v>
      </c>
      <c r="R881" s="368" t="s">
        <v>862</v>
      </c>
      <c r="S881" s="368" t="s">
        <v>863</v>
      </c>
      <c r="T881" s="350">
        <f>INT(('Run Time Parameters'!$E$5-'Data Sample'!Q881)/365.25)</f>
        <v>79</v>
      </c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339"/>
      <c r="AJ881" s="353">
        <f t="shared" si="36"/>
        <v>365</v>
      </c>
    </row>
    <row r="882" spans="1:36">
      <c r="A882" s="332">
        <f t="shared" si="37"/>
        <v>366</v>
      </c>
      <c r="F882" s="365"/>
      <c r="G882" s="366" t="s">
        <v>1237</v>
      </c>
      <c r="H882" s="367">
        <v>22220.041666666668</v>
      </c>
      <c r="I882" s="351" t="s">
        <v>862</v>
      </c>
      <c r="J882" s="350" t="s">
        <v>863</v>
      </c>
      <c r="K882" s="350">
        <f>INT(('Run Time Parameters'!$E$5-'Data Sample'!H882)/365.25)</f>
        <v>48</v>
      </c>
      <c r="L882" s="368">
        <v>1978</v>
      </c>
      <c r="M882" s="368">
        <v>1</v>
      </c>
      <c r="N882" s="350" t="s">
        <v>867</v>
      </c>
      <c r="O882" s="368">
        <v>0</v>
      </c>
      <c r="P882" s="368">
        <v>0</v>
      </c>
      <c r="Q882" s="367">
        <v>22521</v>
      </c>
      <c r="R882" s="368" t="s">
        <v>870</v>
      </c>
      <c r="S882" s="368" t="s">
        <v>863</v>
      </c>
      <c r="T882" s="350">
        <f>INT(('Run Time Parameters'!$E$5-'Data Sample'!Q882)/365.25)</f>
        <v>48</v>
      </c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339"/>
      <c r="AJ882" s="353">
        <f t="shared" si="36"/>
        <v>366</v>
      </c>
    </row>
    <row r="883" spans="1:36">
      <c r="A883" s="332">
        <f t="shared" si="37"/>
        <v>367</v>
      </c>
      <c r="F883" s="365"/>
      <c r="G883" s="366" t="s">
        <v>1238</v>
      </c>
      <c r="H883" s="367">
        <v>20352</v>
      </c>
      <c r="I883" s="351" t="s">
        <v>870</v>
      </c>
      <c r="J883" s="350" t="s">
        <v>863</v>
      </c>
      <c r="K883" s="350">
        <f>INT(('Run Time Parameters'!$E$5-'Data Sample'!H883)/365.25)</f>
        <v>54</v>
      </c>
      <c r="L883" s="368">
        <v>1976</v>
      </c>
      <c r="M883" s="368">
        <v>0</v>
      </c>
      <c r="N883" s="350" t="s">
        <v>867</v>
      </c>
      <c r="O883" s="368">
        <v>0</v>
      </c>
      <c r="P883" s="368">
        <v>0</v>
      </c>
      <c r="Q883" s="367">
        <v>20352</v>
      </c>
      <c r="R883" s="368" t="s">
        <v>870</v>
      </c>
      <c r="S883" s="368" t="s">
        <v>863</v>
      </c>
      <c r="T883" s="350">
        <f>INT(('Run Time Parameters'!$E$5-'Data Sample'!Q883)/365.25)</f>
        <v>54</v>
      </c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339"/>
      <c r="AJ883" s="353">
        <f t="shared" si="36"/>
        <v>367</v>
      </c>
    </row>
    <row r="884" spans="1:36">
      <c r="A884" s="332">
        <f t="shared" si="37"/>
        <v>368</v>
      </c>
      <c r="F884" s="365"/>
      <c r="G884" s="366" t="s">
        <v>1239</v>
      </c>
      <c r="H884" s="367">
        <v>24229</v>
      </c>
      <c r="I884" s="351" t="s">
        <v>870</v>
      </c>
      <c r="J884" s="350" t="s">
        <v>863</v>
      </c>
      <c r="K884" s="350">
        <f>INT(('Run Time Parameters'!$E$5-'Data Sample'!H884)/365.25)</f>
        <v>43</v>
      </c>
      <c r="L884" s="368">
        <v>1983</v>
      </c>
      <c r="M884" s="368">
        <v>0</v>
      </c>
      <c r="N884" s="350" t="s">
        <v>867</v>
      </c>
      <c r="O884" s="368">
        <v>0</v>
      </c>
      <c r="P884" s="368">
        <v>0</v>
      </c>
      <c r="Q884" s="367">
        <v>24229</v>
      </c>
      <c r="R884" s="368" t="s">
        <v>870</v>
      </c>
      <c r="S884" s="368" t="s">
        <v>863</v>
      </c>
      <c r="T884" s="350">
        <f>INT(('Run Time Parameters'!$E$5-'Data Sample'!Q884)/365.25)</f>
        <v>43</v>
      </c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339"/>
      <c r="AJ884" s="353">
        <f t="shared" si="36"/>
        <v>368</v>
      </c>
    </row>
    <row r="885" spans="1:36">
      <c r="A885" s="332">
        <f t="shared" si="37"/>
        <v>369</v>
      </c>
      <c r="F885" s="365"/>
      <c r="G885" s="366" t="s">
        <v>1240</v>
      </c>
      <c r="H885" s="367">
        <v>29834</v>
      </c>
      <c r="I885" s="351" t="s">
        <v>862</v>
      </c>
      <c r="J885" s="350" t="s">
        <v>863</v>
      </c>
      <c r="K885" s="350">
        <f>INT(('Run Time Parameters'!$E$5-'Data Sample'!H885)/365.25)</f>
        <v>28</v>
      </c>
      <c r="L885" s="368">
        <v>1998</v>
      </c>
      <c r="M885" s="368">
        <v>0</v>
      </c>
      <c r="N885" s="350" t="s">
        <v>867</v>
      </c>
      <c r="O885" s="368">
        <v>0</v>
      </c>
      <c r="P885" s="368">
        <v>0</v>
      </c>
      <c r="Q885" s="367">
        <v>29834</v>
      </c>
      <c r="R885" s="368" t="s">
        <v>862</v>
      </c>
      <c r="S885" s="368" t="s">
        <v>863</v>
      </c>
      <c r="T885" s="350">
        <f>INT(('Run Time Parameters'!$E$5-'Data Sample'!Q885)/365.25)</f>
        <v>28</v>
      </c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339"/>
      <c r="AJ885" s="353">
        <f t="shared" si="36"/>
        <v>369</v>
      </c>
    </row>
    <row r="886" spans="1:36">
      <c r="A886" s="332">
        <f t="shared" si="37"/>
        <v>370</v>
      </c>
      <c r="F886" s="365"/>
      <c r="G886" s="366" t="s">
        <v>1241</v>
      </c>
      <c r="H886" s="367">
        <v>25337</v>
      </c>
      <c r="I886" s="351" t="s">
        <v>862</v>
      </c>
      <c r="J886" s="350" t="s">
        <v>863</v>
      </c>
      <c r="K886" s="350">
        <f>INT(('Run Time Parameters'!$E$5-'Data Sample'!H886)/365.25)</f>
        <v>40</v>
      </c>
      <c r="L886" s="368">
        <v>1986</v>
      </c>
      <c r="M886" s="368">
        <v>0</v>
      </c>
      <c r="N886" s="350" t="s">
        <v>867</v>
      </c>
      <c r="O886" s="368">
        <v>0</v>
      </c>
      <c r="P886" s="368">
        <v>0</v>
      </c>
      <c r="Q886" s="367">
        <v>25337</v>
      </c>
      <c r="R886" s="368" t="s">
        <v>862</v>
      </c>
      <c r="S886" s="368" t="s">
        <v>863</v>
      </c>
      <c r="T886" s="350">
        <f>INT(('Run Time Parameters'!$E$5-'Data Sample'!Q886)/365.25)</f>
        <v>40</v>
      </c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339"/>
      <c r="AJ886" s="353">
        <f t="shared" si="36"/>
        <v>370</v>
      </c>
    </row>
    <row r="887" spans="1:36">
      <c r="A887" s="332">
        <f t="shared" si="37"/>
        <v>371</v>
      </c>
      <c r="F887" s="365"/>
      <c r="G887" s="366" t="s">
        <v>1242</v>
      </c>
      <c r="H887" s="367">
        <v>16290</v>
      </c>
      <c r="I887" s="351" t="s">
        <v>870</v>
      </c>
      <c r="J887" s="350" t="s">
        <v>863</v>
      </c>
      <c r="K887" s="350">
        <f>INT(('Run Time Parameters'!$E$5-'Data Sample'!H887)/365.25)</f>
        <v>65</v>
      </c>
      <c r="L887" s="368">
        <v>1961</v>
      </c>
      <c r="M887" s="368">
        <v>0</v>
      </c>
      <c r="N887" s="350" t="s">
        <v>867</v>
      </c>
      <c r="O887" s="368">
        <v>0</v>
      </c>
      <c r="P887" s="368">
        <v>0</v>
      </c>
      <c r="Q887" s="367">
        <v>17428</v>
      </c>
      <c r="R887" s="368" t="s">
        <v>862</v>
      </c>
      <c r="S887" s="368" t="s">
        <v>863</v>
      </c>
      <c r="T887" s="350">
        <f>INT(('Run Time Parameters'!$E$5-'Data Sample'!Q887)/365.25)</f>
        <v>62</v>
      </c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339"/>
      <c r="AJ887" s="353">
        <f t="shared" si="36"/>
        <v>371</v>
      </c>
    </row>
    <row r="888" spans="1:36">
      <c r="A888" s="332">
        <f t="shared" si="37"/>
        <v>372</v>
      </c>
      <c r="F888" s="365"/>
      <c r="G888" s="366" t="s">
        <v>1243</v>
      </c>
      <c r="H888" s="367">
        <v>23645</v>
      </c>
      <c r="I888" s="351" t="s">
        <v>870</v>
      </c>
      <c r="J888" s="350" t="s">
        <v>863</v>
      </c>
      <c r="K888" s="350">
        <f>INT(('Run Time Parameters'!$E$5-'Data Sample'!H888)/365.25)</f>
        <v>45</v>
      </c>
      <c r="L888" s="368">
        <v>1986</v>
      </c>
      <c r="M888" s="368">
        <v>0</v>
      </c>
      <c r="N888" s="350" t="s">
        <v>867</v>
      </c>
      <c r="O888" s="368">
        <v>0</v>
      </c>
      <c r="P888" s="368">
        <v>0</v>
      </c>
      <c r="Q888" s="367">
        <v>25596.041666666668</v>
      </c>
      <c r="R888" s="368" t="s">
        <v>862</v>
      </c>
      <c r="S888" s="368" t="s">
        <v>863</v>
      </c>
      <c r="T888" s="350">
        <f>INT(('Run Time Parameters'!$E$5-'Data Sample'!Q888)/365.25)</f>
        <v>39</v>
      </c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339"/>
      <c r="AJ888" s="353">
        <f t="shared" si="36"/>
        <v>372</v>
      </c>
    </row>
    <row r="889" spans="1:36">
      <c r="A889" s="332">
        <f t="shared" si="37"/>
        <v>373</v>
      </c>
      <c r="F889" s="365"/>
      <c r="G889" s="366" t="s">
        <v>1244</v>
      </c>
      <c r="H889" s="367">
        <v>12138.041666666666</v>
      </c>
      <c r="I889" s="351" t="s">
        <v>862</v>
      </c>
      <c r="J889" s="350" t="s">
        <v>863</v>
      </c>
      <c r="K889" s="350">
        <f>INT(('Run Time Parameters'!$E$5-'Data Sample'!H889)/365.25)</f>
        <v>76</v>
      </c>
      <c r="L889" s="368">
        <v>1962</v>
      </c>
      <c r="M889" s="368">
        <v>0</v>
      </c>
      <c r="N889" s="350" t="s">
        <v>867</v>
      </c>
      <c r="O889" s="368">
        <v>0</v>
      </c>
      <c r="P889" s="368">
        <v>0</v>
      </c>
      <c r="Q889" s="367">
        <v>12138.041666666666</v>
      </c>
      <c r="R889" s="368" t="s">
        <v>862</v>
      </c>
      <c r="S889" s="368" t="s">
        <v>863</v>
      </c>
      <c r="T889" s="350">
        <f>INT(('Run Time Parameters'!$E$5-'Data Sample'!Q889)/365.25)</f>
        <v>76</v>
      </c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339"/>
      <c r="AJ889" s="353">
        <f t="shared" si="36"/>
        <v>373</v>
      </c>
    </row>
    <row r="890" spans="1:36">
      <c r="A890" s="332">
        <f t="shared" si="37"/>
        <v>374</v>
      </c>
      <c r="F890" s="365"/>
      <c r="G890" s="366" t="s">
        <v>1245</v>
      </c>
      <c r="H890" s="367">
        <v>16290</v>
      </c>
      <c r="I890" s="351" t="s">
        <v>870</v>
      </c>
      <c r="J890" s="350" t="s">
        <v>863</v>
      </c>
      <c r="K890" s="350">
        <f>INT(('Run Time Parameters'!$E$5-'Data Sample'!H890)/365.25)</f>
        <v>65</v>
      </c>
      <c r="L890" s="368">
        <v>1961</v>
      </c>
      <c r="M890" s="368">
        <v>0</v>
      </c>
      <c r="N890" s="350" t="s">
        <v>867</v>
      </c>
      <c r="O890" s="368">
        <v>0</v>
      </c>
      <c r="P890" s="368">
        <v>0</v>
      </c>
      <c r="Q890" s="367">
        <v>17428</v>
      </c>
      <c r="R890" s="368" t="s">
        <v>862</v>
      </c>
      <c r="S890" s="368" t="s">
        <v>863</v>
      </c>
      <c r="T890" s="350">
        <f>INT(('Run Time Parameters'!$E$5-'Data Sample'!Q890)/365.25)</f>
        <v>62</v>
      </c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339"/>
      <c r="AJ890" s="353">
        <f t="shared" si="36"/>
        <v>374</v>
      </c>
    </row>
    <row r="891" spans="1:36">
      <c r="A891" s="332">
        <f t="shared" si="37"/>
        <v>375</v>
      </c>
      <c r="F891" s="365"/>
      <c r="G891" s="366" t="s">
        <v>1246</v>
      </c>
      <c r="H891" s="367">
        <v>20555</v>
      </c>
      <c r="I891" s="351" t="s">
        <v>870</v>
      </c>
      <c r="J891" s="350" t="s">
        <v>863</v>
      </c>
      <c r="K891" s="350">
        <f>INT(('Run Time Parameters'!$E$5-'Data Sample'!H891)/365.25)</f>
        <v>53</v>
      </c>
      <c r="L891" s="368">
        <v>1979</v>
      </c>
      <c r="M891" s="368">
        <v>0</v>
      </c>
      <c r="N891" s="350" t="s">
        <v>864</v>
      </c>
      <c r="O891" s="368">
        <v>0</v>
      </c>
      <c r="P891" s="368">
        <v>0</v>
      </c>
      <c r="Q891" s="367">
        <v>22284.041666666668</v>
      </c>
      <c r="R891" s="368" t="s">
        <v>862</v>
      </c>
      <c r="S891" s="368" t="s">
        <v>863</v>
      </c>
      <c r="T891" s="350">
        <f>INT(('Run Time Parameters'!$E$5-'Data Sample'!Q891)/365.25)</f>
        <v>48</v>
      </c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339"/>
      <c r="AJ891" s="353">
        <f t="shared" si="36"/>
        <v>375</v>
      </c>
    </row>
    <row r="892" spans="1:36">
      <c r="A892" s="332">
        <f t="shared" si="37"/>
        <v>376</v>
      </c>
      <c r="F892" s="365"/>
      <c r="G892" s="366" t="s">
        <v>1247</v>
      </c>
      <c r="H892" s="367">
        <v>21906.041666666668</v>
      </c>
      <c r="I892" s="351" t="s">
        <v>862</v>
      </c>
      <c r="J892" s="350" t="s">
        <v>863</v>
      </c>
      <c r="K892" s="350">
        <f>INT(('Run Time Parameters'!$E$5-'Data Sample'!H892)/365.25)</f>
        <v>49</v>
      </c>
      <c r="L892" s="368">
        <v>1976</v>
      </c>
      <c r="M892" s="368">
        <v>0</v>
      </c>
      <c r="N892" s="350" t="s">
        <v>867</v>
      </c>
      <c r="O892" s="368">
        <v>0</v>
      </c>
      <c r="P892" s="368">
        <v>0</v>
      </c>
      <c r="Q892" s="367">
        <v>21906.041666666668</v>
      </c>
      <c r="R892" s="368" t="s">
        <v>862</v>
      </c>
      <c r="S892" s="368" t="s">
        <v>863</v>
      </c>
      <c r="T892" s="350">
        <f>INT(('Run Time Parameters'!$E$5-'Data Sample'!Q892)/365.25)</f>
        <v>49</v>
      </c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339"/>
      <c r="AJ892" s="353">
        <f t="shared" si="36"/>
        <v>376</v>
      </c>
    </row>
    <row r="893" spans="1:36">
      <c r="A893" s="332">
        <f t="shared" si="37"/>
        <v>377</v>
      </c>
      <c r="F893" s="365"/>
      <c r="G893" s="366" t="s">
        <v>1248</v>
      </c>
      <c r="H893" s="367">
        <v>22724.041666666668</v>
      </c>
      <c r="I893" s="351" t="s">
        <v>862</v>
      </c>
      <c r="J893" s="350" t="s">
        <v>863</v>
      </c>
      <c r="K893" s="350">
        <f>INT(('Run Time Parameters'!$E$5-'Data Sample'!H893)/365.25)</f>
        <v>47</v>
      </c>
      <c r="L893" s="368">
        <v>1979</v>
      </c>
      <c r="M893" s="368">
        <v>1</v>
      </c>
      <c r="N893" s="350" t="s">
        <v>867</v>
      </c>
      <c r="O893" s="368">
        <v>0</v>
      </c>
      <c r="P893" s="368">
        <v>0</v>
      </c>
      <c r="Q893" s="367">
        <v>22724.041666666668</v>
      </c>
      <c r="R893" s="368" t="s">
        <v>862</v>
      </c>
      <c r="S893" s="368" t="s">
        <v>863</v>
      </c>
      <c r="T893" s="350">
        <f>INT(('Run Time Parameters'!$E$5-'Data Sample'!Q893)/365.25)</f>
        <v>47</v>
      </c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339"/>
      <c r="AJ893" s="353">
        <f t="shared" si="36"/>
        <v>377</v>
      </c>
    </row>
    <row r="894" spans="1:36">
      <c r="A894" s="332">
        <f t="shared" si="37"/>
        <v>378</v>
      </c>
      <c r="F894" s="365"/>
      <c r="G894" s="366" t="s">
        <v>1249</v>
      </c>
      <c r="H894" s="367">
        <v>17219.041666666668</v>
      </c>
      <c r="I894" s="351" t="s">
        <v>870</v>
      </c>
      <c r="J894" s="350" t="s">
        <v>863</v>
      </c>
      <c r="K894" s="350">
        <f>INT(('Run Time Parameters'!$E$5-'Data Sample'!H894)/365.25)</f>
        <v>62</v>
      </c>
      <c r="L894" s="368">
        <v>1967</v>
      </c>
      <c r="M894" s="368">
        <v>0</v>
      </c>
      <c r="N894" s="350" t="s">
        <v>867</v>
      </c>
      <c r="O894" s="368">
        <v>0</v>
      </c>
      <c r="P894" s="368">
        <v>0</v>
      </c>
      <c r="Q894" s="367">
        <v>17354</v>
      </c>
      <c r="R894" s="368" t="s">
        <v>862</v>
      </c>
      <c r="S894" s="368" t="s">
        <v>863</v>
      </c>
      <c r="T894" s="350">
        <f>INT(('Run Time Parameters'!$E$5-'Data Sample'!Q894)/365.25)</f>
        <v>62</v>
      </c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339"/>
      <c r="AJ894" s="353">
        <f t="shared" si="36"/>
        <v>378</v>
      </c>
    </row>
    <row r="895" spans="1:36">
      <c r="A895" s="332">
        <f t="shared" si="37"/>
        <v>379</v>
      </c>
      <c r="F895" s="365"/>
      <c r="G895" s="366" t="s">
        <v>1250</v>
      </c>
      <c r="H895" s="367">
        <v>19559</v>
      </c>
      <c r="I895" s="351" t="s">
        <v>870</v>
      </c>
      <c r="J895" s="350" t="s">
        <v>863</v>
      </c>
      <c r="K895" s="350">
        <f>INT(('Run Time Parameters'!$E$5-'Data Sample'!H895)/365.25)</f>
        <v>56</v>
      </c>
      <c r="L895" s="368">
        <v>1970</v>
      </c>
      <c r="M895" s="368">
        <v>0</v>
      </c>
      <c r="N895" s="350" t="s">
        <v>867</v>
      </c>
      <c r="O895" s="368">
        <v>0</v>
      </c>
      <c r="P895" s="368">
        <v>0</v>
      </c>
      <c r="Q895" s="367">
        <v>19559</v>
      </c>
      <c r="R895" s="368" t="s">
        <v>870</v>
      </c>
      <c r="S895" s="368" t="s">
        <v>863</v>
      </c>
      <c r="T895" s="350">
        <f>INT(('Run Time Parameters'!$E$5-'Data Sample'!Q895)/365.25)</f>
        <v>56</v>
      </c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339"/>
      <c r="AJ895" s="353">
        <f t="shared" si="36"/>
        <v>379</v>
      </c>
    </row>
    <row r="896" spans="1:36">
      <c r="A896" s="332">
        <f t="shared" si="37"/>
        <v>380</v>
      </c>
      <c r="F896" s="365"/>
      <c r="G896" s="366" t="s">
        <v>1251</v>
      </c>
      <c r="H896" s="367">
        <v>21787</v>
      </c>
      <c r="I896" s="351" t="s">
        <v>870</v>
      </c>
      <c r="J896" s="350" t="s">
        <v>940</v>
      </c>
      <c r="K896" s="350">
        <f>INT(('Run Time Parameters'!$E$5-'Data Sample'!H896)/365.25)</f>
        <v>50</v>
      </c>
      <c r="L896" s="368">
        <v>1977</v>
      </c>
      <c r="M896" s="368">
        <v>1</v>
      </c>
      <c r="N896" s="350" t="s">
        <v>867</v>
      </c>
      <c r="O896" s="368">
        <v>0</v>
      </c>
      <c r="P896" s="368">
        <v>0</v>
      </c>
      <c r="Q896" s="367">
        <v>21787</v>
      </c>
      <c r="R896" s="368" t="s">
        <v>870</v>
      </c>
      <c r="S896" s="368" t="s">
        <v>940</v>
      </c>
      <c r="T896" s="350">
        <f>INT(('Run Time Parameters'!$E$5-'Data Sample'!Q896)/365.25)</f>
        <v>50</v>
      </c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339"/>
      <c r="AJ896" s="353">
        <f t="shared" si="36"/>
        <v>380</v>
      </c>
    </row>
    <row r="897" spans="1:36">
      <c r="A897" s="332">
        <f t="shared" si="37"/>
        <v>381</v>
      </c>
      <c r="F897" s="365"/>
      <c r="G897" s="366" t="s">
        <v>1252</v>
      </c>
      <c r="H897" s="367">
        <v>29343</v>
      </c>
      <c r="I897" s="351" t="s">
        <v>870</v>
      </c>
      <c r="J897" s="350" t="s">
        <v>863</v>
      </c>
      <c r="K897" s="350">
        <f>INT(('Run Time Parameters'!$E$5-'Data Sample'!H897)/365.25)</f>
        <v>29</v>
      </c>
      <c r="L897" s="368">
        <v>1997</v>
      </c>
      <c r="M897" s="368">
        <v>0</v>
      </c>
      <c r="N897" s="350" t="s">
        <v>867</v>
      </c>
      <c r="O897" s="368">
        <v>0</v>
      </c>
      <c r="P897" s="368">
        <v>0</v>
      </c>
      <c r="Q897" s="367">
        <v>29343</v>
      </c>
      <c r="R897" s="368" t="s">
        <v>870</v>
      </c>
      <c r="S897" s="368" t="s">
        <v>863</v>
      </c>
      <c r="T897" s="350">
        <f>INT(('Run Time Parameters'!$E$5-'Data Sample'!Q897)/365.25)</f>
        <v>29</v>
      </c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339"/>
      <c r="AJ897" s="353">
        <f t="shared" si="36"/>
        <v>381</v>
      </c>
    </row>
    <row r="898" spans="1:36">
      <c r="A898" s="332">
        <f t="shared" si="37"/>
        <v>382</v>
      </c>
      <c r="F898" s="365"/>
      <c r="G898" s="366" t="s">
        <v>1253</v>
      </c>
      <c r="H898" s="367">
        <v>28129</v>
      </c>
      <c r="I898" s="351" t="s">
        <v>862</v>
      </c>
      <c r="J898" s="350" t="s">
        <v>863</v>
      </c>
      <c r="K898" s="350">
        <f>INT(('Run Time Parameters'!$E$5-'Data Sample'!H898)/365.25)</f>
        <v>32</v>
      </c>
      <c r="L898" s="368">
        <v>1998</v>
      </c>
      <c r="M898" s="368">
        <v>1</v>
      </c>
      <c r="N898" s="350" t="s">
        <v>867</v>
      </c>
      <c r="O898" s="368">
        <v>0</v>
      </c>
      <c r="P898" s="368">
        <v>0</v>
      </c>
      <c r="Q898" s="367">
        <v>28129</v>
      </c>
      <c r="R898" s="368" t="s">
        <v>862</v>
      </c>
      <c r="S898" s="368" t="s">
        <v>863</v>
      </c>
      <c r="T898" s="350">
        <f>INT(('Run Time Parameters'!$E$5-'Data Sample'!Q898)/365.25)</f>
        <v>32</v>
      </c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339"/>
      <c r="AJ898" s="353">
        <f t="shared" si="36"/>
        <v>382</v>
      </c>
    </row>
    <row r="899" spans="1:36">
      <c r="A899" s="332">
        <f t="shared" si="37"/>
        <v>383</v>
      </c>
      <c r="F899" s="365"/>
      <c r="G899" s="366" t="s">
        <v>1254</v>
      </c>
      <c r="H899" s="367">
        <v>21101.041666666668</v>
      </c>
      <c r="I899" s="351" t="s">
        <v>870</v>
      </c>
      <c r="J899" s="350" t="s">
        <v>863</v>
      </c>
      <c r="K899" s="350">
        <f>INT(('Run Time Parameters'!$E$5-'Data Sample'!H899)/365.25)</f>
        <v>52</v>
      </c>
      <c r="L899" s="368">
        <v>1974</v>
      </c>
      <c r="M899" s="368">
        <v>1</v>
      </c>
      <c r="N899" s="350" t="s">
        <v>867</v>
      </c>
      <c r="O899" s="368">
        <v>0</v>
      </c>
      <c r="P899" s="368">
        <v>0</v>
      </c>
      <c r="Q899" s="367">
        <v>21101.041666666668</v>
      </c>
      <c r="R899" s="368" t="s">
        <v>870</v>
      </c>
      <c r="S899" s="368" t="s">
        <v>863</v>
      </c>
      <c r="T899" s="350">
        <f>INT(('Run Time Parameters'!$E$5-'Data Sample'!Q899)/365.25)</f>
        <v>52</v>
      </c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339"/>
      <c r="AJ899" s="353">
        <f t="shared" si="36"/>
        <v>383</v>
      </c>
    </row>
    <row r="900" spans="1:36">
      <c r="A900" s="332">
        <f t="shared" si="37"/>
        <v>384</v>
      </c>
      <c r="F900" s="365"/>
      <c r="G900" s="366" t="s">
        <v>1255</v>
      </c>
      <c r="H900" s="367">
        <v>18301.041666666668</v>
      </c>
      <c r="I900" s="351" t="s">
        <v>870</v>
      </c>
      <c r="J900" s="350" t="s">
        <v>863</v>
      </c>
      <c r="K900" s="350">
        <f>INT(('Run Time Parameters'!$E$5-'Data Sample'!H900)/365.25)</f>
        <v>59</v>
      </c>
      <c r="L900" s="368">
        <v>1967</v>
      </c>
      <c r="M900" s="368">
        <v>0</v>
      </c>
      <c r="N900" s="350" t="s">
        <v>867</v>
      </c>
      <c r="O900" s="368">
        <v>0</v>
      </c>
      <c r="P900" s="368">
        <v>0</v>
      </c>
      <c r="Q900" s="367">
        <v>18974.041666666668</v>
      </c>
      <c r="R900" s="368" t="s">
        <v>862</v>
      </c>
      <c r="S900" s="368" t="s">
        <v>863</v>
      </c>
      <c r="T900" s="350">
        <f>INT(('Run Time Parameters'!$E$5-'Data Sample'!Q900)/365.25)</f>
        <v>57</v>
      </c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339"/>
      <c r="AJ900" s="353">
        <f t="shared" si="36"/>
        <v>384</v>
      </c>
    </row>
    <row r="901" spans="1:36">
      <c r="A901" s="332">
        <f t="shared" si="37"/>
        <v>385</v>
      </c>
      <c r="F901" s="365"/>
      <c r="G901" s="366" t="s">
        <v>1256</v>
      </c>
      <c r="H901" s="367">
        <v>24596</v>
      </c>
      <c r="I901" s="351" t="s">
        <v>870</v>
      </c>
      <c r="J901" s="350" t="s">
        <v>866</v>
      </c>
      <c r="K901" s="350">
        <f>INT(('Run Time Parameters'!$E$5-'Data Sample'!H901)/365.25)</f>
        <v>42</v>
      </c>
      <c r="L901" s="368">
        <v>1986</v>
      </c>
      <c r="M901" s="368">
        <v>0</v>
      </c>
      <c r="N901" s="350" t="s">
        <v>867</v>
      </c>
      <c r="O901" s="368">
        <v>0</v>
      </c>
      <c r="P901" s="368">
        <v>0</v>
      </c>
      <c r="Q901" s="367">
        <v>24596</v>
      </c>
      <c r="R901" s="368" t="s">
        <v>870</v>
      </c>
      <c r="S901" s="368" t="s">
        <v>866</v>
      </c>
      <c r="T901" s="350">
        <f>INT(('Run Time Parameters'!$E$5-'Data Sample'!Q901)/365.25)</f>
        <v>42</v>
      </c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339"/>
      <c r="AJ901" s="353">
        <f t="shared" si="36"/>
        <v>385</v>
      </c>
    </row>
    <row r="902" spans="1:36">
      <c r="A902" s="332">
        <f t="shared" si="37"/>
        <v>386</v>
      </c>
      <c r="F902" s="365"/>
      <c r="G902" s="366" t="s">
        <v>1257</v>
      </c>
      <c r="H902" s="367">
        <v>13261</v>
      </c>
      <c r="I902" s="351" t="s">
        <v>870</v>
      </c>
      <c r="J902" s="350" t="s">
        <v>863</v>
      </c>
      <c r="K902" s="350">
        <f>INT(('Run Time Parameters'!$E$5-'Data Sample'!H902)/365.25)</f>
        <v>73</v>
      </c>
      <c r="L902" s="368">
        <v>1953</v>
      </c>
      <c r="M902" s="368">
        <v>0</v>
      </c>
      <c r="N902" s="350" t="s">
        <v>867</v>
      </c>
      <c r="O902" s="368">
        <v>0</v>
      </c>
      <c r="P902" s="368">
        <v>0</v>
      </c>
      <c r="Q902" s="367">
        <v>13261</v>
      </c>
      <c r="R902" s="368" t="s">
        <v>870</v>
      </c>
      <c r="S902" s="368" t="s">
        <v>863</v>
      </c>
      <c r="T902" s="350">
        <f>INT(('Run Time Parameters'!$E$5-'Data Sample'!Q902)/365.25)</f>
        <v>73</v>
      </c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339"/>
      <c r="AJ902" s="353">
        <f t="shared" si="36"/>
        <v>386</v>
      </c>
    </row>
    <row r="903" spans="1:36">
      <c r="A903" s="332">
        <f t="shared" si="37"/>
        <v>387</v>
      </c>
      <c r="F903" s="365"/>
      <c r="G903" s="366" t="s">
        <v>1258</v>
      </c>
      <c r="H903" s="367">
        <v>15656</v>
      </c>
      <c r="I903" s="351" t="s">
        <v>870</v>
      </c>
      <c r="J903" s="350" t="s">
        <v>863</v>
      </c>
      <c r="K903" s="350">
        <f>INT(('Run Time Parameters'!$E$5-'Data Sample'!H903)/365.25)</f>
        <v>66</v>
      </c>
      <c r="L903" s="368">
        <v>1969</v>
      </c>
      <c r="M903" s="368">
        <v>1</v>
      </c>
      <c r="N903" s="350" t="s">
        <v>864</v>
      </c>
      <c r="O903" s="368">
        <v>0</v>
      </c>
      <c r="P903" s="368">
        <v>0</v>
      </c>
      <c r="Q903" s="367">
        <v>27169</v>
      </c>
      <c r="R903" s="368" t="s">
        <v>870</v>
      </c>
      <c r="S903" s="368" t="s">
        <v>863</v>
      </c>
      <c r="T903" s="350">
        <f>INT(('Run Time Parameters'!$E$5-'Data Sample'!Q903)/365.25)</f>
        <v>35</v>
      </c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339"/>
      <c r="AJ903" s="353">
        <f t="shared" ref="AJ903:AJ966" si="38">AJ902+1</f>
        <v>387</v>
      </c>
    </row>
    <row r="904" spans="1:36">
      <c r="A904" s="332">
        <f t="shared" si="37"/>
        <v>388</v>
      </c>
      <c r="F904" s="365"/>
      <c r="G904" s="366" t="s">
        <v>1259</v>
      </c>
      <c r="H904" s="367">
        <v>28548</v>
      </c>
      <c r="I904" s="351" t="s">
        <v>862</v>
      </c>
      <c r="J904" s="350" t="s">
        <v>863</v>
      </c>
      <c r="K904" s="350">
        <f>INT(('Run Time Parameters'!$E$5-'Data Sample'!H904)/365.25)</f>
        <v>31</v>
      </c>
      <c r="L904" s="368">
        <v>1998</v>
      </c>
      <c r="M904" s="368">
        <v>0</v>
      </c>
      <c r="N904" s="350" t="s">
        <v>867</v>
      </c>
      <c r="O904" s="368">
        <v>0</v>
      </c>
      <c r="P904" s="368">
        <v>0</v>
      </c>
      <c r="Q904" s="367">
        <v>28548</v>
      </c>
      <c r="R904" s="368" t="s">
        <v>862</v>
      </c>
      <c r="S904" s="368" t="s">
        <v>863</v>
      </c>
      <c r="T904" s="350">
        <f>INT(('Run Time Parameters'!$E$5-'Data Sample'!Q904)/365.25)</f>
        <v>31</v>
      </c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339"/>
      <c r="AJ904" s="353">
        <f t="shared" si="38"/>
        <v>388</v>
      </c>
    </row>
    <row r="905" spans="1:36">
      <c r="A905" s="332">
        <f t="shared" si="37"/>
        <v>389</v>
      </c>
      <c r="F905" s="365"/>
      <c r="G905" s="366" t="s">
        <v>1260</v>
      </c>
      <c r="H905" s="367">
        <v>23332.041666666668</v>
      </c>
      <c r="I905" s="351" t="s">
        <v>870</v>
      </c>
      <c r="J905" s="350" t="s">
        <v>863</v>
      </c>
      <c r="K905" s="350">
        <f>INT(('Run Time Parameters'!$E$5-'Data Sample'!H905)/365.25)</f>
        <v>45</v>
      </c>
      <c r="L905" s="368">
        <v>1980</v>
      </c>
      <c r="M905" s="368">
        <v>0</v>
      </c>
      <c r="N905" s="350" t="s">
        <v>867</v>
      </c>
      <c r="O905" s="368">
        <v>0</v>
      </c>
      <c r="P905" s="368">
        <v>0</v>
      </c>
      <c r="Q905" s="367">
        <v>23332.041666666668</v>
      </c>
      <c r="R905" s="368" t="s">
        <v>870</v>
      </c>
      <c r="S905" s="368" t="s">
        <v>863</v>
      </c>
      <c r="T905" s="350">
        <f>INT(('Run Time Parameters'!$E$5-'Data Sample'!Q905)/365.25)</f>
        <v>45</v>
      </c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339"/>
      <c r="AJ905" s="353">
        <f t="shared" si="38"/>
        <v>389</v>
      </c>
    </row>
    <row r="906" spans="1:36">
      <c r="A906" s="332">
        <f t="shared" ref="A906:A969" si="39">1+A905</f>
        <v>390</v>
      </c>
      <c r="F906" s="365"/>
      <c r="G906" s="366" t="s">
        <v>1261</v>
      </c>
      <c r="H906" s="367">
        <v>16148</v>
      </c>
      <c r="I906" s="351" t="s">
        <v>870</v>
      </c>
      <c r="J906" s="350" t="s">
        <v>863</v>
      </c>
      <c r="K906" s="350">
        <f>INT(('Run Time Parameters'!$E$5-'Data Sample'!H906)/365.25)</f>
        <v>65</v>
      </c>
      <c r="L906" s="368">
        <v>1964</v>
      </c>
      <c r="M906" s="368">
        <v>0</v>
      </c>
      <c r="N906" s="350" t="s">
        <v>864</v>
      </c>
      <c r="O906" s="368">
        <v>0</v>
      </c>
      <c r="P906" s="368">
        <v>0</v>
      </c>
      <c r="Q906" s="367">
        <v>28717</v>
      </c>
      <c r="R906" s="368" t="s">
        <v>870</v>
      </c>
      <c r="S906" s="368" t="s">
        <v>866</v>
      </c>
      <c r="T906" s="350">
        <f>INT(('Run Time Parameters'!$E$5-'Data Sample'!Q906)/365.25)</f>
        <v>31</v>
      </c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339"/>
      <c r="AJ906" s="353">
        <f t="shared" si="38"/>
        <v>390</v>
      </c>
    </row>
    <row r="907" spans="1:36">
      <c r="A907" s="332">
        <f t="shared" si="39"/>
        <v>391</v>
      </c>
      <c r="F907" s="365"/>
      <c r="G907" s="366" t="s">
        <v>1262</v>
      </c>
      <c r="H907" s="367">
        <v>23915</v>
      </c>
      <c r="I907" s="351" t="s">
        <v>862</v>
      </c>
      <c r="J907" s="350" t="s">
        <v>863</v>
      </c>
      <c r="K907" s="350">
        <f>INT(('Run Time Parameters'!$E$5-'Data Sample'!H907)/365.25)</f>
        <v>44</v>
      </c>
      <c r="L907" s="368">
        <v>1982</v>
      </c>
      <c r="M907" s="368">
        <v>0</v>
      </c>
      <c r="N907" s="350" t="s">
        <v>867</v>
      </c>
      <c r="O907" s="368">
        <v>0</v>
      </c>
      <c r="P907" s="368">
        <v>0</v>
      </c>
      <c r="Q907" s="367">
        <v>23915</v>
      </c>
      <c r="R907" s="368" t="s">
        <v>862</v>
      </c>
      <c r="S907" s="368" t="s">
        <v>863</v>
      </c>
      <c r="T907" s="350">
        <f>INT(('Run Time Parameters'!$E$5-'Data Sample'!Q907)/365.25)</f>
        <v>44</v>
      </c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339"/>
      <c r="AJ907" s="353">
        <f t="shared" si="38"/>
        <v>391</v>
      </c>
    </row>
    <row r="908" spans="1:36">
      <c r="A908" s="332">
        <f t="shared" si="39"/>
        <v>392</v>
      </c>
      <c r="F908" s="365"/>
      <c r="G908" s="366" t="s">
        <v>1263</v>
      </c>
      <c r="H908" s="367">
        <v>27008</v>
      </c>
      <c r="I908" s="351" t="s">
        <v>870</v>
      </c>
      <c r="J908" s="350" t="s">
        <v>863</v>
      </c>
      <c r="K908" s="350">
        <f>INT(('Run Time Parameters'!$E$5-'Data Sample'!H908)/365.25)</f>
        <v>35</v>
      </c>
      <c r="L908" s="368">
        <v>1991</v>
      </c>
      <c r="M908" s="368">
        <v>0</v>
      </c>
      <c r="N908" s="350" t="s">
        <v>867</v>
      </c>
      <c r="O908" s="368">
        <v>0</v>
      </c>
      <c r="P908" s="368">
        <v>0</v>
      </c>
      <c r="Q908" s="367">
        <v>29154.041666666668</v>
      </c>
      <c r="R908" s="368" t="s">
        <v>862</v>
      </c>
      <c r="S908" s="368" t="s">
        <v>863</v>
      </c>
      <c r="T908" s="350">
        <f>INT(('Run Time Parameters'!$E$5-'Data Sample'!Q908)/365.25)</f>
        <v>30</v>
      </c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339"/>
      <c r="AJ908" s="353">
        <f t="shared" si="38"/>
        <v>392</v>
      </c>
    </row>
    <row r="909" spans="1:36">
      <c r="A909" s="332">
        <f t="shared" si="39"/>
        <v>393</v>
      </c>
      <c r="F909" s="365"/>
      <c r="G909" s="366" t="s">
        <v>1264</v>
      </c>
      <c r="H909" s="367">
        <v>18362</v>
      </c>
      <c r="I909" s="351" t="s">
        <v>870</v>
      </c>
      <c r="J909" s="350" t="s">
        <v>863</v>
      </c>
      <c r="K909" s="350">
        <f>INT(('Run Time Parameters'!$E$5-'Data Sample'!H909)/365.25)</f>
        <v>59</v>
      </c>
      <c r="L909" s="368">
        <v>1967</v>
      </c>
      <c r="M909" s="368">
        <v>0</v>
      </c>
      <c r="N909" s="350" t="s">
        <v>867</v>
      </c>
      <c r="O909" s="368">
        <v>0</v>
      </c>
      <c r="P909" s="368">
        <v>0</v>
      </c>
      <c r="Q909" s="367">
        <v>21529.041666666668</v>
      </c>
      <c r="R909" s="368" t="s">
        <v>862</v>
      </c>
      <c r="S909" s="368" t="s">
        <v>863</v>
      </c>
      <c r="T909" s="350">
        <f>INT(('Run Time Parameters'!$E$5-'Data Sample'!Q909)/365.25)</f>
        <v>50</v>
      </c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339"/>
      <c r="AJ909" s="353">
        <f t="shared" si="38"/>
        <v>393</v>
      </c>
    </row>
    <row r="910" spans="1:36">
      <c r="A910" s="332">
        <f t="shared" si="39"/>
        <v>394</v>
      </c>
      <c r="F910" s="365"/>
      <c r="G910" s="366" t="s">
        <v>1265</v>
      </c>
      <c r="H910" s="367">
        <v>22228.041666666668</v>
      </c>
      <c r="I910" s="351" t="s">
        <v>862</v>
      </c>
      <c r="J910" s="350" t="s">
        <v>863</v>
      </c>
      <c r="K910" s="350">
        <f>INT(('Run Time Parameters'!$E$5-'Data Sample'!H910)/365.25)</f>
        <v>48</v>
      </c>
      <c r="L910" s="368">
        <v>1977</v>
      </c>
      <c r="M910" s="368">
        <v>0</v>
      </c>
      <c r="N910" s="350" t="s">
        <v>867</v>
      </c>
      <c r="O910" s="368">
        <v>0</v>
      </c>
      <c r="P910" s="368">
        <v>0</v>
      </c>
      <c r="Q910" s="367">
        <v>22228.041666666668</v>
      </c>
      <c r="R910" s="368" t="s">
        <v>862</v>
      </c>
      <c r="S910" s="368" t="s">
        <v>863</v>
      </c>
      <c r="T910" s="350">
        <f>INT(('Run Time Parameters'!$E$5-'Data Sample'!Q910)/365.25)</f>
        <v>48</v>
      </c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339"/>
      <c r="AJ910" s="353">
        <f t="shared" si="38"/>
        <v>394</v>
      </c>
    </row>
    <row r="911" spans="1:36">
      <c r="A911" s="332">
        <f t="shared" si="39"/>
        <v>395</v>
      </c>
      <c r="F911" s="365"/>
      <c r="G911" s="366" t="s">
        <v>1266</v>
      </c>
      <c r="H911" s="367">
        <v>18677.041666666668</v>
      </c>
      <c r="I911" s="351" t="s">
        <v>862</v>
      </c>
      <c r="J911" s="350" t="s">
        <v>863</v>
      </c>
      <c r="K911" s="350">
        <f>INT(('Run Time Parameters'!$E$5-'Data Sample'!H911)/365.25)</f>
        <v>58</v>
      </c>
      <c r="L911" s="368">
        <v>1968</v>
      </c>
      <c r="M911" s="368">
        <v>0</v>
      </c>
      <c r="N911" s="350" t="s">
        <v>867</v>
      </c>
      <c r="O911" s="368">
        <v>0</v>
      </c>
      <c r="P911" s="368">
        <v>0</v>
      </c>
      <c r="Q911" s="367">
        <v>18677.041666666668</v>
      </c>
      <c r="R911" s="368" t="s">
        <v>862</v>
      </c>
      <c r="S911" s="368" t="s">
        <v>863</v>
      </c>
      <c r="T911" s="350">
        <f>INT(('Run Time Parameters'!$E$5-'Data Sample'!Q911)/365.25)</f>
        <v>58</v>
      </c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339"/>
      <c r="AJ911" s="353">
        <f t="shared" si="38"/>
        <v>395</v>
      </c>
    </row>
    <row r="912" spans="1:36">
      <c r="A912" s="332">
        <f t="shared" si="39"/>
        <v>396</v>
      </c>
      <c r="F912" s="365"/>
      <c r="G912" s="366" t="s">
        <v>1267</v>
      </c>
      <c r="H912" s="367">
        <v>25133.041666666668</v>
      </c>
      <c r="I912" s="351" t="s">
        <v>870</v>
      </c>
      <c r="J912" s="350" t="s">
        <v>863</v>
      </c>
      <c r="K912" s="350">
        <f>INT(('Run Time Parameters'!$E$5-'Data Sample'!H912)/365.25)</f>
        <v>41</v>
      </c>
      <c r="L912" s="368">
        <v>1985</v>
      </c>
      <c r="M912" s="368">
        <v>0</v>
      </c>
      <c r="N912" s="350" t="s">
        <v>867</v>
      </c>
      <c r="O912" s="368">
        <v>0</v>
      </c>
      <c r="P912" s="368">
        <v>0</v>
      </c>
      <c r="Q912" s="367">
        <v>25133.041666666668</v>
      </c>
      <c r="R912" s="368" t="s">
        <v>870</v>
      </c>
      <c r="S912" s="368" t="s">
        <v>863</v>
      </c>
      <c r="T912" s="350">
        <f>INT(('Run Time Parameters'!$E$5-'Data Sample'!Q912)/365.25)</f>
        <v>41</v>
      </c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339"/>
      <c r="AJ912" s="353">
        <f t="shared" si="38"/>
        <v>396</v>
      </c>
    </row>
    <row r="913" spans="1:36">
      <c r="A913" s="332">
        <f t="shared" si="39"/>
        <v>397</v>
      </c>
      <c r="F913" s="365"/>
      <c r="G913" s="366" t="s">
        <v>1268</v>
      </c>
      <c r="H913" s="367">
        <v>24008</v>
      </c>
      <c r="I913" s="351" t="s">
        <v>862</v>
      </c>
      <c r="J913" s="350" t="s">
        <v>863</v>
      </c>
      <c r="K913" s="350">
        <f>INT(('Run Time Parameters'!$E$5-'Data Sample'!H913)/365.25)</f>
        <v>44</v>
      </c>
      <c r="L913" s="368">
        <v>1982</v>
      </c>
      <c r="M913" s="368">
        <v>0</v>
      </c>
      <c r="N913" s="350" t="s">
        <v>867</v>
      </c>
      <c r="O913" s="368">
        <v>0</v>
      </c>
      <c r="P913" s="368">
        <v>0</v>
      </c>
      <c r="Q913" s="367">
        <v>24008</v>
      </c>
      <c r="R913" s="368" t="s">
        <v>862</v>
      </c>
      <c r="S913" s="368" t="s">
        <v>863</v>
      </c>
      <c r="T913" s="350">
        <f>INT(('Run Time Parameters'!$E$5-'Data Sample'!Q913)/365.25)</f>
        <v>44</v>
      </c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339"/>
      <c r="AJ913" s="353">
        <f t="shared" si="38"/>
        <v>397</v>
      </c>
    </row>
    <row r="914" spans="1:36">
      <c r="A914" s="332">
        <f t="shared" si="39"/>
        <v>398</v>
      </c>
      <c r="F914" s="365"/>
      <c r="G914" s="366" t="s">
        <v>1269</v>
      </c>
      <c r="H914" s="367">
        <v>23736.041666666668</v>
      </c>
      <c r="I914" s="351" t="s">
        <v>862</v>
      </c>
      <c r="J914" s="350" t="s">
        <v>863</v>
      </c>
      <c r="K914" s="350">
        <f>INT(('Run Time Parameters'!$E$5-'Data Sample'!H914)/365.25)</f>
        <v>44</v>
      </c>
      <c r="L914" s="368">
        <v>1983</v>
      </c>
      <c r="M914" s="368">
        <v>0</v>
      </c>
      <c r="N914" s="350" t="s">
        <v>867</v>
      </c>
      <c r="O914" s="368">
        <v>0</v>
      </c>
      <c r="P914" s="368">
        <v>0</v>
      </c>
      <c r="Q914" s="367">
        <v>23736.041666666668</v>
      </c>
      <c r="R914" s="368" t="s">
        <v>862</v>
      </c>
      <c r="S914" s="368" t="s">
        <v>863</v>
      </c>
      <c r="T914" s="350">
        <f>INT(('Run Time Parameters'!$E$5-'Data Sample'!Q914)/365.25)</f>
        <v>44</v>
      </c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339"/>
      <c r="AJ914" s="353">
        <f t="shared" si="38"/>
        <v>398</v>
      </c>
    </row>
    <row r="915" spans="1:36">
      <c r="A915" s="332">
        <f t="shared" si="39"/>
        <v>399</v>
      </c>
      <c r="F915" s="365"/>
      <c r="G915" s="366" t="s">
        <v>1270</v>
      </c>
      <c r="H915" s="367">
        <v>22292.041666666668</v>
      </c>
      <c r="I915" s="351" t="s">
        <v>870</v>
      </c>
      <c r="J915" s="350" t="s">
        <v>863</v>
      </c>
      <c r="K915" s="350">
        <f>INT(('Run Time Parameters'!$E$5-'Data Sample'!H915)/365.25)</f>
        <v>48</v>
      </c>
      <c r="L915" s="368">
        <v>1981</v>
      </c>
      <c r="M915" s="368">
        <v>0</v>
      </c>
      <c r="N915" s="350" t="s">
        <v>867</v>
      </c>
      <c r="O915" s="368">
        <v>0</v>
      </c>
      <c r="P915" s="368">
        <v>0</v>
      </c>
      <c r="Q915" s="367">
        <v>24777.041666666668</v>
      </c>
      <c r="R915" s="368" t="s">
        <v>862</v>
      </c>
      <c r="S915" s="368" t="s">
        <v>863</v>
      </c>
      <c r="T915" s="350">
        <f>INT(('Run Time Parameters'!$E$5-'Data Sample'!Q915)/365.25)</f>
        <v>41</v>
      </c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339"/>
      <c r="AJ915" s="353">
        <f t="shared" si="38"/>
        <v>399</v>
      </c>
    </row>
    <row r="916" spans="1:36">
      <c r="A916" s="332">
        <f t="shared" si="39"/>
        <v>400</v>
      </c>
      <c r="F916" s="365"/>
      <c r="G916" s="366" t="s">
        <v>1271</v>
      </c>
      <c r="H916" s="367">
        <v>21440</v>
      </c>
      <c r="I916" s="351" t="s">
        <v>870</v>
      </c>
      <c r="J916" s="350" t="s">
        <v>863</v>
      </c>
      <c r="K916" s="350">
        <f>INT(('Run Time Parameters'!$E$5-'Data Sample'!H916)/365.25)</f>
        <v>51</v>
      </c>
      <c r="L916" s="368">
        <v>1977</v>
      </c>
      <c r="M916" s="368">
        <v>0</v>
      </c>
      <c r="N916" s="350" t="s">
        <v>867</v>
      </c>
      <c r="O916" s="368">
        <v>0</v>
      </c>
      <c r="P916" s="368">
        <v>0</v>
      </c>
      <c r="Q916" s="367">
        <v>24400.041666666668</v>
      </c>
      <c r="R916" s="368" t="s">
        <v>862</v>
      </c>
      <c r="S916" s="368" t="s">
        <v>863</v>
      </c>
      <c r="T916" s="350">
        <f>INT(('Run Time Parameters'!$E$5-'Data Sample'!Q916)/365.25)</f>
        <v>43</v>
      </c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339"/>
      <c r="AJ916" s="353">
        <f t="shared" si="38"/>
        <v>400</v>
      </c>
    </row>
    <row r="917" spans="1:36">
      <c r="A917" s="332">
        <f t="shared" si="39"/>
        <v>401</v>
      </c>
      <c r="F917" s="365"/>
      <c r="G917" s="366" t="s">
        <v>1272</v>
      </c>
      <c r="H917" s="367">
        <v>27045</v>
      </c>
      <c r="I917" s="351" t="s">
        <v>862</v>
      </c>
      <c r="J917" s="350" t="s">
        <v>863</v>
      </c>
      <c r="K917" s="350">
        <f>INT(('Run Time Parameters'!$E$5-'Data Sample'!H917)/365.25)</f>
        <v>35</v>
      </c>
      <c r="L917" s="368">
        <v>1991</v>
      </c>
      <c r="M917" s="368">
        <v>0</v>
      </c>
      <c r="N917" s="350" t="s">
        <v>867</v>
      </c>
      <c r="O917" s="368">
        <v>0</v>
      </c>
      <c r="P917" s="368">
        <v>0</v>
      </c>
      <c r="Q917" s="367">
        <v>28767.041666666668</v>
      </c>
      <c r="R917" s="368" t="s">
        <v>870</v>
      </c>
      <c r="S917" s="368" t="s">
        <v>863</v>
      </c>
      <c r="T917" s="350">
        <f>INT(('Run Time Parameters'!$E$5-'Data Sample'!Q917)/365.25)</f>
        <v>31</v>
      </c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339"/>
      <c r="AJ917" s="353">
        <f t="shared" si="38"/>
        <v>401</v>
      </c>
    </row>
    <row r="918" spans="1:36">
      <c r="A918" s="332">
        <f t="shared" si="39"/>
        <v>402</v>
      </c>
      <c r="F918" s="365"/>
      <c r="G918" s="366" t="s">
        <v>1273</v>
      </c>
      <c r="H918" s="367">
        <v>21386</v>
      </c>
      <c r="I918" s="351" t="s">
        <v>870</v>
      </c>
      <c r="J918" s="350" t="s">
        <v>863</v>
      </c>
      <c r="K918" s="350">
        <f>INT(('Run Time Parameters'!$E$5-'Data Sample'!H918)/365.25)</f>
        <v>51</v>
      </c>
      <c r="L918" s="368">
        <v>1975</v>
      </c>
      <c r="M918" s="368">
        <v>0</v>
      </c>
      <c r="N918" s="350" t="s">
        <v>867</v>
      </c>
      <c r="O918" s="368">
        <v>0</v>
      </c>
      <c r="P918" s="368">
        <v>0</v>
      </c>
      <c r="Q918" s="367">
        <v>21386</v>
      </c>
      <c r="R918" s="368" t="s">
        <v>870</v>
      </c>
      <c r="S918" s="368" t="s">
        <v>863</v>
      </c>
      <c r="T918" s="350">
        <f>INT(('Run Time Parameters'!$E$5-'Data Sample'!Q918)/365.25)</f>
        <v>51</v>
      </c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339"/>
      <c r="AJ918" s="353">
        <f t="shared" si="38"/>
        <v>402</v>
      </c>
    </row>
    <row r="919" spans="1:36">
      <c r="A919" s="332">
        <f t="shared" si="39"/>
        <v>403</v>
      </c>
      <c r="F919" s="365"/>
      <c r="G919" s="366" t="s">
        <v>1274</v>
      </c>
      <c r="H919" s="367">
        <v>29566</v>
      </c>
      <c r="I919" s="351" t="s">
        <v>870</v>
      </c>
      <c r="J919" s="350" t="s">
        <v>866</v>
      </c>
      <c r="K919" s="350">
        <f>INT(('Run Time Parameters'!$E$5-'Data Sample'!H919)/365.25)</f>
        <v>28</v>
      </c>
      <c r="L919" s="368">
        <v>2005</v>
      </c>
      <c r="M919" s="368">
        <v>0</v>
      </c>
      <c r="N919" s="350" t="s">
        <v>864</v>
      </c>
      <c r="O919" s="368">
        <v>0</v>
      </c>
      <c r="P919" s="368">
        <v>0</v>
      </c>
      <c r="Q919" s="367">
        <v>29566</v>
      </c>
      <c r="R919" s="368" t="s">
        <v>870</v>
      </c>
      <c r="S919" s="368" t="s">
        <v>866</v>
      </c>
      <c r="T919" s="350">
        <f>INT(('Run Time Parameters'!$E$5-'Data Sample'!Q919)/365.25)</f>
        <v>28</v>
      </c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339"/>
      <c r="AJ919" s="353">
        <f t="shared" si="38"/>
        <v>403</v>
      </c>
    </row>
    <row r="920" spans="1:36">
      <c r="A920" s="332">
        <f t="shared" si="39"/>
        <v>404</v>
      </c>
      <c r="F920" s="365"/>
      <c r="G920" s="366" t="s">
        <v>1275</v>
      </c>
      <c r="H920" s="367">
        <v>26956.041666666668</v>
      </c>
      <c r="I920" s="351" t="s">
        <v>862</v>
      </c>
      <c r="J920" s="350" t="s">
        <v>874</v>
      </c>
      <c r="K920" s="350">
        <f>INT(('Run Time Parameters'!$E$5-'Data Sample'!H920)/365.25)</f>
        <v>36</v>
      </c>
      <c r="L920" s="368">
        <v>1991</v>
      </c>
      <c r="M920" s="368">
        <v>0</v>
      </c>
      <c r="N920" s="350" t="s">
        <v>867</v>
      </c>
      <c r="O920" s="368">
        <v>0</v>
      </c>
      <c r="P920" s="368">
        <v>0</v>
      </c>
      <c r="Q920" s="367">
        <v>27774</v>
      </c>
      <c r="R920" s="368" t="s">
        <v>862</v>
      </c>
      <c r="S920" s="368" t="s">
        <v>874</v>
      </c>
      <c r="T920" s="350">
        <f>INT(('Run Time Parameters'!$E$5-'Data Sample'!Q920)/365.25)</f>
        <v>33</v>
      </c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339"/>
      <c r="AJ920" s="353">
        <f t="shared" si="38"/>
        <v>404</v>
      </c>
    </row>
    <row r="921" spans="1:36">
      <c r="A921" s="332">
        <f t="shared" si="39"/>
        <v>405</v>
      </c>
      <c r="F921" s="365"/>
      <c r="G921" s="366" t="s">
        <v>1276</v>
      </c>
      <c r="H921" s="367">
        <v>30039</v>
      </c>
      <c r="I921" s="351" t="s">
        <v>862</v>
      </c>
      <c r="J921" s="350" t="s">
        <v>863</v>
      </c>
      <c r="K921" s="350">
        <f>INT(('Run Time Parameters'!$E$5-'Data Sample'!H921)/365.25)</f>
        <v>27</v>
      </c>
      <c r="L921" s="368">
        <v>1999</v>
      </c>
      <c r="M921" s="368">
        <v>0</v>
      </c>
      <c r="N921" s="350" t="s">
        <v>864</v>
      </c>
      <c r="O921" s="368">
        <v>0</v>
      </c>
      <c r="P921" s="368">
        <v>0</v>
      </c>
      <c r="Q921" s="367">
        <v>30039</v>
      </c>
      <c r="R921" s="368" t="s">
        <v>862</v>
      </c>
      <c r="S921" s="368" t="s">
        <v>863</v>
      </c>
      <c r="T921" s="350">
        <f>INT(('Run Time Parameters'!$E$5-'Data Sample'!Q921)/365.25)</f>
        <v>27</v>
      </c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339"/>
      <c r="AJ921" s="353">
        <f t="shared" si="38"/>
        <v>405</v>
      </c>
    </row>
    <row r="922" spans="1:36">
      <c r="A922" s="332">
        <f t="shared" si="39"/>
        <v>406</v>
      </c>
      <c r="F922" s="365"/>
      <c r="G922" s="366" t="s">
        <v>1277</v>
      </c>
      <c r="H922" s="367">
        <v>26412</v>
      </c>
      <c r="I922" s="351" t="s">
        <v>870</v>
      </c>
      <c r="J922" s="350" t="s">
        <v>863</v>
      </c>
      <c r="K922" s="350">
        <f>INT(('Run Time Parameters'!$E$5-'Data Sample'!H922)/365.25)</f>
        <v>37</v>
      </c>
      <c r="L922" s="368">
        <v>1993</v>
      </c>
      <c r="M922" s="368">
        <v>0</v>
      </c>
      <c r="N922" s="350" t="s">
        <v>867</v>
      </c>
      <c r="O922" s="368">
        <v>0</v>
      </c>
      <c r="P922" s="368">
        <v>0</v>
      </c>
      <c r="Q922" s="367">
        <v>26412</v>
      </c>
      <c r="R922" s="368" t="s">
        <v>870</v>
      </c>
      <c r="S922" s="368" t="s">
        <v>863</v>
      </c>
      <c r="T922" s="350">
        <f>INT(('Run Time Parameters'!$E$5-'Data Sample'!Q922)/365.25)</f>
        <v>37</v>
      </c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339"/>
      <c r="AJ922" s="353">
        <f t="shared" si="38"/>
        <v>406</v>
      </c>
    </row>
    <row r="923" spans="1:36">
      <c r="A923" s="332">
        <f t="shared" si="39"/>
        <v>407</v>
      </c>
      <c r="F923" s="365"/>
      <c r="G923" s="366" t="s">
        <v>1278</v>
      </c>
      <c r="H923" s="367">
        <v>27682.041666666668</v>
      </c>
      <c r="I923" s="351" t="s">
        <v>870</v>
      </c>
      <c r="J923" s="350" t="s">
        <v>863</v>
      </c>
      <c r="K923" s="350">
        <f>INT(('Run Time Parameters'!$E$5-'Data Sample'!H923)/365.25)</f>
        <v>34</v>
      </c>
      <c r="L923" s="368">
        <v>1993</v>
      </c>
      <c r="M923" s="368">
        <v>0</v>
      </c>
      <c r="N923" s="350" t="s">
        <v>867</v>
      </c>
      <c r="O923" s="368">
        <v>0</v>
      </c>
      <c r="P923" s="368">
        <v>0</v>
      </c>
      <c r="Q923" s="367">
        <v>28714</v>
      </c>
      <c r="R923" s="368" t="s">
        <v>862</v>
      </c>
      <c r="S923" s="368" t="s">
        <v>863</v>
      </c>
      <c r="T923" s="350">
        <f>INT(('Run Time Parameters'!$E$5-'Data Sample'!Q923)/365.25)</f>
        <v>31</v>
      </c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339"/>
      <c r="AJ923" s="353">
        <f t="shared" si="38"/>
        <v>407</v>
      </c>
    </row>
    <row r="924" spans="1:36">
      <c r="A924" s="332">
        <f t="shared" si="39"/>
        <v>408</v>
      </c>
      <c r="F924" s="365"/>
      <c r="G924" s="366" t="s">
        <v>1279</v>
      </c>
      <c r="H924" s="367">
        <v>26041</v>
      </c>
      <c r="I924" s="351" t="s">
        <v>870</v>
      </c>
      <c r="J924" s="350" t="s">
        <v>863</v>
      </c>
      <c r="K924" s="350">
        <f>INT(('Run Time Parameters'!$E$5-'Data Sample'!H924)/365.25)</f>
        <v>38</v>
      </c>
      <c r="L924" s="368">
        <v>2003</v>
      </c>
      <c r="M924" s="368">
        <v>0</v>
      </c>
      <c r="N924" s="350" t="s">
        <v>867</v>
      </c>
      <c r="O924" s="368">
        <v>0</v>
      </c>
      <c r="P924" s="368">
        <v>0</v>
      </c>
      <c r="Q924" s="367">
        <v>27958</v>
      </c>
      <c r="R924" s="368" t="s">
        <v>862</v>
      </c>
      <c r="S924" s="368" t="s">
        <v>863</v>
      </c>
      <c r="T924" s="350">
        <f>INT(('Run Time Parameters'!$E$5-'Data Sample'!Q924)/365.25)</f>
        <v>33</v>
      </c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339"/>
      <c r="AJ924" s="353">
        <f t="shared" si="38"/>
        <v>408</v>
      </c>
    </row>
    <row r="925" spans="1:36">
      <c r="A925" s="332">
        <f t="shared" si="39"/>
        <v>409</v>
      </c>
      <c r="F925" s="365"/>
      <c r="G925" s="366" t="s">
        <v>1280</v>
      </c>
      <c r="H925" s="367">
        <v>29818</v>
      </c>
      <c r="I925" s="351" t="s">
        <v>870</v>
      </c>
      <c r="J925" s="350" t="s">
        <v>866</v>
      </c>
      <c r="K925" s="350">
        <f>INT(('Run Time Parameters'!$E$5-'Data Sample'!H925)/365.25)</f>
        <v>28</v>
      </c>
      <c r="L925" s="368">
        <v>2001</v>
      </c>
      <c r="M925" s="368">
        <v>0</v>
      </c>
      <c r="N925" s="350" t="s">
        <v>867</v>
      </c>
      <c r="O925" s="368">
        <v>0</v>
      </c>
      <c r="P925" s="368">
        <v>0</v>
      </c>
      <c r="Q925" s="367">
        <v>29818</v>
      </c>
      <c r="R925" s="368" t="s">
        <v>870</v>
      </c>
      <c r="S925" s="368" t="s">
        <v>866</v>
      </c>
      <c r="T925" s="350">
        <f>INT(('Run Time Parameters'!$E$5-'Data Sample'!Q925)/365.25)</f>
        <v>28</v>
      </c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339"/>
      <c r="AJ925" s="353">
        <f t="shared" si="38"/>
        <v>409</v>
      </c>
    </row>
    <row r="926" spans="1:36">
      <c r="A926" s="332">
        <f t="shared" si="39"/>
        <v>410</v>
      </c>
      <c r="F926" s="365"/>
      <c r="G926" s="366" t="s">
        <v>1281</v>
      </c>
      <c r="H926" s="367">
        <v>25769</v>
      </c>
      <c r="I926" s="351" t="s">
        <v>870</v>
      </c>
      <c r="J926" s="350" t="s">
        <v>866</v>
      </c>
      <c r="K926" s="350">
        <f>INT(('Run Time Parameters'!$E$5-'Data Sample'!H926)/365.25)</f>
        <v>39</v>
      </c>
      <c r="L926" s="368">
        <v>1987</v>
      </c>
      <c r="M926" s="368">
        <v>0</v>
      </c>
      <c r="N926" s="350" t="s">
        <v>867</v>
      </c>
      <c r="O926" s="368">
        <v>0</v>
      </c>
      <c r="P926" s="368">
        <v>0</v>
      </c>
      <c r="Q926" s="367">
        <v>25769</v>
      </c>
      <c r="R926" s="368" t="s">
        <v>870</v>
      </c>
      <c r="S926" s="368" t="s">
        <v>866</v>
      </c>
      <c r="T926" s="350">
        <f>INT(('Run Time Parameters'!$E$5-'Data Sample'!Q926)/365.25)</f>
        <v>39</v>
      </c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339"/>
      <c r="AJ926" s="353">
        <f t="shared" si="38"/>
        <v>410</v>
      </c>
    </row>
    <row r="927" spans="1:36">
      <c r="A927" s="332">
        <f t="shared" si="39"/>
        <v>411</v>
      </c>
      <c r="F927" s="365"/>
      <c r="G927" s="366" t="s">
        <v>1282</v>
      </c>
      <c r="H927" s="367">
        <v>17091.041666666668</v>
      </c>
      <c r="I927" s="351" t="s">
        <v>862</v>
      </c>
      <c r="J927" s="350" t="s">
        <v>863</v>
      </c>
      <c r="K927" s="350">
        <f>INT(('Run Time Parameters'!$E$5-'Data Sample'!H927)/365.25)</f>
        <v>63</v>
      </c>
      <c r="L927" s="368">
        <v>1964</v>
      </c>
      <c r="M927" s="368">
        <v>0</v>
      </c>
      <c r="N927" s="350" t="s">
        <v>867</v>
      </c>
      <c r="O927" s="368">
        <v>0</v>
      </c>
      <c r="P927" s="368">
        <v>0</v>
      </c>
      <c r="Q927" s="367">
        <v>17367</v>
      </c>
      <c r="R927" s="368" t="s">
        <v>870</v>
      </c>
      <c r="S927" s="368" t="s">
        <v>863</v>
      </c>
      <c r="T927" s="350">
        <f>INT(('Run Time Parameters'!$E$5-'Data Sample'!Q927)/365.25)</f>
        <v>62</v>
      </c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339"/>
      <c r="AJ927" s="353">
        <f t="shared" si="38"/>
        <v>411</v>
      </c>
    </row>
    <row r="928" spans="1:36">
      <c r="A928" s="332">
        <f t="shared" si="39"/>
        <v>412</v>
      </c>
      <c r="F928" s="365"/>
      <c r="G928" s="366" t="s">
        <v>1283</v>
      </c>
      <c r="H928" s="367">
        <v>19344.041666666668</v>
      </c>
      <c r="I928" s="351" t="s">
        <v>862</v>
      </c>
      <c r="J928" s="350" t="s">
        <v>863</v>
      </c>
      <c r="K928" s="350">
        <f>INT(('Run Time Parameters'!$E$5-'Data Sample'!H928)/365.25)</f>
        <v>56</v>
      </c>
      <c r="L928" s="368">
        <v>1969</v>
      </c>
      <c r="M928" s="368">
        <v>0</v>
      </c>
      <c r="N928" s="350" t="s">
        <v>867</v>
      </c>
      <c r="O928" s="368">
        <v>0</v>
      </c>
      <c r="P928" s="368">
        <v>0</v>
      </c>
      <c r="Q928" s="367">
        <v>19344.041666666668</v>
      </c>
      <c r="R928" s="368" t="s">
        <v>862</v>
      </c>
      <c r="S928" s="368" t="s">
        <v>863</v>
      </c>
      <c r="T928" s="350">
        <f>INT(('Run Time Parameters'!$E$5-'Data Sample'!Q928)/365.25)</f>
        <v>56</v>
      </c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339"/>
      <c r="AJ928" s="353">
        <f t="shared" si="38"/>
        <v>412</v>
      </c>
    </row>
    <row r="929" spans="1:36">
      <c r="A929" s="332">
        <f t="shared" si="39"/>
        <v>413</v>
      </c>
      <c r="F929" s="365"/>
      <c r="G929" s="366" t="s">
        <v>1284</v>
      </c>
      <c r="H929" s="367">
        <v>13674</v>
      </c>
      <c r="I929" s="351" t="s">
        <v>870</v>
      </c>
      <c r="J929" s="350" t="s">
        <v>863</v>
      </c>
      <c r="K929" s="350">
        <f>INT(('Run Time Parameters'!$E$5-'Data Sample'!H929)/365.25)</f>
        <v>72</v>
      </c>
      <c r="L929" s="368">
        <v>1954</v>
      </c>
      <c r="M929" s="368">
        <v>0</v>
      </c>
      <c r="N929" s="350" t="s">
        <v>867</v>
      </c>
      <c r="O929" s="368">
        <v>0</v>
      </c>
      <c r="P929" s="368">
        <v>0</v>
      </c>
      <c r="Q929" s="367">
        <v>13674</v>
      </c>
      <c r="R929" s="368" t="s">
        <v>870</v>
      </c>
      <c r="S929" s="368" t="s">
        <v>863</v>
      </c>
      <c r="T929" s="350">
        <f>INT(('Run Time Parameters'!$E$5-'Data Sample'!Q929)/365.25)</f>
        <v>72</v>
      </c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339"/>
      <c r="AJ929" s="353">
        <f t="shared" si="38"/>
        <v>413</v>
      </c>
    </row>
    <row r="930" spans="1:36">
      <c r="A930" s="332">
        <f t="shared" si="39"/>
        <v>414</v>
      </c>
      <c r="F930" s="365"/>
      <c r="G930" s="366" t="s">
        <v>1285</v>
      </c>
      <c r="H930" s="367">
        <v>12862.041666666666</v>
      </c>
      <c r="I930" s="351" t="s">
        <v>862</v>
      </c>
      <c r="J930" s="350" t="s">
        <v>863</v>
      </c>
      <c r="K930" s="350">
        <f>INT(('Run Time Parameters'!$E$5-'Data Sample'!H930)/365.25)</f>
        <v>74</v>
      </c>
      <c r="L930" s="368">
        <v>1952</v>
      </c>
      <c r="M930" s="368">
        <v>0</v>
      </c>
      <c r="N930" s="350" t="s">
        <v>867</v>
      </c>
      <c r="O930" s="368">
        <v>0</v>
      </c>
      <c r="P930" s="368">
        <v>0</v>
      </c>
      <c r="Q930" s="367">
        <v>12862.041666666666</v>
      </c>
      <c r="R930" s="368" t="s">
        <v>862</v>
      </c>
      <c r="S930" s="368" t="s">
        <v>863</v>
      </c>
      <c r="T930" s="350">
        <f>INT(('Run Time Parameters'!$E$5-'Data Sample'!Q930)/365.25)</f>
        <v>74</v>
      </c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339"/>
      <c r="AJ930" s="353">
        <f t="shared" si="38"/>
        <v>414</v>
      </c>
    </row>
    <row r="931" spans="1:36">
      <c r="A931" s="332">
        <f t="shared" si="39"/>
        <v>415</v>
      </c>
      <c r="F931" s="365"/>
      <c r="G931" s="366" t="s">
        <v>1286</v>
      </c>
      <c r="H931" s="367">
        <v>24789.041666666668</v>
      </c>
      <c r="I931" s="351" t="s">
        <v>862</v>
      </c>
      <c r="J931" s="350" t="s">
        <v>863</v>
      </c>
      <c r="K931" s="350">
        <f>INT(('Run Time Parameters'!$E$5-'Data Sample'!H931)/365.25)</f>
        <v>41</v>
      </c>
      <c r="L931" s="368">
        <v>1984</v>
      </c>
      <c r="M931" s="368">
        <v>0</v>
      </c>
      <c r="N931" s="350" t="s">
        <v>867</v>
      </c>
      <c r="O931" s="368">
        <v>0</v>
      </c>
      <c r="P931" s="368">
        <v>0</v>
      </c>
      <c r="Q931" s="367">
        <v>24789.041666666668</v>
      </c>
      <c r="R931" s="368" t="s">
        <v>862</v>
      </c>
      <c r="S931" s="368" t="s">
        <v>863</v>
      </c>
      <c r="T931" s="350">
        <f>INT(('Run Time Parameters'!$E$5-'Data Sample'!Q931)/365.25)</f>
        <v>41</v>
      </c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339"/>
      <c r="AJ931" s="353">
        <f t="shared" si="38"/>
        <v>415</v>
      </c>
    </row>
    <row r="932" spans="1:36">
      <c r="A932" s="332">
        <f t="shared" si="39"/>
        <v>416</v>
      </c>
      <c r="F932" s="365"/>
      <c r="G932" s="366" t="s">
        <v>1287</v>
      </c>
      <c r="H932" s="367">
        <v>11414.041666666666</v>
      </c>
      <c r="I932" s="351" t="s">
        <v>870</v>
      </c>
      <c r="J932" s="350" t="s">
        <v>863</v>
      </c>
      <c r="K932" s="350">
        <f>INT(('Run Time Parameters'!$E$5-'Data Sample'!H932)/365.25)</f>
        <v>78</v>
      </c>
      <c r="L932" s="368">
        <v>1948</v>
      </c>
      <c r="M932" s="368">
        <v>0</v>
      </c>
      <c r="N932" s="350" t="s">
        <v>867</v>
      </c>
      <c r="O932" s="368">
        <v>0</v>
      </c>
      <c r="P932" s="368">
        <v>0</v>
      </c>
      <c r="Q932" s="367">
        <v>11414.041666666666</v>
      </c>
      <c r="R932" s="368" t="s">
        <v>870</v>
      </c>
      <c r="S932" s="368" t="s">
        <v>863</v>
      </c>
      <c r="T932" s="350">
        <f>INT(('Run Time Parameters'!$E$5-'Data Sample'!Q932)/365.25)</f>
        <v>78</v>
      </c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339"/>
      <c r="AJ932" s="353">
        <f t="shared" si="38"/>
        <v>416</v>
      </c>
    </row>
    <row r="933" spans="1:36">
      <c r="A933" s="332">
        <f t="shared" si="39"/>
        <v>417</v>
      </c>
      <c r="F933" s="365"/>
      <c r="G933" s="366" t="s">
        <v>1288</v>
      </c>
      <c r="H933" s="367">
        <v>16060</v>
      </c>
      <c r="I933" s="351" t="s">
        <v>862</v>
      </c>
      <c r="J933" s="350" t="s">
        <v>863</v>
      </c>
      <c r="K933" s="350">
        <f>INT(('Run Time Parameters'!$E$5-'Data Sample'!H933)/365.25)</f>
        <v>65</v>
      </c>
      <c r="L933" s="368">
        <v>1960</v>
      </c>
      <c r="M933" s="368">
        <v>0</v>
      </c>
      <c r="N933" s="350" t="s">
        <v>867</v>
      </c>
      <c r="O933" s="368">
        <v>0</v>
      </c>
      <c r="P933" s="368">
        <v>0</v>
      </c>
      <c r="Q933" s="367">
        <v>16060</v>
      </c>
      <c r="R933" s="368" t="s">
        <v>862</v>
      </c>
      <c r="S933" s="368" t="s">
        <v>863</v>
      </c>
      <c r="T933" s="350">
        <f>INT(('Run Time Parameters'!$E$5-'Data Sample'!Q933)/365.25)</f>
        <v>65</v>
      </c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339"/>
      <c r="AJ933" s="353">
        <f t="shared" si="38"/>
        <v>417</v>
      </c>
    </row>
    <row r="934" spans="1:36">
      <c r="A934" s="332">
        <f t="shared" si="39"/>
        <v>418</v>
      </c>
      <c r="F934" s="365"/>
      <c r="G934" s="366" t="s">
        <v>1289</v>
      </c>
      <c r="H934" s="367">
        <v>26480</v>
      </c>
      <c r="I934" s="351" t="s">
        <v>870</v>
      </c>
      <c r="J934" s="350" t="s">
        <v>863</v>
      </c>
      <c r="K934" s="350">
        <f>INT(('Run Time Parameters'!$E$5-'Data Sample'!H934)/365.25)</f>
        <v>37</v>
      </c>
      <c r="L934" s="368">
        <v>1989</v>
      </c>
      <c r="M934" s="368">
        <v>1</v>
      </c>
      <c r="N934" s="350" t="s">
        <v>867</v>
      </c>
      <c r="O934" s="368">
        <v>0</v>
      </c>
      <c r="P934" s="368">
        <v>0</v>
      </c>
      <c r="Q934" s="367">
        <v>26480</v>
      </c>
      <c r="R934" s="368" t="s">
        <v>870</v>
      </c>
      <c r="S934" s="368" t="s">
        <v>863</v>
      </c>
      <c r="T934" s="350">
        <f>INT(('Run Time Parameters'!$E$5-'Data Sample'!Q934)/365.25)</f>
        <v>37</v>
      </c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339"/>
      <c r="AJ934" s="353">
        <f t="shared" si="38"/>
        <v>418</v>
      </c>
    </row>
    <row r="935" spans="1:36">
      <c r="A935" s="332">
        <f t="shared" si="39"/>
        <v>419</v>
      </c>
      <c r="F935" s="365"/>
      <c r="G935" s="366" t="s">
        <v>1290</v>
      </c>
      <c r="H935" s="367">
        <v>27156</v>
      </c>
      <c r="I935" s="351" t="s">
        <v>870</v>
      </c>
      <c r="J935" s="350" t="s">
        <v>863</v>
      </c>
      <c r="K935" s="350">
        <f>INT(('Run Time Parameters'!$E$5-'Data Sample'!H935)/365.25)</f>
        <v>35</v>
      </c>
      <c r="L935" s="368">
        <v>1991</v>
      </c>
      <c r="M935" s="368">
        <v>0</v>
      </c>
      <c r="N935" s="350" t="s">
        <v>864</v>
      </c>
      <c r="O935" s="368">
        <v>0</v>
      </c>
      <c r="P935" s="368">
        <v>0</v>
      </c>
      <c r="Q935" s="367">
        <v>27156</v>
      </c>
      <c r="R935" s="368" t="s">
        <v>870</v>
      </c>
      <c r="S935" s="368" t="s">
        <v>863</v>
      </c>
      <c r="T935" s="350">
        <f>INT(('Run Time Parameters'!$E$5-'Data Sample'!Q935)/365.25)</f>
        <v>35</v>
      </c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339"/>
      <c r="AJ935" s="353">
        <f t="shared" si="38"/>
        <v>419</v>
      </c>
    </row>
    <row r="936" spans="1:36">
      <c r="A936" s="332">
        <f t="shared" si="39"/>
        <v>420</v>
      </c>
      <c r="F936" s="365"/>
      <c r="G936" s="366" t="s">
        <v>1291</v>
      </c>
      <c r="H936" s="367">
        <v>14335.041666666666</v>
      </c>
      <c r="I936" s="351" t="s">
        <v>870</v>
      </c>
      <c r="J936" s="350" t="s">
        <v>863</v>
      </c>
      <c r="K936" s="350">
        <f>INT(('Run Time Parameters'!$E$5-'Data Sample'!H936)/365.25)</f>
        <v>70</v>
      </c>
      <c r="L936" s="368">
        <v>1957</v>
      </c>
      <c r="M936" s="368">
        <v>0</v>
      </c>
      <c r="N936" s="350" t="s">
        <v>867</v>
      </c>
      <c r="O936" s="368">
        <v>0</v>
      </c>
      <c r="P936" s="368">
        <v>0</v>
      </c>
      <c r="Q936" s="367">
        <v>15439</v>
      </c>
      <c r="R936" s="368" t="s">
        <v>862</v>
      </c>
      <c r="S936" s="368" t="s">
        <v>863</v>
      </c>
      <c r="T936" s="350">
        <f>INT(('Run Time Parameters'!$E$5-'Data Sample'!Q936)/365.25)</f>
        <v>67</v>
      </c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339"/>
      <c r="AJ936" s="353">
        <f t="shared" si="38"/>
        <v>420</v>
      </c>
    </row>
    <row r="937" spans="1:36">
      <c r="A937" s="332">
        <f t="shared" si="39"/>
        <v>421</v>
      </c>
      <c r="F937" s="365"/>
      <c r="G937" s="366" t="s">
        <v>1292</v>
      </c>
      <c r="H937" s="367">
        <v>24249</v>
      </c>
      <c r="I937" s="351" t="s">
        <v>862</v>
      </c>
      <c r="J937" s="350" t="s">
        <v>863</v>
      </c>
      <c r="K937" s="350">
        <f>INT(('Run Time Parameters'!$E$5-'Data Sample'!H937)/365.25)</f>
        <v>43</v>
      </c>
      <c r="L937" s="368">
        <v>1983</v>
      </c>
      <c r="M937" s="368">
        <v>0</v>
      </c>
      <c r="N937" s="350" t="s">
        <v>867</v>
      </c>
      <c r="O937" s="368">
        <v>0</v>
      </c>
      <c r="P937" s="368">
        <v>0</v>
      </c>
      <c r="Q937" s="367">
        <v>24249</v>
      </c>
      <c r="R937" s="368" t="s">
        <v>862</v>
      </c>
      <c r="S937" s="368" t="s">
        <v>863</v>
      </c>
      <c r="T937" s="350">
        <f>INT(('Run Time Parameters'!$E$5-'Data Sample'!Q937)/365.25)</f>
        <v>43</v>
      </c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339"/>
      <c r="AJ937" s="353">
        <f t="shared" si="38"/>
        <v>421</v>
      </c>
    </row>
    <row r="938" spans="1:36">
      <c r="A938" s="332">
        <f t="shared" si="39"/>
        <v>422</v>
      </c>
      <c r="F938" s="365"/>
      <c r="G938" s="366" t="s">
        <v>1293</v>
      </c>
      <c r="H938" s="367">
        <v>27156</v>
      </c>
      <c r="I938" s="351" t="s">
        <v>870</v>
      </c>
      <c r="J938" s="350" t="s">
        <v>863</v>
      </c>
      <c r="K938" s="350">
        <f>INT(('Run Time Parameters'!$E$5-'Data Sample'!H938)/365.25)</f>
        <v>35</v>
      </c>
      <c r="L938" s="368">
        <v>1991</v>
      </c>
      <c r="M938" s="368">
        <v>0</v>
      </c>
      <c r="N938" s="350" t="s">
        <v>864</v>
      </c>
      <c r="O938" s="368">
        <v>0</v>
      </c>
      <c r="P938" s="368">
        <v>0</v>
      </c>
      <c r="Q938" s="367">
        <v>27156</v>
      </c>
      <c r="R938" s="368" t="s">
        <v>870</v>
      </c>
      <c r="S938" s="368" t="s">
        <v>863</v>
      </c>
      <c r="T938" s="350">
        <f>INT(('Run Time Parameters'!$E$5-'Data Sample'!Q938)/365.25)</f>
        <v>35</v>
      </c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339"/>
      <c r="AJ938" s="353">
        <f t="shared" si="38"/>
        <v>422</v>
      </c>
    </row>
    <row r="939" spans="1:36">
      <c r="A939" s="332">
        <f t="shared" si="39"/>
        <v>423</v>
      </c>
      <c r="F939" s="365"/>
      <c r="G939" s="366" t="s">
        <v>1294</v>
      </c>
      <c r="H939" s="367">
        <v>18239.041666666668</v>
      </c>
      <c r="I939" s="351" t="s">
        <v>870</v>
      </c>
      <c r="J939" s="350" t="s">
        <v>863</v>
      </c>
      <c r="K939" s="350">
        <f>INT(('Run Time Parameters'!$E$5-'Data Sample'!H939)/365.25)</f>
        <v>59</v>
      </c>
      <c r="L939" s="368">
        <v>1966</v>
      </c>
      <c r="M939" s="368">
        <v>1</v>
      </c>
      <c r="N939" s="350" t="s">
        <v>864</v>
      </c>
      <c r="O939" s="368">
        <v>0</v>
      </c>
      <c r="P939" s="368">
        <v>0</v>
      </c>
      <c r="Q939" s="367">
        <v>24742</v>
      </c>
      <c r="R939" s="368" t="s">
        <v>862</v>
      </c>
      <c r="S939" s="368" t="s">
        <v>863</v>
      </c>
      <c r="T939" s="350">
        <f>INT(('Run Time Parameters'!$E$5-'Data Sample'!Q939)/365.25)</f>
        <v>42</v>
      </c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339"/>
      <c r="AJ939" s="353">
        <f t="shared" si="38"/>
        <v>423</v>
      </c>
    </row>
    <row r="940" spans="1:36">
      <c r="A940" s="332">
        <f t="shared" si="39"/>
        <v>424</v>
      </c>
      <c r="F940" s="365"/>
      <c r="G940" s="366" t="s">
        <v>1295</v>
      </c>
      <c r="H940" s="367">
        <v>14188.041666666666</v>
      </c>
      <c r="I940" s="351" t="s">
        <v>870</v>
      </c>
      <c r="J940" s="350" t="s">
        <v>863</v>
      </c>
      <c r="K940" s="350">
        <f>INT(('Run Time Parameters'!$E$5-'Data Sample'!H940)/365.25)</f>
        <v>70</v>
      </c>
      <c r="L940" s="368">
        <v>1955</v>
      </c>
      <c r="M940" s="368">
        <v>1</v>
      </c>
      <c r="N940" s="350" t="s">
        <v>867</v>
      </c>
      <c r="O940" s="368">
        <v>0</v>
      </c>
      <c r="P940" s="368">
        <v>0</v>
      </c>
      <c r="Q940" s="367">
        <v>14957.041666666666</v>
      </c>
      <c r="R940" s="368" t="s">
        <v>862</v>
      </c>
      <c r="S940" s="368" t="s">
        <v>863</v>
      </c>
      <c r="T940" s="350">
        <f>INT(('Run Time Parameters'!$E$5-'Data Sample'!Q940)/365.25)</f>
        <v>68</v>
      </c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339"/>
      <c r="AJ940" s="353">
        <f t="shared" si="38"/>
        <v>424</v>
      </c>
    </row>
    <row r="941" spans="1:36">
      <c r="A941" s="332">
        <f t="shared" si="39"/>
        <v>425</v>
      </c>
      <c r="F941" s="365"/>
      <c r="G941" s="366" t="s">
        <v>1296</v>
      </c>
      <c r="H941" s="367">
        <v>13885.041666666666</v>
      </c>
      <c r="I941" s="351" t="s">
        <v>862</v>
      </c>
      <c r="J941" s="350" t="s">
        <v>863</v>
      </c>
      <c r="K941" s="350">
        <f>INT(('Run Time Parameters'!$E$5-'Data Sample'!H941)/365.25)</f>
        <v>71</v>
      </c>
      <c r="L941" s="368">
        <v>1958</v>
      </c>
      <c r="M941" s="368">
        <v>0</v>
      </c>
      <c r="N941" s="350" t="s">
        <v>867</v>
      </c>
      <c r="O941" s="368">
        <v>0</v>
      </c>
      <c r="P941" s="368">
        <v>0</v>
      </c>
      <c r="Q941" s="367">
        <v>20873.041666666668</v>
      </c>
      <c r="R941" s="368" t="s">
        <v>870</v>
      </c>
      <c r="S941" s="368" t="s">
        <v>863</v>
      </c>
      <c r="T941" s="350">
        <f>INT(('Run Time Parameters'!$E$5-'Data Sample'!Q941)/365.25)</f>
        <v>52</v>
      </c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339"/>
      <c r="AJ941" s="353">
        <f t="shared" si="38"/>
        <v>425</v>
      </c>
    </row>
    <row r="942" spans="1:36">
      <c r="A942" s="332">
        <f t="shared" si="39"/>
        <v>426</v>
      </c>
      <c r="F942" s="365"/>
      <c r="G942" s="366" t="s">
        <v>1297</v>
      </c>
      <c r="H942" s="367">
        <v>21140.041666666668</v>
      </c>
      <c r="I942" s="351" t="s">
        <v>862</v>
      </c>
      <c r="J942" s="350" t="s">
        <v>863</v>
      </c>
      <c r="K942" s="350">
        <f>INT(('Run Time Parameters'!$E$5-'Data Sample'!H942)/365.25)</f>
        <v>51</v>
      </c>
      <c r="L942" s="368">
        <v>1974</v>
      </c>
      <c r="M942" s="368">
        <v>0</v>
      </c>
      <c r="N942" s="350" t="s">
        <v>867</v>
      </c>
      <c r="O942" s="368">
        <v>0</v>
      </c>
      <c r="P942" s="368">
        <v>0</v>
      </c>
      <c r="Q942" s="367">
        <v>21140.041666666668</v>
      </c>
      <c r="R942" s="368" t="s">
        <v>862</v>
      </c>
      <c r="S942" s="368" t="s">
        <v>863</v>
      </c>
      <c r="T942" s="350">
        <f>INT(('Run Time Parameters'!$E$5-'Data Sample'!Q942)/365.25)</f>
        <v>51</v>
      </c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339"/>
      <c r="AJ942" s="353">
        <f t="shared" si="38"/>
        <v>426</v>
      </c>
    </row>
    <row r="943" spans="1:36">
      <c r="A943" s="332">
        <f t="shared" si="39"/>
        <v>427</v>
      </c>
      <c r="F943" s="365"/>
      <c r="G943" s="366" t="s">
        <v>1298</v>
      </c>
      <c r="H943" s="367">
        <v>15889</v>
      </c>
      <c r="I943" s="351" t="s">
        <v>862</v>
      </c>
      <c r="J943" s="350" t="s">
        <v>863</v>
      </c>
      <c r="K943" s="350">
        <f>INT(('Run Time Parameters'!$E$5-'Data Sample'!H943)/365.25)</f>
        <v>66</v>
      </c>
      <c r="L943" s="368">
        <v>1960</v>
      </c>
      <c r="M943" s="368">
        <v>0</v>
      </c>
      <c r="N943" s="350" t="s">
        <v>867</v>
      </c>
      <c r="O943" s="368">
        <v>0</v>
      </c>
      <c r="P943" s="368">
        <v>0</v>
      </c>
      <c r="Q943" s="367">
        <v>15889</v>
      </c>
      <c r="R943" s="368" t="s">
        <v>862</v>
      </c>
      <c r="S943" s="368" t="s">
        <v>863</v>
      </c>
      <c r="T943" s="350">
        <f>INT(('Run Time Parameters'!$E$5-'Data Sample'!Q943)/365.25)</f>
        <v>66</v>
      </c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339"/>
      <c r="AJ943" s="353">
        <f t="shared" si="38"/>
        <v>427</v>
      </c>
    </row>
    <row r="944" spans="1:36">
      <c r="A944" s="332">
        <f t="shared" si="39"/>
        <v>428</v>
      </c>
      <c r="F944" s="365"/>
      <c r="G944" s="366" t="s">
        <v>1299</v>
      </c>
      <c r="H944" s="367">
        <v>19190</v>
      </c>
      <c r="I944" s="351" t="s">
        <v>870</v>
      </c>
      <c r="J944" s="350" t="s">
        <v>863</v>
      </c>
      <c r="K944" s="350">
        <f>INT(('Run Time Parameters'!$E$5-'Data Sample'!H944)/365.25)</f>
        <v>57</v>
      </c>
      <c r="L944" s="368">
        <v>1970</v>
      </c>
      <c r="M944" s="368">
        <v>0</v>
      </c>
      <c r="N944" s="350" t="s">
        <v>864</v>
      </c>
      <c r="O944" s="368">
        <v>0</v>
      </c>
      <c r="P944" s="368">
        <v>0</v>
      </c>
      <c r="Q944" s="367">
        <v>19190</v>
      </c>
      <c r="R944" s="368" t="s">
        <v>870</v>
      </c>
      <c r="S944" s="368" t="s">
        <v>863</v>
      </c>
      <c r="T944" s="350">
        <f>INT(('Run Time Parameters'!$E$5-'Data Sample'!Q944)/365.25)</f>
        <v>57</v>
      </c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339"/>
      <c r="AJ944" s="353">
        <f t="shared" si="38"/>
        <v>428</v>
      </c>
    </row>
    <row r="945" spans="1:36">
      <c r="A945" s="332">
        <f t="shared" si="39"/>
        <v>429</v>
      </c>
      <c r="F945" s="365"/>
      <c r="G945" s="366" t="s">
        <v>1300</v>
      </c>
      <c r="H945" s="367">
        <v>17259.041666666668</v>
      </c>
      <c r="I945" s="351" t="s">
        <v>862</v>
      </c>
      <c r="J945" s="350" t="s">
        <v>863</v>
      </c>
      <c r="K945" s="350">
        <f>INT(('Run Time Parameters'!$E$5-'Data Sample'!H945)/365.25)</f>
        <v>62</v>
      </c>
      <c r="L945" s="368">
        <v>1970</v>
      </c>
      <c r="M945" s="368">
        <v>0</v>
      </c>
      <c r="N945" s="350" t="s">
        <v>867</v>
      </c>
      <c r="O945" s="368">
        <v>0</v>
      </c>
      <c r="P945" s="368">
        <v>0</v>
      </c>
      <c r="Q945" s="367">
        <v>17259.041666666668</v>
      </c>
      <c r="R945" s="368" t="s">
        <v>862</v>
      </c>
      <c r="S945" s="368" t="s">
        <v>863</v>
      </c>
      <c r="T945" s="350">
        <f>INT(('Run Time Parameters'!$E$5-'Data Sample'!Q945)/365.25)</f>
        <v>62</v>
      </c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339"/>
      <c r="AJ945" s="353">
        <f t="shared" si="38"/>
        <v>429</v>
      </c>
    </row>
    <row r="946" spans="1:36">
      <c r="A946" s="332">
        <f t="shared" si="39"/>
        <v>430</v>
      </c>
      <c r="F946" s="365"/>
      <c r="G946" s="366" t="s">
        <v>1301</v>
      </c>
      <c r="H946" s="367">
        <v>26992</v>
      </c>
      <c r="I946" s="351" t="s">
        <v>862</v>
      </c>
      <c r="J946" s="350" t="s">
        <v>874</v>
      </c>
      <c r="K946" s="350">
        <f>INT(('Run Time Parameters'!$E$5-'Data Sample'!H946)/365.25)</f>
        <v>35</v>
      </c>
      <c r="L946" s="368">
        <v>1995</v>
      </c>
      <c r="M946" s="368">
        <v>0</v>
      </c>
      <c r="N946" s="350" t="s">
        <v>864</v>
      </c>
      <c r="O946" s="368">
        <v>0</v>
      </c>
      <c r="P946" s="368">
        <v>0</v>
      </c>
      <c r="Q946" s="367">
        <v>27077</v>
      </c>
      <c r="R946" s="368" t="s">
        <v>870</v>
      </c>
      <c r="S946" s="368" t="s">
        <v>874</v>
      </c>
      <c r="T946" s="350">
        <f>INT(('Run Time Parameters'!$E$5-'Data Sample'!Q946)/365.25)</f>
        <v>35</v>
      </c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339"/>
      <c r="AJ946" s="353">
        <f t="shared" si="38"/>
        <v>430</v>
      </c>
    </row>
    <row r="947" spans="1:36">
      <c r="A947" s="332">
        <f t="shared" si="39"/>
        <v>431</v>
      </c>
      <c r="F947" s="365"/>
      <c r="G947" s="366" t="s">
        <v>1302</v>
      </c>
      <c r="H947" s="367">
        <v>17966.041666666668</v>
      </c>
      <c r="I947" s="351" t="s">
        <v>870</v>
      </c>
      <c r="J947" s="350" t="s">
        <v>863</v>
      </c>
      <c r="K947" s="350">
        <f>INT(('Run Time Parameters'!$E$5-'Data Sample'!H947)/365.25)</f>
        <v>60</v>
      </c>
      <c r="L947" s="368">
        <v>1966</v>
      </c>
      <c r="M947" s="368">
        <v>0</v>
      </c>
      <c r="N947" s="350" t="s">
        <v>867</v>
      </c>
      <c r="O947" s="368">
        <v>0</v>
      </c>
      <c r="P947" s="368">
        <v>0</v>
      </c>
      <c r="Q947" s="367">
        <v>17262.041666666668</v>
      </c>
      <c r="R947" s="368" t="s">
        <v>862</v>
      </c>
      <c r="S947" s="368" t="s">
        <v>863</v>
      </c>
      <c r="T947" s="350">
        <f>INT(('Run Time Parameters'!$E$5-'Data Sample'!Q947)/365.25)</f>
        <v>62</v>
      </c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339"/>
      <c r="AJ947" s="353">
        <f t="shared" si="38"/>
        <v>431</v>
      </c>
    </row>
    <row r="948" spans="1:36">
      <c r="A948" s="332">
        <f t="shared" si="39"/>
        <v>432</v>
      </c>
      <c r="F948" s="365"/>
      <c r="G948" s="366" t="s">
        <v>1303</v>
      </c>
      <c r="H948" s="367">
        <v>12468.041666666666</v>
      </c>
      <c r="I948" s="351" t="s">
        <v>862</v>
      </c>
      <c r="J948" s="350" t="s">
        <v>863</v>
      </c>
      <c r="K948" s="350">
        <f>INT(('Run Time Parameters'!$E$5-'Data Sample'!H948)/365.25)</f>
        <v>75</v>
      </c>
      <c r="L948" s="368">
        <v>1969</v>
      </c>
      <c r="M948" s="368">
        <v>0</v>
      </c>
      <c r="N948" s="350" t="s">
        <v>867</v>
      </c>
      <c r="O948" s="368">
        <v>0</v>
      </c>
      <c r="P948" s="368">
        <v>0</v>
      </c>
      <c r="Q948" s="367">
        <v>12567</v>
      </c>
      <c r="R948" s="368" t="s">
        <v>870</v>
      </c>
      <c r="S948" s="368" t="s">
        <v>863</v>
      </c>
      <c r="T948" s="350">
        <f>INT(('Run Time Parameters'!$E$5-'Data Sample'!Q948)/365.25)</f>
        <v>75</v>
      </c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339"/>
      <c r="AJ948" s="353">
        <f t="shared" si="38"/>
        <v>432</v>
      </c>
    </row>
    <row r="949" spans="1:36">
      <c r="A949" s="332">
        <f t="shared" si="39"/>
        <v>433</v>
      </c>
      <c r="F949" s="365"/>
      <c r="G949" s="366" t="s">
        <v>1304</v>
      </c>
      <c r="H949" s="367">
        <v>24076.041666666668</v>
      </c>
      <c r="I949" s="351" t="s">
        <v>870</v>
      </c>
      <c r="J949" s="350" t="s">
        <v>866</v>
      </c>
      <c r="K949" s="350">
        <f>INT(('Run Time Parameters'!$E$5-'Data Sample'!H949)/365.25)</f>
        <v>43</v>
      </c>
      <c r="L949" s="368">
        <v>1984</v>
      </c>
      <c r="M949" s="368">
        <v>0</v>
      </c>
      <c r="N949" s="350" t="s">
        <v>864</v>
      </c>
      <c r="O949" s="368">
        <v>0</v>
      </c>
      <c r="P949" s="368">
        <v>0</v>
      </c>
      <c r="Q949" s="367">
        <v>24076.041666666668</v>
      </c>
      <c r="R949" s="368" t="s">
        <v>870</v>
      </c>
      <c r="S949" s="368" t="s">
        <v>866</v>
      </c>
      <c r="T949" s="350">
        <f>INT(('Run Time Parameters'!$E$5-'Data Sample'!Q949)/365.25)</f>
        <v>43</v>
      </c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339"/>
      <c r="AJ949" s="353">
        <f t="shared" si="38"/>
        <v>433</v>
      </c>
    </row>
    <row r="950" spans="1:36">
      <c r="A950" s="332">
        <f t="shared" si="39"/>
        <v>434</v>
      </c>
      <c r="F950" s="365"/>
      <c r="G950" s="366" t="s">
        <v>1305</v>
      </c>
      <c r="H950" s="367">
        <v>25835</v>
      </c>
      <c r="I950" s="351" t="s">
        <v>862</v>
      </c>
      <c r="J950" s="350" t="s">
        <v>863</v>
      </c>
      <c r="K950" s="350">
        <f>INT(('Run Time Parameters'!$E$5-'Data Sample'!H950)/365.25)</f>
        <v>39</v>
      </c>
      <c r="L950" s="368">
        <v>1987</v>
      </c>
      <c r="M950" s="368">
        <v>0</v>
      </c>
      <c r="N950" s="350" t="s">
        <v>867</v>
      </c>
      <c r="O950" s="368">
        <v>0</v>
      </c>
      <c r="P950" s="368">
        <v>0</v>
      </c>
      <c r="Q950" s="367">
        <v>25835</v>
      </c>
      <c r="R950" s="368" t="s">
        <v>862</v>
      </c>
      <c r="S950" s="368" t="s">
        <v>863</v>
      </c>
      <c r="T950" s="350">
        <f>INT(('Run Time Parameters'!$E$5-'Data Sample'!Q950)/365.25)</f>
        <v>39</v>
      </c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339"/>
      <c r="AJ950" s="353">
        <f t="shared" si="38"/>
        <v>434</v>
      </c>
    </row>
    <row r="951" spans="1:36">
      <c r="A951" s="332">
        <f t="shared" si="39"/>
        <v>435</v>
      </c>
      <c r="F951" s="365"/>
      <c r="G951" s="366" t="s">
        <v>1306</v>
      </c>
      <c r="H951" s="367">
        <v>22676.041666666668</v>
      </c>
      <c r="I951" s="351" t="s">
        <v>862</v>
      </c>
      <c r="J951" s="350" t="s">
        <v>863</v>
      </c>
      <c r="K951" s="350">
        <f>INT(('Run Time Parameters'!$E$5-'Data Sample'!H951)/365.25)</f>
        <v>47</v>
      </c>
      <c r="L951" s="368">
        <v>1987</v>
      </c>
      <c r="M951" s="368">
        <v>0</v>
      </c>
      <c r="N951" s="350" t="s">
        <v>867</v>
      </c>
      <c r="O951" s="368">
        <v>0</v>
      </c>
      <c r="P951" s="368">
        <v>0</v>
      </c>
      <c r="Q951" s="367">
        <v>22676.041666666668</v>
      </c>
      <c r="R951" s="368" t="s">
        <v>862</v>
      </c>
      <c r="S951" s="368" t="s">
        <v>863</v>
      </c>
      <c r="T951" s="350">
        <f>INT(('Run Time Parameters'!$E$5-'Data Sample'!Q951)/365.25)</f>
        <v>47</v>
      </c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339"/>
      <c r="AJ951" s="353">
        <f t="shared" si="38"/>
        <v>435</v>
      </c>
    </row>
    <row r="952" spans="1:36">
      <c r="A952" s="332">
        <f t="shared" si="39"/>
        <v>436</v>
      </c>
      <c r="F952" s="365"/>
      <c r="G952" s="366" t="s">
        <v>1307</v>
      </c>
      <c r="H952" s="367">
        <v>15098</v>
      </c>
      <c r="I952" s="351" t="s">
        <v>870</v>
      </c>
      <c r="J952" s="350" t="s">
        <v>863</v>
      </c>
      <c r="K952" s="350">
        <f>INT(('Run Time Parameters'!$E$5-'Data Sample'!H952)/365.25)</f>
        <v>68</v>
      </c>
      <c r="L952" s="368">
        <v>1958</v>
      </c>
      <c r="M952" s="368">
        <v>0</v>
      </c>
      <c r="N952" s="350" t="s">
        <v>867</v>
      </c>
      <c r="O952" s="368">
        <v>0</v>
      </c>
      <c r="P952" s="368">
        <v>0</v>
      </c>
      <c r="Q952" s="367">
        <v>15989</v>
      </c>
      <c r="R952" s="368" t="s">
        <v>862</v>
      </c>
      <c r="S952" s="368" t="s">
        <v>863</v>
      </c>
      <c r="T952" s="350">
        <f>INT(('Run Time Parameters'!$E$5-'Data Sample'!Q952)/365.25)</f>
        <v>66</v>
      </c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339"/>
      <c r="AJ952" s="353">
        <f t="shared" si="38"/>
        <v>436</v>
      </c>
    </row>
    <row r="953" spans="1:36">
      <c r="A953" s="332">
        <f t="shared" si="39"/>
        <v>437</v>
      </c>
      <c r="F953" s="365"/>
      <c r="G953" s="366" t="s">
        <v>1308</v>
      </c>
      <c r="H953" s="367">
        <v>15225</v>
      </c>
      <c r="I953" s="351" t="s">
        <v>862</v>
      </c>
      <c r="J953" s="350" t="s">
        <v>863</v>
      </c>
      <c r="K953" s="350">
        <f>INT(('Run Time Parameters'!$E$5-'Data Sample'!H953)/365.25)</f>
        <v>68</v>
      </c>
      <c r="L953" s="368">
        <v>1958</v>
      </c>
      <c r="M953" s="368">
        <v>0</v>
      </c>
      <c r="N953" s="350" t="s">
        <v>867</v>
      </c>
      <c r="O953" s="368">
        <v>0</v>
      </c>
      <c r="P953" s="368">
        <v>0</v>
      </c>
      <c r="Q953" s="367">
        <v>15225</v>
      </c>
      <c r="R953" s="368" t="s">
        <v>862</v>
      </c>
      <c r="S953" s="368" t="s">
        <v>863</v>
      </c>
      <c r="T953" s="350">
        <f>INT(('Run Time Parameters'!$E$5-'Data Sample'!Q953)/365.25)</f>
        <v>68</v>
      </c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339"/>
      <c r="AJ953" s="353">
        <f t="shared" si="38"/>
        <v>437</v>
      </c>
    </row>
    <row r="954" spans="1:36">
      <c r="A954" s="332">
        <f t="shared" si="39"/>
        <v>438</v>
      </c>
      <c r="F954" s="365"/>
      <c r="G954" s="366" t="s">
        <v>1309</v>
      </c>
      <c r="H954" s="367">
        <v>24750.041666666668</v>
      </c>
      <c r="I954" s="351" t="s">
        <v>862</v>
      </c>
      <c r="J954" s="350" t="s">
        <v>863</v>
      </c>
      <c r="K954" s="350">
        <f>INT(('Run Time Parameters'!$E$5-'Data Sample'!H954)/365.25)</f>
        <v>42</v>
      </c>
      <c r="L954" s="368">
        <v>1989</v>
      </c>
      <c r="M954" s="368">
        <v>0</v>
      </c>
      <c r="N954" s="350" t="s">
        <v>867</v>
      </c>
      <c r="O954" s="368">
        <v>0</v>
      </c>
      <c r="P954" s="368">
        <v>0</v>
      </c>
      <c r="Q954" s="367">
        <v>24750.041666666668</v>
      </c>
      <c r="R954" s="368" t="s">
        <v>862</v>
      </c>
      <c r="S954" s="368" t="s">
        <v>863</v>
      </c>
      <c r="T954" s="350">
        <f>INT(('Run Time Parameters'!$E$5-'Data Sample'!Q954)/365.25)</f>
        <v>42</v>
      </c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339"/>
      <c r="AJ954" s="353">
        <f t="shared" si="38"/>
        <v>438</v>
      </c>
    </row>
    <row r="955" spans="1:36">
      <c r="A955" s="332">
        <f t="shared" si="39"/>
        <v>439</v>
      </c>
      <c r="F955" s="365"/>
      <c r="G955" s="366" t="s">
        <v>1310</v>
      </c>
      <c r="H955" s="367">
        <v>26550</v>
      </c>
      <c r="I955" s="351" t="s">
        <v>862</v>
      </c>
      <c r="J955" s="350" t="s">
        <v>863</v>
      </c>
      <c r="K955" s="350">
        <f>INT(('Run Time Parameters'!$E$5-'Data Sample'!H955)/365.25)</f>
        <v>37</v>
      </c>
      <c r="L955" s="368">
        <v>1989</v>
      </c>
      <c r="M955" s="368">
        <v>0</v>
      </c>
      <c r="N955" s="350" t="s">
        <v>867</v>
      </c>
      <c r="O955" s="368">
        <v>0</v>
      </c>
      <c r="P955" s="368">
        <v>0</v>
      </c>
      <c r="Q955" s="367">
        <v>26550</v>
      </c>
      <c r="R955" s="368" t="s">
        <v>862</v>
      </c>
      <c r="S955" s="368" t="s">
        <v>863</v>
      </c>
      <c r="T955" s="350">
        <f>INT(('Run Time Parameters'!$E$5-'Data Sample'!Q955)/365.25)</f>
        <v>37</v>
      </c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339"/>
      <c r="AJ955" s="353">
        <f t="shared" si="38"/>
        <v>439</v>
      </c>
    </row>
    <row r="956" spans="1:36">
      <c r="A956" s="332">
        <f t="shared" si="39"/>
        <v>440</v>
      </c>
      <c r="F956" s="365"/>
      <c r="G956" s="366" t="s">
        <v>1311</v>
      </c>
      <c r="H956" s="367">
        <v>25944.041666666668</v>
      </c>
      <c r="I956" s="351" t="s">
        <v>862</v>
      </c>
      <c r="J956" s="350" t="s">
        <v>863</v>
      </c>
      <c r="K956" s="350">
        <f>INT(('Run Time Parameters'!$E$5-'Data Sample'!H956)/365.25)</f>
        <v>38</v>
      </c>
      <c r="L956" s="368">
        <v>1988</v>
      </c>
      <c r="M956" s="368">
        <v>1</v>
      </c>
      <c r="N956" s="350" t="s">
        <v>864</v>
      </c>
      <c r="O956" s="368">
        <v>0</v>
      </c>
      <c r="P956" s="368">
        <v>0</v>
      </c>
      <c r="Q956" s="367">
        <v>25944.041666666668</v>
      </c>
      <c r="R956" s="368" t="s">
        <v>862</v>
      </c>
      <c r="S956" s="368" t="s">
        <v>863</v>
      </c>
      <c r="T956" s="350">
        <f>INT(('Run Time Parameters'!$E$5-'Data Sample'!Q956)/365.25)</f>
        <v>38</v>
      </c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339"/>
      <c r="AJ956" s="353">
        <f t="shared" si="38"/>
        <v>440</v>
      </c>
    </row>
    <row r="957" spans="1:36">
      <c r="A957" s="332">
        <f t="shared" si="39"/>
        <v>441</v>
      </c>
      <c r="F957" s="365"/>
      <c r="G957" s="366" t="s">
        <v>1312</v>
      </c>
      <c r="H957" s="367">
        <v>27105.041666666668</v>
      </c>
      <c r="I957" s="351" t="s">
        <v>870</v>
      </c>
      <c r="J957" s="350" t="s">
        <v>863</v>
      </c>
      <c r="K957" s="350">
        <f>INT(('Run Time Parameters'!$E$5-'Data Sample'!H957)/365.25)</f>
        <v>35</v>
      </c>
      <c r="L957" s="368">
        <v>1995</v>
      </c>
      <c r="M957" s="368">
        <v>0</v>
      </c>
      <c r="N957" s="350" t="s">
        <v>867</v>
      </c>
      <c r="O957" s="368">
        <v>0</v>
      </c>
      <c r="P957" s="368">
        <v>0</v>
      </c>
      <c r="Q957" s="367">
        <v>27105.041666666668</v>
      </c>
      <c r="R957" s="368" t="s">
        <v>870</v>
      </c>
      <c r="S957" s="368" t="s">
        <v>863</v>
      </c>
      <c r="T957" s="350">
        <f>INT(('Run Time Parameters'!$E$5-'Data Sample'!Q957)/365.25)</f>
        <v>35</v>
      </c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339"/>
      <c r="AJ957" s="353">
        <f t="shared" si="38"/>
        <v>441</v>
      </c>
    </row>
    <row r="958" spans="1:36">
      <c r="A958" s="332">
        <f t="shared" si="39"/>
        <v>442</v>
      </c>
      <c r="F958" s="365"/>
      <c r="G958" s="366" t="s">
        <v>1313</v>
      </c>
      <c r="H958" s="367">
        <v>27124.041666666668</v>
      </c>
      <c r="I958" s="351" t="s">
        <v>862</v>
      </c>
      <c r="J958" s="350" t="s">
        <v>863</v>
      </c>
      <c r="K958" s="350">
        <f>INT(('Run Time Parameters'!$E$5-'Data Sample'!H958)/365.25)</f>
        <v>35</v>
      </c>
      <c r="L958" s="368">
        <v>1992</v>
      </c>
      <c r="M958" s="368">
        <v>0</v>
      </c>
      <c r="N958" s="350" t="s">
        <v>867</v>
      </c>
      <c r="O958" s="368">
        <v>0</v>
      </c>
      <c r="P958" s="368">
        <v>0</v>
      </c>
      <c r="Q958" s="367">
        <v>27124.041666666668</v>
      </c>
      <c r="R958" s="368" t="s">
        <v>862</v>
      </c>
      <c r="S958" s="368" t="s">
        <v>863</v>
      </c>
      <c r="T958" s="350">
        <f>INT(('Run Time Parameters'!$E$5-'Data Sample'!Q958)/365.25)</f>
        <v>35</v>
      </c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339"/>
      <c r="AJ958" s="353">
        <f t="shared" si="38"/>
        <v>442</v>
      </c>
    </row>
    <row r="959" spans="1:36">
      <c r="A959" s="332">
        <f t="shared" si="39"/>
        <v>443</v>
      </c>
      <c r="F959" s="365"/>
      <c r="G959" s="366" t="s">
        <v>1314</v>
      </c>
      <c r="H959" s="367">
        <v>27473.041666666668</v>
      </c>
      <c r="I959" s="351" t="s">
        <v>862</v>
      </c>
      <c r="J959" s="350" t="s">
        <v>863</v>
      </c>
      <c r="K959" s="350">
        <f>INT(('Run Time Parameters'!$E$5-'Data Sample'!H959)/365.25)</f>
        <v>34</v>
      </c>
      <c r="L959" s="368">
        <v>1993</v>
      </c>
      <c r="M959" s="368">
        <v>0</v>
      </c>
      <c r="N959" s="350" t="s">
        <v>867</v>
      </c>
      <c r="O959" s="368">
        <v>0</v>
      </c>
      <c r="P959" s="368">
        <v>0</v>
      </c>
      <c r="Q959" s="367">
        <v>27473.041666666668</v>
      </c>
      <c r="R959" s="368" t="s">
        <v>862</v>
      </c>
      <c r="S959" s="368" t="s">
        <v>863</v>
      </c>
      <c r="T959" s="350">
        <f>INT(('Run Time Parameters'!$E$5-'Data Sample'!Q959)/365.25)</f>
        <v>34</v>
      </c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339"/>
      <c r="AJ959" s="353">
        <f t="shared" si="38"/>
        <v>443</v>
      </c>
    </row>
    <row r="960" spans="1:36">
      <c r="A960" s="332">
        <f t="shared" si="39"/>
        <v>444</v>
      </c>
      <c r="F960" s="365"/>
      <c r="G960" s="366" t="s">
        <v>1315</v>
      </c>
      <c r="H960" s="367">
        <v>26590.041666666668</v>
      </c>
      <c r="I960" s="351" t="s">
        <v>862</v>
      </c>
      <c r="J960" s="350" t="s">
        <v>863</v>
      </c>
      <c r="K960" s="350">
        <f>INT(('Run Time Parameters'!$E$5-'Data Sample'!H960)/365.25)</f>
        <v>37</v>
      </c>
      <c r="L960" s="368">
        <v>1989</v>
      </c>
      <c r="M960" s="368">
        <v>0</v>
      </c>
      <c r="N960" s="350" t="s">
        <v>867</v>
      </c>
      <c r="O960" s="368">
        <v>0</v>
      </c>
      <c r="P960" s="368">
        <v>0</v>
      </c>
      <c r="Q960" s="367">
        <v>26590.041666666668</v>
      </c>
      <c r="R960" s="368" t="s">
        <v>862</v>
      </c>
      <c r="S960" s="368" t="s">
        <v>863</v>
      </c>
      <c r="T960" s="350">
        <f>INT(('Run Time Parameters'!$E$5-'Data Sample'!Q960)/365.25)</f>
        <v>37</v>
      </c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339"/>
      <c r="AJ960" s="353">
        <f t="shared" si="38"/>
        <v>444</v>
      </c>
    </row>
    <row r="961" spans="1:36">
      <c r="A961" s="332">
        <f t="shared" si="39"/>
        <v>445</v>
      </c>
      <c r="F961" s="365"/>
      <c r="G961" s="366" t="s">
        <v>1316</v>
      </c>
      <c r="H961" s="367">
        <v>18768</v>
      </c>
      <c r="I961" s="351" t="s">
        <v>870</v>
      </c>
      <c r="J961" s="350" t="s">
        <v>863</v>
      </c>
      <c r="K961" s="350">
        <f>INT(('Run Time Parameters'!$E$5-'Data Sample'!H961)/365.25)</f>
        <v>58</v>
      </c>
      <c r="L961" s="368">
        <v>1968</v>
      </c>
      <c r="M961" s="368">
        <v>0</v>
      </c>
      <c r="N961" s="350" t="s">
        <v>867</v>
      </c>
      <c r="O961" s="368">
        <v>0</v>
      </c>
      <c r="P961" s="368">
        <v>0</v>
      </c>
      <c r="Q961" s="367">
        <v>29830</v>
      </c>
      <c r="R961" s="368" t="s">
        <v>870</v>
      </c>
      <c r="S961" s="368" t="s">
        <v>863</v>
      </c>
      <c r="T961" s="350">
        <f>INT(('Run Time Parameters'!$E$5-'Data Sample'!Q961)/365.25)</f>
        <v>28</v>
      </c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339"/>
      <c r="AJ961" s="353">
        <f t="shared" si="38"/>
        <v>445</v>
      </c>
    </row>
    <row r="962" spans="1:36">
      <c r="A962" s="332">
        <f t="shared" si="39"/>
        <v>446</v>
      </c>
      <c r="F962" s="365"/>
      <c r="G962" s="366" t="s">
        <v>1317</v>
      </c>
      <c r="H962" s="367">
        <v>12829.041666666666</v>
      </c>
      <c r="I962" s="351" t="s">
        <v>870</v>
      </c>
      <c r="J962" s="350" t="s">
        <v>863</v>
      </c>
      <c r="K962" s="350">
        <f>INT(('Run Time Parameters'!$E$5-'Data Sample'!H962)/365.25)</f>
        <v>74</v>
      </c>
      <c r="L962" s="368">
        <v>1958</v>
      </c>
      <c r="M962" s="368">
        <v>0</v>
      </c>
      <c r="N962" s="350" t="s">
        <v>867</v>
      </c>
      <c r="O962" s="368">
        <v>0</v>
      </c>
      <c r="P962" s="368">
        <v>0</v>
      </c>
      <c r="Q962" s="367">
        <v>13974</v>
      </c>
      <c r="R962" s="368" t="s">
        <v>862</v>
      </c>
      <c r="S962" s="368" t="s">
        <v>863</v>
      </c>
      <c r="T962" s="350">
        <f>INT(('Run Time Parameters'!$E$5-'Data Sample'!Q962)/365.25)</f>
        <v>71</v>
      </c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339"/>
      <c r="AJ962" s="353">
        <f t="shared" si="38"/>
        <v>446</v>
      </c>
    </row>
    <row r="963" spans="1:36">
      <c r="A963" s="332">
        <f t="shared" si="39"/>
        <v>447</v>
      </c>
      <c r="F963" s="365"/>
      <c r="G963" s="366" t="s">
        <v>1318</v>
      </c>
      <c r="H963" s="367">
        <v>24281</v>
      </c>
      <c r="I963" s="351" t="s">
        <v>862</v>
      </c>
      <c r="J963" s="350" t="s">
        <v>874</v>
      </c>
      <c r="K963" s="350">
        <f>INT(('Run Time Parameters'!$E$5-'Data Sample'!H963)/365.25)</f>
        <v>43</v>
      </c>
      <c r="L963" s="368">
        <v>1991</v>
      </c>
      <c r="M963" s="368">
        <v>0</v>
      </c>
      <c r="N963" s="350" t="s">
        <v>867</v>
      </c>
      <c r="O963" s="368">
        <v>0</v>
      </c>
      <c r="P963" s="368">
        <v>0</v>
      </c>
      <c r="Q963" s="367">
        <v>24281</v>
      </c>
      <c r="R963" s="368" t="s">
        <v>862</v>
      </c>
      <c r="S963" s="368" t="s">
        <v>874</v>
      </c>
      <c r="T963" s="350">
        <f>INT(('Run Time Parameters'!$E$5-'Data Sample'!Q963)/365.25)</f>
        <v>43</v>
      </c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339"/>
      <c r="AJ963" s="353">
        <f t="shared" si="38"/>
        <v>447</v>
      </c>
    </row>
    <row r="964" spans="1:36">
      <c r="A964" s="332">
        <f t="shared" si="39"/>
        <v>448</v>
      </c>
      <c r="F964" s="365"/>
      <c r="G964" s="366" t="s">
        <v>1319</v>
      </c>
      <c r="H964" s="367">
        <v>20223</v>
      </c>
      <c r="I964" s="351" t="s">
        <v>870</v>
      </c>
      <c r="J964" s="350" t="s">
        <v>863</v>
      </c>
      <c r="K964" s="350">
        <f>INT(('Run Time Parameters'!$E$5-'Data Sample'!H964)/365.25)</f>
        <v>54</v>
      </c>
      <c r="L964" s="368">
        <v>1972</v>
      </c>
      <c r="M964" s="368">
        <v>1</v>
      </c>
      <c r="N964" s="350" t="s">
        <v>867</v>
      </c>
      <c r="O964" s="368">
        <v>0</v>
      </c>
      <c r="P964" s="368">
        <v>0</v>
      </c>
      <c r="Q964" s="367">
        <v>20223</v>
      </c>
      <c r="R964" s="368" t="s">
        <v>870</v>
      </c>
      <c r="S964" s="368" t="s">
        <v>863</v>
      </c>
      <c r="T964" s="350">
        <f>INT(('Run Time Parameters'!$E$5-'Data Sample'!Q964)/365.25)</f>
        <v>54</v>
      </c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339"/>
      <c r="AJ964" s="353">
        <f t="shared" si="38"/>
        <v>448</v>
      </c>
    </row>
    <row r="965" spans="1:36">
      <c r="A965" s="332">
        <f t="shared" si="39"/>
        <v>449</v>
      </c>
      <c r="F965" s="365"/>
      <c r="G965" s="366" t="s">
        <v>1320</v>
      </c>
      <c r="H965" s="367">
        <v>14283.041666666666</v>
      </c>
      <c r="I965" s="351" t="s">
        <v>870</v>
      </c>
      <c r="J965" s="350" t="s">
        <v>863</v>
      </c>
      <c r="K965" s="350">
        <f>INT(('Run Time Parameters'!$E$5-'Data Sample'!H965)/365.25)</f>
        <v>70</v>
      </c>
      <c r="L965" s="368">
        <v>1956</v>
      </c>
      <c r="M965" s="368">
        <v>0</v>
      </c>
      <c r="N965" s="350" t="s">
        <v>867</v>
      </c>
      <c r="O965" s="368">
        <v>0</v>
      </c>
      <c r="P965" s="368">
        <v>0</v>
      </c>
      <c r="Q965" s="367">
        <v>18797</v>
      </c>
      <c r="R965" s="368" t="s">
        <v>862</v>
      </c>
      <c r="S965" s="368" t="s">
        <v>863</v>
      </c>
      <c r="T965" s="350">
        <f>INT(('Run Time Parameters'!$E$5-'Data Sample'!Q965)/365.25)</f>
        <v>58</v>
      </c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339"/>
      <c r="AJ965" s="353">
        <f t="shared" si="38"/>
        <v>449</v>
      </c>
    </row>
    <row r="966" spans="1:36">
      <c r="A966" s="332">
        <f t="shared" si="39"/>
        <v>450</v>
      </c>
      <c r="F966" s="365"/>
      <c r="G966" s="366" t="s">
        <v>1321</v>
      </c>
      <c r="H966" s="367">
        <v>23376.041666666668</v>
      </c>
      <c r="I966" s="351" t="s">
        <v>862</v>
      </c>
      <c r="J966" s="350" t="s">
        <v>863</v>
      </c>
      <c r="K966" s="350">
        <f>INT(('Run Time Parameters'!$E$5-'Data Sample'!H966)/365.25)</f>
        <v>45</v>
      </c>
      <c r="L966" s="368">
        <v>1988</v>
      </c>
      <c r="M966" s="368">
        <v>0</v>
      </c>
      <c r="N966" s="350" t="s">
        <v>867</v>
      </c>
      <c r="O966" s="368">
        <v>0</v>
      </c>
      <c r="P966" s="368">
        <v>0</v>
      </c>
      <c r="Q966" s="367">
        <v>22696.041666666668</v>
      </c>
      <c r="R966" s="368" t="s">
        <v>870</v>
      </c>
      <c r="S966" s="368" t="s">
        <v>863</v>
      </c>
      <c r="T966" s="350">
        <f>INT(('Run Time Parameters'!$E$5-'Data Sample'!Q966)/365.25)</f>
        <v>47</v>
      </c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339"/>
      <c r="AJ966" s="353">
        <f t="shared" si="38"/>
        <v>450</v>
      </c>
    </row>
    <row r="967" spans="1:36">
      <c r="A967" s="332">
        <f t="shared" si="39"/>
        <v>451</v>
      </c>
      <c r="F967" s="365"/>
      <c r="G967" s="366" t="s">
        <v>1322</v>
      </c>
      <c r="H967" s="367">
        <v>23682.041666666668</v>
      </c>
      <c r="I967" s="351" t="s">
        <v>870</v>
      </c>
      <c r="J967" s="350" t="s">
        <v>863</v>
      </c>
      <c r="K967" s="350">
        <f>INT(('Run Time Parameters'!$E$5-'Data Sample'!H967)/365.25)</f>
        <v>44</v>
      </c>
      <c r="L967" s="368">
        <v>1981</v>
      </c>
      <c r="M967" s="368">
        <v>0</v>
      </c>
      <c r="N967" s="350" t="s">
        <v>867</v>
      </c>
      <c r="O967" s="368">
        <v>0</v>
      </c>
      <c r="P967" s="368">
        <v>0</v>
      </c>
      <c r="Q967" s="367">
        <v>26388.041666666668</v>
      </c>
      <c r="R967" s="368" t="s">
        <v>862</v>
      </c>
      <c r="S967" s="368" t="s">
        <v>863</v>
      </c>
      <c r="T967" s="350">
        <f>INT(('Run Time Parameters'!$E$5-'Data Sample'!Q967)/365.25)</f>
        <v>37</v>
      </c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339"/>
      <c r="AJ967" s="353">
        <f t="shared" ref="AJ967:AJ1015" si="40">AJ966+1</f>
        <v>451</v>
      </c>
    </row>
    <row r="968" spans="1:36">
      <c r="A968" s="332">
        <f t="shared" si="39"/>
        <v>452</v>
      </c>
      <c r="F968" s="365"/>
      <c r="G968" s="366" t="s">
        <v>1323</v>
      </c>
      <c r="H968" s="367">
        <v>23856</v>
      </c>
      <c r="I968" s="351" t="s">
        <v>862</v>
      </c>
      <c r="J968" s="350" t="s">
        <v>863</v>
      </c>
      <c r="K968" s="350">
        <f>INT(('Run Time Parameters'!$E$5-'Data Sample'!H968)/365.25)</f>
        <v>44</v>
      </c>
      <c r="L968" s="368">
        <v>1982</v>
      </c>
      <c r="M968" s="368">
        <v>0</v>
      </c>
      <c r="N968" s="350" t="s">
        <v>867</v>
      </c>
      <c r="O968" s="368">
        <v>0</v>
      </c>
      <c r="P968" s="368">
        <v>0</v>
      </c>
      <c r="Q968" s="367">
        <v>23856</v>
      </c>
      <c r="R968" s="368" t="s">
        <v>862</v>
      </c>
      <c r="S968" s="368" t="s">
        <v>863</v>
      </c>
      <c r="T968" s="350">
        <f>INT(('Run Time Parameters'!$E$5-'Data Sample'!Q968)/365.25)</f>
        <v>44</v>
      </c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339"/>
      <c r="AJ968" s="353">
        <f t="shared" si="40"/>
        <v>452</v>
      </c>
    </row>
    <row r="969" spans="1:36">
      <c r="A969" s="332">
        <f t="shared" si="39"/>
        <v>453</v>
      </c>
      <c r="F969" s="365"/>
      <c r="G969" s="366" t="s">
        <v>1324</v>
      </c>
      <c r="H969" s="367">
        <v>13972.041666666666</v>
      </c>
      <c r="I969" s="351" t="s">
        <v>862</v>
      </c>
      <c r="J969" s="350" t="s">
        <v>863</v>
      </c>
      <c r="K969" s="350">
        <f>INT(('Run Time Parameters'!$E$5-'Data Sample'!H969)/365.25)</f>
        <v>71</v>
      </c>
      <c r="L969" s="368">
        <v>1955</v>
      </c>
      <c r="M969" s="368">
        <v>1</v>
      </c>
      <c r="N969" s="350" t="s">
        <v>867</v>
      </c>
      <c r="O969" s="368">
        <v>0</v>
      </c>
      <c r="P969" s="368">
        <v>0</v>
      </c>
      <c r="Q969" s="367">
        <v>13972.041666666666</v>
      </c>
      <c r="R969" s="368" t="s">
        <v>862</v>
      </c>
      <c r="S969" s="368" t="s">
        <v>863</v>
      </c>
      <c r="T969" s="350">
        <f>INT(('Run Time Parameters'!$E$5-'Data Sample'!Q969)/365.25)</f>
        <v>71</v>
      </c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339"/>
      <c r="AJ969" s="353">
        <f t="shared" si="40"/>
        <v>453</v>
      </c>
    </row>
    <row r="970" spans="1:36">
      <c r="A970" s="332">
        <f t="shared" ref="A970:A1015" si="41">1+A969</f>
        <v>454</v>
      </c>
      <c r="F970" s="365"/>
      <c r="G970" s="366" t="s">
        <v>1325</v>
      </c>
      <c r="H970" s="367">
        <v>30637</v>
      </c>
      <c r="I970" s="351" t="s">
        <v>862</v>
      </c>
      <c r="J970" s="350" t="s">
        <v>863</v>
      </c>
      <c r="K970" s="350">
        <f>INT(('Run Time Parameters'!$E$5-'Data Sample'!H970)/365.25)</f>
        <v>25</v>
      </c>
      <c r="L970" s="368">
        <v>2003</v>
      </c>
      <c r="M970" s="368">
        <v>0</v>
      </c>
      <c r="N970" s="350" t="s">
        <v>867</v>
      </c>
      <c r="O970" s="368">
        <v>0</v>
      </c>
      <c r="P970" s="368">
        <v>0</v>
      </c>
      <c r="Q970" s="367">
        <v>30637</v>
      </c>
      <c r="R970" s="368" t="s">
        <v>862</v>
      </c>
      <c r="S970" s="368" t="s">
        <v>863</v>
      </c>
      <c r="T970" s="350">
        <f>INT(('Run Time Parameters'!$E$5-'Data Sample'!Q970)/365.25)</f>
        <v>25</v>
      </c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339"/>
      <c r="AJ970" s="353">
        <f t="shared" si="40"/>
        <v>454</v>
      </c>
    </row>
    <row r="971" spans="1:36">
      <c r="A971" s="332">
        <f t="shared" si="41"/>
        <v>455</v>
      </c>
      <c r="F971" s="365"/>
      <c r="G971" s="366" t="s">
        <v>1326</v>
      </c>
      <c r="H971" s="367">
        <v>23989</v>
      </c>
      <c r="I971" s="351" t="s">
        <v>870</v>
      </c>
      <c r="J971" s="350" t="s">
        <v>863</v>
      </c>
      <c r="K971" s="350">
        <f>INT(('Run Time Parameters'!$E$5-'Data Sample'!H971)/365.25)</f>
        <v>44</v>
      </c>
      <c r="L971" s="368">
        <v>1982</v>
      </c>
      <c r="M971" s="368">
        <v>0</v>
      </c>
      <c r="N971" s="350" t="s">
        <v>864</v>
      </c>
      <c r="O971" s="368">
        <v>0</v>
      </c>
      <c r="P971" s="368">
        <v>0</v>
      </c>
      <c r="Q971" s="367">
        <v>23989</v>
      </c>
      <c r="R971" s="368" t="s">
        <v>870</v>
      </c>
      <c r="S971" s="368" t="s">
        <v>863</v>
      </c>
      <c r="T971" s="350">
        <f>INT(('Run Time Parameters'!$E$5-'Data Sample'!Q971)/365.25)</f>
        <v>44</v>
      </c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339"/>
      <c r="AJ971" s="353">
        <f t="shared" si="40"/>
        <v>455</v>
      </c>
    </row>
    <row r="972" spans="1:36">
      <c r="A972" s="332">
        <f t="shared" si="41"/>
        <v>456</v>
      </c>
      <c r="F972" s="365"/>
      <c r="G972" s="366" t="s">
        <v>1327</v>
      </c>
      <c r="H972" s="367">
        <v>29091</v>
      </c>
      <c r="I972" s="351" t="s">
        <v>870</v>
      </c>
      <c r="J972" s="350" t="s">
        <v>863</v>
      </c>
      <c r="K972" s="350">
        <f>INT(('Run Time Parameters'!$E$5-'Data Sample'!H972)/365.25)</f>
        <v>30</v>
      </c>
      <c r="L972" s="368">
        <v>1997</v>
      </c>
      <c r="M972" s="368">
        <v>0</v>
      </c>
      <c r="N972" s="350" t="s">
        <v>867</v>
      </c>
      <c r="O972" s="368">
        <v>0</v>
      </c>
      <c r="P972" s="368">
        <v>0</v>
      </c>
      <c r="Q972" s="367">
        <v>29336</v>
      </c>
      <c r="R972" s="368" t="s">
        <v>862</v>
      </c>
      <c r="S972" s="368" t="s">
        <v>863</v>
      </c>
      <c r="T972" s="350">
        <f>INT(('Run Time Parameters'!$E$5-'Data Sample'!Q972)/365.25)</f>
        <v>29</v>
      </c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339"/>
      <c r="AJ972" s="353">
        <f t="shared" si="40"/>
        <v>456</v>
      </c>
    </row>
    <row r="973" spans="1:36">
      <c r="A973" s="332">
        <f t="shared" si="41"/>
        <v>457</v>
      </c>
      <c r="F973" s="365"/>
      <c r="G973" s="366" t="s">
        <v>1328</v>
      </c>
      <c r="H973" s="367">
        <v>23989</v>
      </c>
      <c r="I973" s="351" t="s">
        <v>870</v>
      </c>
      <c r="J973" s="350" t="s">
        <v>863</v>
      </c>
      <c r="K973" s="350">
        <f>INT(('Run Time Parameters'!$E$5-'Data Sample'!H973)/365.25)</f>
        <v>44</v>
      </c>
      <c r="L973" s="368">
        <v>1982</v>
      </c>
      <c r="M973" s="368">
        <v>0</v>
      </c>
      <c r="N973" s="350" t="s">
        <v>864</v>
      </c>
      <c r="O973" s="368">
        <v>0</v>
      </c>
      <c r="P973" s="368">
        <v>0</v>
      </c>
      <c r="Q973" s="367">
        <v>23989</v>
      </c>
      <c r="R973" s="368" t="s">
        <v>870</v>
      </c>
      <c r="S973" s="368" t="s">
        <v>863</v>
      </c>
      <c r="T973" s="350">
        <f>INT(('Run Time Parameters'!$E$5-'Data Sample'!Q973)/365.25)</f>
        <v>44</v>
      </c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339"/>
      <c r="AJ973" s="353">
        <f t="shared" si="40"/>
        <v>457</v>
      </c>
    </row>
    <row r="974" spans="1:36">
      <c r="A974" s="332">
        <f t="shared" si="41"/>
        <v>458</v>
      </c>
      <c r="F974" s="365"/>
      <c r="G974" s="366" t="s">
        <v>1329</v>
      </c>
      <c r="H974" s="367">
        <v>25011</v>
      </c>
      <c r="I974" s="351" t="s">
        <v>862</v>
      </c>
      <c r="J974" s="350" t="s">
        <v>863</v>
      </c>
      <c r="K974" s="350">
        <f>INT(('Run Time Parameters'!$E$5-'Data Sample'!H974)/365.25)</f>
        <v>41</v>
      </c>
      <c r="L974" s="368">
        <v>1987</v>
      </c>
      <c r="M974" s="368">
        <v>0</v>
      </c>
      <c r="N974" s="350" t="s">
        <v>867</v>
      </c>
      <c r="O974" s="368">
        <v>0</v>
      </c>
      <c r="P974" s="368">
        <v>0</v>
      </c>
      <c r="Q974" s="367">
        <v>25011</v>
      </c>
      <c r="R974" s="368" t="s">
        <v>862</v>
      </c>
      <c r="S974" s="368" t="s">
        <v>863</v>
      </c>
      <c r="T974" s="350">
        <f>INT(('Run Time Parameters'!$E$5-'Data Sample'!Q974)/365.25)</f>
        <v>41</v>
      </c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339"/>
      <c r="AJ974" s="353">
        <f t="shared" si="40"/>
        <v>458</v>
      </c>
    </row>
    <row r="975" spans="1:36">
      <c r="A975" s="332">
        <f t="shared" si="41"/>
        <v>459</v>
      </c>
      <c r="F975" s="365"/>
      <c r="G975" s="366" t="s">
        <v>1330</v>
      </c>
      <c r="H975" s="367">
        <v>25911.041666666668</v>
      </c>
      <c r="I975" s="351" t="s">
        <v>870</v>
      </c>
      <c r="J975" s="350" t="s">
        <v>863</v>
      </c>
      <c r="K975" s="350">
        <f>INT(('Run Time Parameters'!$E$5-'Data Sample'!H975)/365.25)</f>
        <v>38</v>
      </c>
      <c r="L975" s="368">
        <v>1987</v>
      </c>
      <c r="M975" s="368">
        <v>1</v>
      </c>
      <c r="N975" s="350" t="s">
        <v>867</v>
      </c>
      <c r="O975" s="368">
        <v>0</v>
      </c>
      <c r="P975" s="368">
        <v>0</v>
      </c>
      <c r="Q975" s="367">
        <v>25911.041666666668</v>
      </c>
      <c r="R975" s="368" t="s">
        <v>870</v>
      </c>
      <c r="S975" s="368" t="s">
        <v>863</v>
      </c>
      <c r="T975" s="350">
        <f>INT(('Run Time Parameters'!$E$5-'Data Sample'!Q975)/365.25)</f>
        <v>38</v>
      </c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339"/>
      <c r="AJ975" s="353">
        <f t="shared" si="40"/>
        <v>459</v>
      </c>
    </row>
    <row r="976" spans="1:36">
      <c r="A976" s="332">
        <f t="shared" si="41"/>
        <v>460</v>
      </c>
      <c r="F976" s="365"/>
      <c r="G976" s="366" t="s">
        <v>1331</v>
      </c>
      <c r="H976" s="367">
        <v>11274.041666666666</v>
      </c>
      <c r="I976" s="351" t="s">
        <v>862</v>
      </c>
      <c r="J976" s="350" t="s">
        <v>863</v>
      </c>
      <c r="K976" s="350">
        <f>INT(('Run Time Parameters'!$E$5-'Data Sample'!H976)/365.25)</f>
        <v>78</v>
      </c>
      <c r="L976" s="368">
        <v>1953</v>
      </c>
      <c r="M976" s="368">
        <v>0</v>
      </c>
      <c r="N976" s="350" t="s">
        <v>864</v>
      </c>
      <c r="O976" s="368">
        <v>0</v>
      </c>
      <c r="P976" s="368">
        <v>0</v>
      </c>
      <c r="Q976" s="367">
        <v>11274.041666666666</v>
      </c>
      <c r="R976" s="368" t="s">
        <v>862</v>
      </c>
      <c r="S976" s="368" t="s">
        <v>863</v>
      </c>
      <c r="T976" s="350">
        <f>INT(('Run Time Parameters'!$E$5-'Data Sample'!Q976)/365.25)</f>
        <v>78</v>
      </c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339"/>
      <c r="AJ976" s="353">
        <f t="shared" si="40"/>
        <v>460</v>
      </c>
    </row>
    <row r="977" spans="1:36">
      <c r="A977" s="332">
        <f t="shared" si="41"/>
        <v>461</v>
      </c>
      <c r="F977" s="365"/>
      <c r="G977" s="366" t="s">
        <v>1332</v>
      </c>
      <c r="H977" s="367">
        <v>19825</v>
      </c>
      <c r="I977" s="351" t="s">
        <v>870</v>
      </c>
      <c r="J977" s="350" t="s">
        <v>863</v>
      </c>
      <c r="K977" s="350">
        <f>INT(('Run Time Parameters'!$E$5-'Data Sample'!H977)/365.25)</f>
        <v>55</v>
      </c>
      <c r="L977" s="368">
        <v>1972</v>
      </c>
      <c r="M977" s="368">
        <v>0</v>
      </c>
      <c r="N977" s="350" t="s">
        <v>867</v>
      </c>
      <c r="O977" s="368">
        <v>0</v>
      </c>
      <c r="P977" s="368">
        <v>0</v>
      </c>
      <c r="Q977" s="367">
        <v>19825</v>
      </c>
      <c r="R977" s="368" t="s">
        <v>870</v>
      </c>
      <c r="S977" s="368" t="s">
        <v>863</v>
      </c>
      <c r="T977" s="350">
        <f>INT(('Run Time Parameters'!$E$5-'Data Sample'!Q977)/365.25)</f>
        <v>55</v>
      </c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339"/>
      <c r="AJ977" s="353">
        <f t="shared" si="40"/>
        <v>461</v>
      </c>
    </row>
    <row r="978" spans="1:36">
      <c r="A978" s="332">
        <f t="shared" si="41"/>
        <v>462</v>
      </c>
      <c r="F978" s="365"/>
      <c r="G978" s="366" t="s">
        <v>1333</v>
      </c>
      <c r="H978" s="367">
        <v>20607</v>
      </c>
      <c r="I978" s="351" t="s">
        <v>862</v>
      </c>
      <c r="J978" s="350" t="s">
        <v>863</v>
      </c>
      <c r="K978" s="350">
        <f>INT(('Run Time Parameters'!$E$5-'Data Sample'!H978)/365.25)</f>
        <v>53</v>
      </c>
      <c r="L978" s="368">
        <v>1975</v>
      </c>
      <c r="M978" s="368">
        <v>0</v>
      </c>
      <c r="N978" s="350" t="s">
        <v>867</v>
      </c>
      <c r="O978" s="368">
        <v>0</v>
      </c>
      <c r="P978" s="368">
        <v>0</v>
      </c>
      <c r="Q978" s="367">
        <v>20607</v>
      </c>
      <c r="R978" s="368" t="s">
        <v>862</v>
      </c>
      <c r="S978" s="368" t="s">
        <v>863</v>
      </c>
      <c r="T978" s="350">
        <f>INT(('Run Time Parameters'!$E$5-'Data Sample'!Q978)/365.25)</f>
        <v>53</v>
      </c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339"/>
      <c r="AJ978" s="353">
        <f t="shared" si="40"/>
        <v>462</v>
      </c>
    </row>
    <row r="979" spans="1:36">
      <c r="A979" s="332">
        <f t="shared" si="41"/>
        <v>463</v>
      </c>
      <c r="F979" s="365"/>
      <c r="G979" s="366" t="s">
        <v>1334</v>
      </c>
      <c r="H979" s="367">
        <v>28774.041666666668</v>
      </c>
      <c r="I979" s="351" t="s">
        <v>862</v>
      </c>
      <c r="J979" s="350" t="s">
        <v>863</v>
      </c>
      <c r="K979" s="350">
        <f>INT(('Run Time Parameters'!$E$5-'Data Sample'!H979)/365.25)</f>
        <v>31</v>
      </c>
      <c r="L979" s="368">
        <v>1997</v>
      </c>
      <c r="M979" s="368">
        <v>0</v>
      </c>
      <c r="N979" s="350" t="s">
        <v>867</v>
      </c>
      <c r="O979" s="368">
        <v>0</v>
      </c>
      <c r="P979" s="368">
        <v>0</v>
      </c>
      <c r="Q979" s="367">
        <v>28774.041666666668</v>
      </c>
      <c r="R979" s="368" t="s">
        <v>862</v>
      </c>
      <c r="S979" s="368" t="s">
        <v>863</v>
      </c>
      <c r="T979" s="350">
        <f>INT(('Run Time Parameters'!$E$5-'Data Sample'!Q979)/365.25)</f>
        <v>31</v>
      </c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339"/>
      <c r="AJ979" s="353">
        <f t="shared" si="40"/>
        <v>463</v>
      </c>
    </row>
    <row r="980" spans="1:36">
      <c r="A980" s="332">
        <f t="shared" si="41"/>
        <v>464</v>
      </c>
      <c r="F980" s="365"/>
      <c r="G980" s="366" t="s">
        <v>1335</v>
      </c>
      <c r="H980" s="367">
        <v>12515</v>
      </c>
      <c r="I980" s="351" t="s">
        <v>870</v>
      </c>
      <c r="J980" s="350" t="s">
        <v>863</v>
      </c>
      <c r="K980" s="350">
        <f>INT(('Run Time Parameters'!$E$5-'Data Sample'!H980)/365.25)</f>
        <v>75</v>
      </c>
      <c r="L980" s="368">
        <v>1951</v>
      </c>
      <c r="M980" s="368">
        <v>0</v>
      </c>
      <c r="N980" s="350" t="s">
        <v>867</v>
      </c>
      <c r="O980" s="368">
        <v>0</v>
      </c>
      <c r="P980" s="368">
        <v>0</v>
      </c>
      <c r="Q980" s="367">
        <v>12515</v>
      </c>
      <c r="R980" s="368" t="s">
        <v>870</v>
      </c>
      <c r="S980" s="368" t="s">
        <v>863</v>
      </c>
      <c r="T980" s="350">
        <f>INT(('Run Time Parameters'!$E$5-'Data Sample'!Q980)/365.25)</f>
        <v>75</v>
      </c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339"/>
      <c r="AJ980" s="353">
        <f t="shared" si="40"/>
        <v>464</v>
      </c>
    </row>
    <row r="981" spans="1:36">
      <c r="A981" s="332">
        <f t="shared" si="41"/>
        <v>465</v>
      </c>
      <c r="F981" s="365"/>
      <c r="G981" s="366" t="s">
        <v>1336</v>
      </c>
      <c r="H981" s="367">
        <v>26222.041666666668</v>
      </c>
      <c r="I981" s="351" t="s">
        <v>870</v>
      </c>
      <c r="J981" s="350" t="s">
        <v>863</v>
      </c>
      <c r="K981" s="350">
        <f>INT(('Run Time Parameters'!$E$5-'Data Sample'!H981)/365.25)</f>
        <v>38</v>
      </c>
      <c r="L981" s="368">
        <v>1992</v>
      </c>
      <c r="M981" s="368">
        <v>1</v>
      </c>
      <c r="N981" s="350" t="s">
        <v>867</v>
      </c>
      <c r="O981" s="368">
        <v>0</v>
      </c>
      <c r="P981" s="368">
        <v>0</v>
      </c>
      <c r="Q981" s="367">
        <v>26222.041666666668</v>
      </c>
      <c r="R981" s="368" t="s">
        <v>870</v>
      </c>
      <c r="S981" s="368" t="s">
        <v>863</v>
      </c>
      <c r="T981" s="350">
        <f>INT(('Run Time Parameters'!$E$5-'Data Sample'!Q981)/365.25)</f>
        <v>38</v>
      </c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339"/>
      <c r="AJ981" s="353">
        <f t="shared" si="40"/>
        <v>465</v>
      </c>
    </row>
    <row r="982" spans="1:36">
      <c r="A982" s="332">
        <f t="shared" si="41"/>
        <v>466</v>
      </c>
      <c r="F982" s="365"/>
      <c r="G982" s="366" t="s">
        <v>1337</v>
      </c>
      <c r="H982" s="367">
        <v>24885.041666666668</v>
      </c>
      <c r="I982" s="351" t="s">
        <v>862</v>
      </c>
      <c r="J982" s="350" t="s">
        <v>863</v>
      </c>
      <c r="K982" s="350">
        <f>INT(('Run Time Parameters'!$E$5-'Data Sample'!H982)/365.25)</f>
        <v>41</v>
      </c>
      <c r="L982" s="368">
        <v>1985</v>
      </c>
      <c r="M982" s="368">
        <v>0</v>
      </c>
      <c r="N982" s="350" t="s">
        <v>867</v>
      </c>
      <c r="O982" s="368">
        <v>0</v>
      </c>
      <c r="P982" s="368">
        <v>0</v>
      </c>
      <c r="Q982" s="367">
        <v>24885.041666666668</v>
      </c>
      <c r="R982" s="368" t="s">
        <v>862</v>
      </c>
      <c r="S982" s="368" t="s">
        <v>863</v>
      </c>
      <c r="T982" s="350">
        <f>INT(('Run Time Parameters'!$E$5-'Data Sample'!Q982)/365.25)</f>
        <v>41</v>
      </c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339"/>
      <c r="AJ982" s="353">
        <f t="shared" si="40"/>
        <v>466</v>
      </c>
    </row>
    <row r="983" spans="1:36">
      <c r="A983" s="332">
        <f t="shared" si="41"/>
        <v>467</v>
      </c>
      <c r="F983" s="365"/>
      <c r="G983" s="366" t="s">
        <v>1338</v>
      </c>
      <c r="H983" s="367">
        <v>17239.041666666668</v>
      </c>
      <c r="I983" s="351" t="s">
        <v>870</v>
      </c>
      <c r="J983" s="350" t="s">
        <v>863</v>
      </c>
      <c r="K983" s="350">
        <f>INT(('Run Time Parameters'!$E$5-'Data Sample'!H983)/365.25)</f>
        <v>62</v>
      </c>
      <c r="L983" s="368">
        <v>1964</v>
      </c>
      <c r="M983" s="368">
        <v>0</v>
      </c>
      <c r="N983" s="350" t="s">
        <v>867</v>
      </c>
      <c r="O983" s="368">
        <v>0</v>
      </c>
      <c r="P983" s="368">
        <v>0</v>
      </c>
      <c r="Q983" s="367">
        <v>17239.041666666668</v>
      </c>
      <c r="R983" s="368" t="s">
        <v>870</v>
      </c>
      <c r="S983" s="368" t="s">
        <v>863</v>
      </c>
      <c r="T983" s="350">
        <f>INT(('Run Time Parameters'!$E$5-'Data Sample'!Q983)/365.25)</f>
        <v>62</v>
      </c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339"/>
      <c r="AJ983" s="353">
        <f t="shared" si="40"/>
        <v>467</v>
      </c>
    </row>
    <row r="984" spans="1:36">
      <c r="A984" s="332">
        <f t="shared" si="41"/>
        <v>468</v>
      </c>
      <c r="F984" s="365"/>
      <c r="G984" s="366" t="s">
        <v>1339</v>
      </c>
      <c r="H984" s="367">
        <v>24344</v>
      </c>
      <c r="I984" s="351" t="s">
        <v>870</v>
      </c>
      <c r="J984" s="350" t="s">
        <v>863</v>
      </c>
      <c r="K984" s="350">
        <f>INT(('Run Time Parameters'!$E$5-'Data Sample'!H984)/365.25)</f>
        <v>43</v>
      </c>
      <c r="L984" s="368">
        <v>1983</v>
      </c>
      <c r="M984" s="368">
        <v>0</v>
      </c>
      <c r="N984" s="350" t="s">
        <v>867</v>
      </c>
      <c r="O984" s="368">
        <v>0</v>
      </c>
      <c r="P984" s="368">
        <v>0</v>
      </c>
      <c r="Q984" s="367">
        <v>24692</v>
      </c>
      <c r="R984" s="368" t="s">
        <v>862</v>
      </c>
      <c r="S984" s="368" t="s">
        <v>863</v>
      </c>
      <c r="T984" s="350">
        <f>INT(('Run Time Parameters'!$E$5-'Data Sample'!Q984)/365.25)</f>
        <v>42</v>
      </c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339"/>
      <c r="AJ984" s="353">
        <f t="shared" si="40"/>
        <v>468</v>
      </c>
    </row>
    <row r="985" spans="1:36">
      <c r="A985" s="332">
        <f t="shared" si="41"/>
        <v>469</v>
      </c>
      <c r="F985" s="365"/>
      <c r="G985" s="366" t="s">
        <v>1340</v>
      </c>
      <c r="H985" s="367">
        <v>24338</v>
      </c>
      <c r="I985" s="351" t="s">
        <v>870</v>
      </c>
      <c r="J985" s="350" t="s">
        <v>863</v>
      </c>
      <c r="K985" s="350">
        <f>INT(('Run Time Parameters'!$E$5-'Data Sample'!H985)/365.25)</f>
        <v>43</v>
      </c>
      <c r="L985" s="368">
        <v>1984</v>
      </c>
      <c r="M985" s="368">
        <v>0</v>
      </c>
      <c r="N985" s="350" t="s">
        <v>867</v>
      </c>
      <c r="O985" s="368">
        <v>0</v>
      </c>
      <c r="P985" s="368">
        <v>0</v>
      </c>
      <c r="Q985" s="367">
        <v>24422.041666666668</v>
      </c>
      <c r="R985" s="368" t="s">
        <v>862</v>
      </c>
      <c r="S985" s="368" t="s">
        <v>863</v>
      </c>
      <c r="T985" s="350">
        <f>INT(('Run Time Parameters'!$E$5-'Data Sample'!Q985)/365.25)</f>
        <v>42</v>
      </c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339"/>
      <c r="AJ985" s="353">
        <f t="shared" si="40"/>
        <v>469</v>
      </c>
    </row>
    <row r="986" spans="1:36">
      <c r="A986" s="332">
        <f t="shared" si="41"/>
        <v>470</v>
      </c>
      <c r="F986" s="365"/>
      <c r="G986" s="366" t="s">
        <v>1341</v>
      </c>
      <c r="H986" s="367">
        <v>22036</v>
      </c>
      <c r="I986" s="351" t="s">
        <v>870</v>
      </c>
      <c r="J986" s="350" t="s">
        <v>863</v>
      </c>
      <c r="K986" s="350">
        <f>INT(('Run Time Parameters'!$E$5-'Data Sample'!H986)/365.25)</f>
        <v>49</v>
      </c>
      <c r="L986" s="368">
        <v>1977</v>
      </c>
      <c r="M986" s="368">
        <v>1</v>
      </c>
      <c r="N986" s="350" t="s">
        <v>867</v>
      </c>
      <c r="O986" s="368">
        <v>0</v>
      </c>
      <c r="P986" s="368">
        <v>0</v>
      </c>
      <c r="Q986" s="367">
        <v>22036</v>
      </c>
      <c r="R986" s="368" t="s">
        <v>870</v>
      </c>
      <c r="S986" s="368" t="s">
        <v>863</v>
      </c>
      <c r="T986" s="350">
        <f>INT(('Run Time Parameters'!$E$5-'Data Sample'!Q986)/365.25)</f>
        <v>49</v>
      </c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339"/>
      <c r="AJ986" s="353">
        <f t="shared" si="40"/>
        <v>470</v>
      </c>
    </row>
    <row r="987" spans="1:36">
      <c r="A987" s="332">
        <f t="shared" si="41"/>
        <v>471</v>
      </c>
      <c r="F987" s="365"/>
      <c r="G987" s="366" t="s">
        <v>1342</v>
      </c>
      <c r="H987" s="367">
        <v>17239.041666666668</v>
      </c>
      <c r="I987" s="351" t="s">
        <v>862</v>
      </c>
      <c r="J987" s="350" t="s">
        <v>863</v>
      </c>
      <c r="K987" s="350">
        <f>INT(('Run Time Parameters'!$E$5-'Data Sample'!H987)/365.25)</f>
        <v>62</v>
      </c>
      <c r="L987" s="368">
        <v>1965</v>
      </c>
      <c r="M987" s="368">
        <v>0</v>
      </c>
      <c r="N987" s="350" t="s">
        <v>867</v>
      </c>
      <c r="O987" s="368">
        <v>0</v>
      </c>
      <c r="P987" s="368">
        <v>0</v>
      </c>
      <c r="Q987" s="367">
        <v>17239.041666666668</v>
      </c>
      <c r="R987" s="368" t="s">
        <v>862</v>
      </c>
      <c r="S987" s="368" t="s">
        <v>863</v>
      </c>
      <c r="T987" s="350">
        <f>INT(('Run Time Parameters'!$E$5-'Data Sample'!Q987)/365.25)</f>
        <v>62</v>
      </c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339"/>
      <c r="AJ987" s="353">
        <f t="shared" si="40"/>
        <v>471</v>
      </c>
    </row>
    <row r="988" spans="1:36">
      <c r="A988" s="332">
        <f t="shared" si="41"/>
        <v>472</v>
      </c>
      <c r="F988" s="365"/>
      <c r="G988" s="366" t="s">
        <v>1343</v>
      </c>
      <c r="H988" s="367">
        <v>20239</v>
      </c>
      <c r="I988" s="351" t="s">
        <v>870</v>
      </c>
      <c r="J988" s="350" t="s">
        <v>863</v>
      </c>
      <c r="K988" s="350">
        <f>INT(('Run Time Parameters'!$E$5-'Data Sample'!H988)/365.25)</f>
        <v>54</v>
      </c>
      <c r="L988" s="368">
        <v>1972</v>
      </c>
      <c r="M988" s="368">
        <v>0</v>
      </c>
      <c r="N988" s="350" t="s">
        <v>867</v>
      </c>
      <c r="O988" s="368">
        <v>0</v>
      </c>
      <c r="P988" s="368">
        <v>0</v>
      </c>
      <c r="Q988" s="367">
        <v>20239</v>
      </c>
      <c r="R988" s="368" t="s">
        <v>870</v>
      </c>
      <c r="S988" s="368" t="s">
        <v>863</v>
      </c>
      <c r="T988" s="350">
        <f>INT(('Run Time Parameters'!$E$5-'Data Sample'!Q988)/365.25)</f>
        <v>54</v>
      </c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339"/>
      <c r="AJ988" s="353">
        <f t="shared" si="40"/>
        <v>472</v>
      </c>
    </row>
    <row r="989" spans="1:36">
      <c r="A989" s="332">
        <f t="shared" si="41"/>
        <v>473</v>
      </c>
      <c r="F989" s="365"/>
      <c r="G989" s="366" t="s">
        <v>1344</v>
      </c>
      <c r="H989" s="367">
        <v>14378</v>
      </c>
      <c r="I989" s="351" t="s">
        <v>870</v>
      </c>
      <c r="J989" s="350" t="s">
        <v>863</v>
      </c>
      <c r="K989" s="350">
        <f>INT(('Run Time Parameters'!$E$5-'Data Sample'!H989)/365.25)</f>
        <v>70</v>
      </c>
      <c r="L989" s="368">
        <v>1956</v>
      </c>
      <c r="M989" s="368">
        <v>0</v>
      </c>
      <c r="N989" s="350" t="s">
        <v>867</v>
      </c>
      <c r="O989" s="368">
        <v>0</v>
      </c>
      <c r="P989" s="368">
        <v>0</v>
      </c>
      <c r="Q989" s="367">
        <v>14819</v>
      </c>
      <c r="R989" s="368" t="s">
        <v>862</v>
      </c>
      <c r="S989" s="368" t="s">
        <v>863</v>
      </c>
      <c r="T989" s="350">
        <f>INT(('Run Time Parameters'!$E$5-'Data Sample'!Q989)/365.25)</f>
        <v>69</v>
      </c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339"/>
      <c r="AJ989" s="353">
        <f t="shared" si="40"/>
        <v>473</v>
      </c>
    </row>
    <row r="990" spans="1:36">
      <c r="A990" s="332">
        <f t="shared" si="41"/>
        <v>474</v>
      </c>
      <c r="F990" s="365"/>
      <c r="G990" s="366" t="s">
        <v>1345</v>
      </c>
      <c r="H990" s="367">
        <v>22710.041666666668</v>
      </c>
      <c r="I990" s="351" t="s">
        <v>870</v>
      </c>
      <c r="J990" s="350" t="s">
        <v>863</v>
      </c>
      <c r="K990" s="350">
        <f>INT(('Run Time Parameters'!$E$5-'Data Sample'!H990)/365.25)</f>
        <v>47</v>
      </c>
      <c r="L990" s="368">
        <v>1979</v>
      </c>
      <c r="M990" s="368">
        <v>0</v>
      </c>
      <c r="N990" s="350" t="s">
        <v>867</v>
      </c>
      <c r="O990" s="368">
        <v>0</v>
      </c>
      <c r="P990" s="368">
        <v>0</v>
      </c>
      <c r="Q990" s="367">
        <v>26642</v>
      </c>
      <c r="R990" s="368" t="s">
        <v>862</v>
      </c>
      <c r="S990" s="368" t="s">
        <v>863</v>
      </c>
      <c r="T990" s="350">
        <f>INT(('Run Time Parameters'!$E$5-'Data Sample'!Q990)/365.25)</f>
        <v>36</v>
      </c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339"/>
      <c r="AJ990" s="353">
        <f t="shared" si="40"/>
        <v>474</v>
      </c>
    </row>
    <row r="991" spans="1:36">
      <c r="A991" s="332">
        <f t="shared" si="41"/>
        <v>475</v>
      </c>
      <c r="F991" s="365"/>
      <c r="G991" s="366" t="s">
        <v>1346</v>
      </c>
      <c r="H991" s="367">
        <v>20688</v>
      </c>
      <c r="I991" s="351" t="s">
        <v>870</v>
      </c>
      <c r="J991" s="350" t="s">
        <v>863</v>
      </c>
      <c r="K991" s="350">
        <f>INT(('Run Time Parameters'!$E$5-'Data Sample'!H991)/365.25)</f>
        <v>53</v>
      </c>
      <c r="L991" s="368">
        <v>1973</v>
      </c>
      <c r="M991" s="368">
        <v>0</v>
      </c>
      <c r="N991" s="350" t="s">
        <v>867</v>
      </c>
      <c r="O991" s="368">
        <v>0</v>
      </c>
      <c r="P991" s="368">
        <v>0</v>
      </c>
      <c r="Q991" s="367">
        <v>20688</v>
      </c>
      <c r="R991" s="368" t="s">
        <v>870</v>
      </c>
      <c r="S991" s="368" t="s">
        <v>863</v>
      </c>
      <c r="T991" s="350">
        <f>INT(('Run Time Parameters'!$E$5-'Data Sample'!Q991)/365.25)</f>
        <v>53</v>
      </c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339"/>
      <c r="AJ991" s="353">
        <f t="shared" si="40"/>
        <v>475</v>
      </c>
    </row>
    <row r="992" spans="1:36">
      <c r="A992" s="332">
        <f t="shared" si="41"/>
        <v>476</v>
      </c>
      <c r="F992" s="365"/>
      <c r="G992" s="366" t="s">
        <v>1347</v>
      </c>
      <c r="H992" s="367">
        <v>21190.041666666668</v>
      </c>
      <c r="I992" s="351" t="s">
        <v>870</v>
      </c>
      <c r="J992" s="350" t="s">
        <v>863</v>
      </c>
      <c r="K992" s="350">
        <f>INT(('Run Time Parameters'!$E$5-'Data Sample'!H992)/365.25)</f>
        <v>51</v>
      </c>
      <c r="L992" s="368">
        <v>1981</v>
      </c>
      <c r="M992" s="368">
        <v>0</v>
      </c>
      <c r="N992" s="350" t="s">
        <v>867</v>
      </c>
      <c r="O992" s="368">
        <v>0</v>
      </c>
      <c r="P992" s="368">
        <v>0</v>
      </c>
      <c r="Q992" s="367">
        <v>21190.041666666668</v>
      </c>
      <c r="R992" s="368" t="s">
        <v>870</v>
      </c>
      <c r="S992" s="368" t="s">
        <v>863</v>
      </c>
      <c r="T992" s="350">
        <f>INT(('Run Time Parameters'!$E$5-'Data Sample'!Q992)/365.25)</f>
        <v>51</v>
      </c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339"/>
      <c r="AJ992" s="353">
        <f t="shared" si="40"/>
        <v>476</v>
      </c>
    </row>
    <row r="993" spans="1:36">
      <c r="A993" s="332">
        <f t="shared" si="41"/>
        <v>477</v>
      </c>
      <c r="F993" s="365"/>
      <c r="G993" s="366" t="s">
        <v>1348</v>
      </c>
      <c r="H993" s="367">
        <v>17152.041666666668</v>
      </c>
      <c r="I993" s="351" t="s">
        <v>862</v>
      </c>
      <c r="J993" s="350" t="s">
        <v>863</v>
      </c>
      <c r="K993" s="350">
        <f>INT(('Run Time Parameters'!$E$5-'Data Sample'!H993)/365.25)</f>
        <v>62</v>
      </c>
      <c r="L993" s="368">
        <v>1963</v>
      </c>
      <c r="M993" s="368">
        <v>0</v>
      </c>
      <c r="N993" s="350" t="s">
        <v>867</v>
      </c>
      <c r="O993" s="368">
        <v>0</v>
      </c>
      <c r="P993" s="368">
        <v>0</v>
      </c>
      <c r="Q993" s="367">
        <v>17152.041666666668</v>
      </c>
      <c r="R993" s="368" t="s">
        <v>862</v>
      </c>
      <c r="S993" s="368" t="s">
        <v>863</v>
      </c>
      <c r="T993" s="350">
        <f>INT(('Run Time Parameters'!$E$5-'Data Sample'!Q993)/365.25)</f>
        <v>62</v>
      </c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339"/>
      <c r="AJ993" s="353">
        <f t="shared" si="40"/>
        <v>477</v>
      </c>
    </row>
    <row r="994" spans="1:36">
      <c r="A994" s="332">
        <f t="shared" si="41"/>
        <v>478</v>
      </c>
      <c r="F994" s="365"/>
      <c r="G994" s="366" t="s">
        <v>1349</v>
      </c>
      <c r="H994" s="367">
        <v>23571</v>
      </c>
      <c r="I994" s="351" t="s">
        <v>870</v>
      </c>
      <c r="J994" s="350" t="s">
        <v>874</v>
      </c>
      <c r="K994" s="350">
        <f>INT(('Run Time Parameters'!$E$5-'Data Sample'!H994)/365.25)</f>
        <v>45</v>
      </c>
      <c r="L994" s="368">
        <v>1982</v>
      </c>
      <c r="M994" s="368">
        <v>0</v>
      </c>
      <c r="N994" s="350" t="s">
        <v>864</v>
      </c>
      <c r="O994" s="368">
        <v>0</v>
      </c>
      <c r="P994" s="368">
        <v>0</v>
      </c>
      <c r="Q994" s="367">
        <v>23571</v>
      </c>
      <c r="R994" s="368" t="s">
        <v>870</v>
      </c>
      <c r="S994" s="368" t="s">
        <v>874</v>
      </c>
      <c r="T994" s="350">
        <f>INT(('Run Time Parameters'!$E$5-'Data Sample'!Q994)/365.25)</f>
        <v>45</v>
      </c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339"/>
      <c r="AJ994" s="353">
        <f t="shared" si="40"/>
        <v>478</v>
      </c>
    </row>
    <row r="995" spans="1:36">
      <c r="A995" s="332">
        <f t="shared" si="41"/>
        <v>479</v>
      </c>
      <c r="F995" s="365"/>
      <c r="G995" s="366" t="s">
        <v>1350</v>
      </c>
      <c r="H995" s="367">
        <v>27164</v>
      </c>
      <c r="I995" s="351" t="s">
        <v>862</v>
      </c>
      <c r="J995" s="350" t="s">
        <v>863</v>
      </c>
      <c r="K995" s="350">
        <f>INT(('Run Time Parameters'!$E$5-'Data Sample'!H995)/365.25)</f>
        <v>35</v>
      </c>
      <c r="L995" s="368">
        <v>1991</v>
      </c>
      <c r="M995" s="368">
        <v>1</v>
      </c>
      <c r="N995" s="350" t="s">
        <v>867</v>
      </c>
      <c r="O995" s="368">
        <v>0</v>
      </c>
      <c r="P995" s="368">
        <v>0</v>
      </c>
      <c r="Q995" s="367">
        <v>27164</v>
      </c>
      <c r="R995" s="368" t="s">
        <v>862</v>
      </c>
      <c r="S995" s="368" t="s">
        <v>863</v>
      </c>
      <c r="T995" s="350">
        <f>INT(('Run Time Parameters'!$E$5-'Data Sample'!Q995)/365.25)</f>
        <v>35</v>
      </c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339"/>
      <c r="AJ995" s="353">
        <f t="shared" si="40"/>
        <v>479</v>
      </c>
    </row>
    <row r="996" spans="1:36">
      <c r="A996" s="332">
        <f t="shared" si="41"/>
        <v>480</v>
      </c>
      <c r="F996" s="365"/>
      <c r="G996" s="366" t="s">
        <v>1351</v>
      </c>
      <c r="H996" s="367">
        <v>24183.041666666668</v>
      </c>
      <c r="I996" s="351" t="s">
        <v>862</v>
      </c>
      <c r="J996" s="350" t="s">
        <v>887</v>
      </c>
      <c r="K996" s="350">
        <f>INT(('Run Time Parameters'!$E$5-'Data Sample'!H996)/365.25)</f>
        <v>43</v>
      </c>
      <c r="L996" s="368">
        <v>1994</v>
      </c>
      <c r="M996" s="368">
        <v>1</v>
      </c>
      <c r="N996" s="350" t="s">
        <v>867</v>
      </c>
      <c r="O996" s="368">
        <v>0</v>
      </c>
      <c r="P996" s="368">
        <v>0</v>
      </c>
      <c r="Q996" s="367">
        <v>24183.041666666668</v>
      </c>
      <c r="R996" s="368" t="s">
        <v>862</v>
      </c>
      <c r="S996" s="368" t="s">
        <v>887</v>
      </c>
      <c r="T996" s="350">
        <f>INT(('Run Time Parameters'!$E$5-'Data Sample'!Q996)/365.25)</f>
        <v>43</v>
      </c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339"/>
      <c r="AJ996" s="353">
        <f t="shared" si="40"/>
        <v>480</v>
      </c>
    </row>
    <row r="997" spans="1:36">
      <c r="A997" s="332">
        <f t="shared" si="41"/>
        <v>481</v>
      </c>
      <c r="F997" s="365"/>
      <c r="G997" s="366" t="s">
        <v>1352</v>
      </c>
      <c r="H997" s="367">
        <v>30548</v>
      </c>
      <c r="I997" s="351" t="s">
        <v>862</v>
      </c>
      <c r="J997" s="350" t="s">
        <v>863</v>
      </c>
      <c r="K997" s="350">
        <f>INT(('Run Time Parameters'!$E$5-'Data Sample'!H997)/365.25)</f>
        <v>26</v>
      </c>
      <c r="L997" s="368">
        <v>2000</v>
      </c>
      <c r="M997" s="368">
        <v>0</v>
      </c>
      <c r="N997" s="350" t="s">
        <v>867</v>
      </c>
      <c r="O997" s="368">
        <v>0</v>
      </c>
      <c r="P997" s="368">
        <v>0</v>
      </c>
      <c r="Q997" s="367">
        <v>30548</v>
      </c>
      <c r="R997" s="368" t="s">
        <v>862</v>
      </c>
      <c r="S997" s="368" t="s">
        <v>863</v>
      </c>
      <c r="T997" s="350">
        <f>INT(('Run Time Parameters'!$E$5-'Data Sample'!Q997)/365.25)</f>
        <v>26</v>
      </c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339"/>
      <c r="AJ997" s="353">
        <f t="shared" si="40"/>
        <v>481</v>
      </c>
    </row>
    <row r="998" spans="1:36">
      <c r="A998" s="332">
        <f t="shared" si="41"/>
        <v>482</v>
      </c>
      <c r="F998" s="365"/>
      <c r="G998" s="366" t="s">
        <v>1353</v>
      </c>
      <c r="H998" s="367">
        <v>27011</v>
      </c>
      <c r="I998" s="351" t="s">
        <v>870</v>
      </c>
      <c r="J998" s="350" t="s">
        <v>863</v>
      </c>
      <c r="K998" s="350">
        <f>INT(('Run Time Parameters'!$E$5-'Data Sample'!H998)/365.25)</f>
        <v>35</v>
      </c>
      <c r="L998" s="368">
        <v>1996</v>
      </c>
      <c r="M998" s="368">
        <v>1</v>
      </c>
      <c r="N998" s="350" t="s">
        <v>867</v>
      </c>
      <c r="O998" s="368">
        <v>0</v>
      </c>
      <c r="P998" s="368">
        <v>0</v>
      </c>
      <c r="Q998" s="367">
        <v>27011</v>
      </c>
      <c r="R998" s="368" t="s">
        <v>870</v>
      </c>
      <c r="S998" s="368" t="s">
        <v>863</v>
      </c>
      <c r="T998" s="350">
        <f>INT(('Run Time Parameters'!$E$5-'Data Sample'!Q998)/365.25)</f>
        <v>35</v>
      </c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339"/>
      <c r="AJ998" s="353">
        <f t="shared" si="40"/>
        <v>482</v>
      </c>
    </row>
    <row r="999" spans="1:36">
      <c r="A999" s="332">
        <f t="shared" si="41"/>
        <v>483</v>
      </c>
      <c r="F999" s="365"/>
      <c r="G999" s="366" t="s">
        <v>1354</v>
      </c>
      <c r="H999" s="367">
        <v>29750</v>
      </c>
      <c r="I999" s="351" t="s">
        <v>870</v>
      </c>
      <c r="J999" s="350" t="s">
        <v>866</v>
      </c>
      <c r="K999" s="350">
        <f>INT(('Run Time Parameters'!$E$5-'Data Sample'!H999)/365.25)</f>
        <v>28</v>
      </c>
      <c r="L999" s="368">
        <v>2003</v>
      </c>
      <c r="M999" s="368">
        <v>0</v>
      </c>
      <c r="N999" s="350" t="s">
        <v>867</v>
      </c>
      <c r="O999" s="368">
        <v>0</v>
      </c>
      <c r="P999" s="368">
        <v>0</v>
      </c>
      <c r="Q999" s="367">
        <v>29750</v>
      </c>
      <c r="R999" s="368" t="s">
        <v>870</v>
      </c>
      <c r="S999" s="368" t="s">
        <v>866</v>
      </c>
      <c r="T999" s="350">
        <f>INT(('Run Time Parameters'!$E$5-'Data Sample'!Q999)/365.25)</f>
        <v>28</v>
      </c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339"/>
      <c r="AJ999" s="353">
        <f t="shared" si="40"/>
        <v>483</v>
      </c>
    </row>
    <row r="1000" spans="1:36">
      <c r="A1000" s="332">
        <f t="shared" si="41"/>
        <v>484</v>
      </c>
      <c r="F1000" s="365"/>
      <c r="G1000" s="366" t="s">
        <v>1355</v>
      </c>
      <c r="H1000" s="367">
        <v>27949</v>
      </c>
      <c r="I1000" s="351" t="s">
        <v>870</v>
      </c>
      <c r="J1000" s="350" t="s">
        <v>874</v>
      </c>
      <c r="K1000" s="350">
        <f>INT(('Run Time Parameters'!$E$5-'Data Sample'!H1000)/365.25)</f>
        <v>33</v>
      </c>
      <c r="L1000" s="368">
        <v>1994</v>
      </c>
      <c r="M1000" s="368">
        <v>0</v>
      </c>
      <c r="N1000" s="350" t="s">
        <v>867</v>
      </c>
      <c r="O1000" s="368">
        <v>0</v>
      </c>
      <c r="P1000" s="368">
        <v>0</v>
      </c>
      <c r="Q1000" s="367">
        <v>27949</v>
      </c>
      <c r="R1000" s="368" t="s">
        <v>870</v>
      </c>
      <c r="S1000" s="368" t="s">
        <v>874</v>
      </c>
      <c r="T1000" s="350">
        <f>INT(('Run Time Parameters'!$E$5-'Data Sample'!Q1000)/365.25)</f>
        <v>33</v>
      </c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339"/>
      <c r="AJ1000" s="353">
        <f t="shared" si="40"/>
        <v>484</v>
      </c>
    </row>
    <row r="1001" spans="1:36">
      <c r="A1001" s="332">
        <f t="shared" si="41"/>
        <v>485</v>
      </c>
      <c r="F1001" s="365"/>
      <c r="G1001" s="366" t="s">
        <v>1356</v>
      </c>
      <c r="H1001" s="367">
        <v>17860.041666666668</v>
      </c>
      <c r="I1001" s="351" t="s">
        <v>862</v>
      </c>
      <c r="J1001" s="350" t="s">
        <v>863</v>
      </c>
      <c r="K1001" s="350">
        <f>INT(('Run Time Parameters'!$E$5-'Data Sample'!H1001)/365.25)</f>
        <v>60</v>
      </c>
      <c r="L1001" s="368">
        <v>1965</v>
      </c>
      <c r="M1001" s="368">
        <v>0</v>
      </c>
      <c r="N1001" s="350" t="s">
        <v>867</v>
      </c>
      <c r="O1001" s="368">
        <v>0</v>
      </c>
      <c r="P1001" s="368">
        <v>0</v>
      </c>
      <c r="Q1001" s="367">
        <v>17860.041666666668</v>
      </c>
      <c r="R1001" s="368" t="s">
        <v>862</v>
      </c>
      <c r="S1001" s="368" t="s">
        <v>863</v>
      </c>
      <c r="T1001" s="350">
        <f>INT(('Run Time Parameters'!$E$5-'Data Sample'!Q1001)/365.25)</f>
        <v>60</v>
      </c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339"/>
      <c r="AJ1001" s="353">
        <f t="shared" si="40"/>
        <v>485</v>
      </c>
    </row>
    <row r="1002" spans="1:36">
      <c r="A1002" s="332">
        <f t="shared" si="41"/>
        <v>486</v>
      </c>
      <c r="F1002" s="365"/>
      <c r="G1002" s="366" t="s">
        <v>1357</v>
      </c>
      <c r="H1002" s="367">
        <v>23367.041666666668</v>
      </c>
      <c r="I1002" s="351" t="s">
        <v>870</v>
      </c>
      <c r="J1002" s="350" t="s">
        <v>863</v>
      </c>
      <c r="K1002" s="350">
        <f>INT(('Run Time Parameters'!$E$5-'Data Sample'!H1002)/365.25)</f>
        <v>45</v>
      </c>
      <c r="L1002" s="368">
        <v>1980</v>
      </c>
      <c r="M1002" s="368">
        <v>0</v>
      </c>
      <c r="N1002" s="350" t="s">
        <v>864</v>
      </c>
      <c r="O1002" s="368">
        <v>0</v>
      </c>
      <c r="P1002" s="368">
        <v>0</v>
      </c>
      <c r="Q1002" s="367">
        <v>25460</v>
      </c>
      <c r="R1002" s="368" t="s">
        <v>862</v>
      </c>
      <c r="S1002" s="368" t="s">
        <v>863</v>
      </c>
      <c r="T1002" s="350">
        <f>INT(('Run Time Parameters'!$E$5-'Data Sample'!Q1002)/365.25)</f>
        <v>40</v>
      </c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339"/>
      <c r="AJ1002" s="353">
        <f t="shared" si="40"/>
        <v>486</v>
      </c>
    </row>
    <row r="1003" spans="1:36">
      <c r="A1003" s="332">
        <f t="shared" si="41"/>
        <v>487</v>
      </c>
      <c r="F1003" s="365"/>
      <c r="G1003" s="366" t="s">
        <v>1358</v>
      </c>
      <c r="H1003" s="367">
        <v>28983</v>
      </c>
      <c r="I1003" s="350" t="s">
        <v>870</v>
      </c>
      <c r="J1003" s="350" t="s">
        <v>863</v>
      </c>
      <c r="K1003" s="350">
        <f>INT(('Run Time Parameters'!$E$5-'Data Sample'!H1003)/365.25)</f>
        <v>30</v>
      </c>
      <c r="L1003" s="368">
        <v>1996</v>
      </c>
      <c r="M1003" s="368">
        <v>1</v>
      </c>
      <c r="N1003" s="350" t="s">
        <v>867</v>
      </c>
      <c r="O1003" s="368">
        <v>0</v>
      </c>
      <c r="P1003" s="368">
        <v>0</v>
      </c>
      <c r="Q1003" s="367">
        <v>29842</v>
      </c>
      <c r="R1003" s="368" t="s">
        <v>862</v>
      </c>
      <c r="S1003" s="368" t="s">
        <v>863</v>
      </c>
      <c r="T1003" s="350">
        <f>INT(('Run Time Parameters'!$E$5-'Data Sample'!Q1003)/365.25)</f>
        <v>28</v>
      </c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339"/>
      <c r="AJ1003" s="353">
        <f t="shared" si="40"/>
        <v>487</v>
      </c>
    </row>
    <row r="1004" spans="1:36">
      <c r="A1004" s="332">
        <f t="shared" si="41"/>
        <v>488</v>
      </c>
      <c r="F1004" s="365"/>
      <c r="G1004" s="366" t="s">
        <v>1359</v>
      </c>
      <c r="H1004" s="367">
        <v>26268</v>
      </c>
      <c r="I1004" s="351" t="s">
        <v>870</v>
      </c>
      <c r="J1004" s="350" t="s">
        <v>863</v>
      </c>
      <c r="K1004" s="350">
        <f>INT(('Run Time Parameters'!$E$5-'Data Sample'!H1004)/365.25)</f>
        <v>37</v>
      </c>
      <c r="L1004" s="368">
        <v>1989</v>
      </c>
      <c r="M1004" s="368">
        <v>0</v>
      </c>
      <c r="N1004" s="350" t="s">
        <v>867</v>
      </c>
      <c r="O1004" s="368">
        <v>0</v>
      </c>
      <c r="P1004" s="368">
        <v>0</v>
      </c>
      <c r="Q1004" s="367">
        <v>26268</v>
      </c>
      <c r="R1004" s="368" t="s">
        <v>870</v>
      </c>
      <c r="S1004" s="368" t="s">
        <v>863</v>
      </c>
      <c r="T1004" s="350">
        <f>INT(('Run Time Parameters'!$E$5-'Data Sample'!Q1004)/365.25)</f>
        <v>37</v>
      </c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  <c r="AF1004" s="339"/>
      <c r="AJ1004" s="353">
        <f t="shared" si="40"/>
        <v>488</v>
      </c>
    </row>
    <row r="1005" spans="1:36">
      <c r="A1005" s="332">
        <f t="shared" si="41"/>
        <v>489</v>
      </c>
      <c r="F1005" s="365"/>
      <c r="G1005" s="366" t="s">
        <v>1360</v>
      </c>
      <c r="H1005" s="367">
        <v>30187</v>
      </c>
      <c r="I1005" s="351" t="s">
        <v>862</v>
      </c>
      <c r="J1005" s="350" t="s">
        <v>863</v>
      </c>
      <c r="K1005" s="350">
        <f>INT(('Run Time Parameters'!$E$5-'Data Sample'!H1005)/365.25)</f>
        <v>27</v>
      </c>
      <c r="L1005" s="368">
        <v>1999</v>
      </c>
      <c r="M1005" s="368">
        <v>0</v>
      </c>
      <c r="N1005" s="350" t="s">
        <v>867</v>
      </c>
      <c r="O1005" s="368">
        <v>0</v>
      </c>
      <c r="P1005" s="368">
        <v>0</v>
      </c>
      <c r="Q1005" s="367">
        <v>30187</v>
      </c>
      <c r="R1005" s="368" t="s">
        <v>862</v>
      </c>
      <c r="S1005" s="368" t="s">
        <v>863</v>
      </c>
      <c r="T1005" s="350">
        <f>INT(('Run Time Parameters'!$E$5-'Data Sample'!Q1005)/365.25)</f>
        <v>27</v>
      </c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339"/>
      <c r="AJ1005" s="353">
        <f t="shared" si="40"/>
        <v>489</v>
      </c>
    </row>
    <row r="1006" spans="1:36">
      <c r="A1006" s="332">
        <f t="shared" si="41"/>
        <v>490</v>
      </c>
      <c r="F1006" s="365"/>
      <c r="G1006" s="366" t="s">
        <v>1361</v>
      </c>
      <c r="H1006" s="367">
        <v>26032</v>
      </c>
      <c r="I1006" s="351" t="s">
        <v>870</v>
      </c>
      <c r="J1006" s="350" t="s">
        <v>863</v>
      </c>
      <c r="K1006" s="350">
        <f>INT(('Run Time Parameters'!$E$5-'Data Sample'!H1006)/365.25)</f>
        <v>38</v>
      </c>
      <c r="L1006" s="368">
        <v>2003</v>
      </c>
      <c r="M1006" s="368">
        <v>0</v>
      </c>
      <c r="N1006" s="350" t="s">
        <v>867</v>
      </c>
      <c r="O1006" s="368">
        <v>0</v>
      </c>
      <c r="P1006" s="368">
        <v>0</v>
      </c>
      <c r="Q1006" s="367">
        <v>26032</v>
      </c>
      <c r="R1006" s="368" t="s">
        <v>870</v>
      </c>
      <c r="S1006" s="368" t="s">
        <v>863</v>
      </c>
      <c r="T1006" s="350">
        <f>INT(('Run Time Parameters'!$E$5-'Data Sample'!Q1006)/365.25)</f>
        <v>38</v>
      </c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  <c r="AF1006" s="339"/>
      <c r="AJ1006" s="353">
        <f t="shared" si="40"/>
        <v>490</v>
      </c>
    </row>
    <row r="1007" spans="1:36">
      <c r="A1007" s="332">
        <f t="shared" si="41"/>
        <v>491</v>
      </c>
      <c r="F1007" s="365"/>
      <c r="G1007" s="366" t="s">
        <v>1362</v>
      </c>
      <c r="H1007" s="367">
        <v>7250</v>
      </c>
      <c r="I1007" s="351" t="s">
        <v>870</v>
      </c>
      <c r="J1007" s="350" t="s">
        <v>863</v>
      </c>
      <c r="K1007" s="350">
        <f>INT(('Run Time Parameters'!$E$5-'Data Sample'!H1007)/365.25)</f>
        <v>89</v>
      </c>
      <c r="L1007" s="368">
        <v>1940</v>
      </c>
      <c r="M1007" s="368">
        <v>0</v>
      </c>
      <c r="N1007" s="350" t="s">
        <v>867</v>
      </c>
      <c r="O1007" s="368">
        <v>0</v>
      </c>
      <c r="P1007" s="368">
        <v>0</v>
      </c>
      <c r="Q1007" s="367">
        <v>7250</v>
      </c>
      <c r="R1007" s="368" t="s">
        <v>870</v>
      </c>
      <c r="S1007" s="368" t="s">
        <v>863</v>
      </c>
      <c r="T1007" s="350">
        <f>INT(('Run Time Parameters'!$E$5-'Data Sample'!Q1007)/365.25)</f>
        <v>89</v>
      </c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  <c r="AF1007" s="339"/>
      <c r="AJ1007" s="353">
        <f t="shared" si="40"/>
        <v>491</v>
      </c>
    </row>
    <row r="1008" spans="1:36">
      <c r="A1008" s="332">
        <f t="shared" si="41"/>
        <v>492</v>
      </c>
      <c r="F1008" s="365"/>
      <c r="G1008" s="366" t="s">
        <v>1363</v>
      </c>
      <c r="H1008" s="367">
        <v>26125</v>
      </c>
      <c r="I1008" s="351" t="s">
        <v>862</v>
      </c>
      <c r="J1008" s="350" t="s">
        <v>863</v>
      </c>
      <c r="K1008" s="350">
        <f>INT(('Run Time Parameters'!$E$5-'Data Sample'!H1008)/365.25)</f>
        <v>38</v>
      </c>
      <c r="L1008" s="368">
        <v>1988</v>
      </c>
      <c r="M1008" s="368">
        <v>0</v>
      </c>
      <c r="N1008" s="350" t="s">
        <v>867</v>
      </c>
      <c r="O1008" s="368">
        <v>0</v>
      </c>
      <c r="P1008" s="368">
        <v>0</v>
      </c>
      <c r="Q1008" s="367">
        <v>26125</v>
      </c>
      <c r="R1008" s="368" t="s">
        <v>862</v>
      </c>
      <c r="S1008" s="368" t="s">
        <v>863</v>
      </c>
      <c r="T1008" s="350">
        <f>INT(('Run Time Parameters'!$E$5-'Data Sample'!Q1008)/365.25)</f>
        <v>38</v>
      </c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339"/>
      <c r="AJ1008" s="353">
        <f t="shared" si="40"/>
        <v>492</v>
      </c>
    </row>
    <row r="1009" spans="1:40">
      <c r="A1009" s="332">
        <f t="shared" si="41"/>
        <v>493</v>
      </c>
      <c r="F1009" s="365"/>
      <c r="G1009" s="366" t="s">
        <v>1364</v>
      </c>
      <c r="H1009" s="367">
        <v>23787.041666666668</v>
      </c>
      <c r="I1009" s="351" t="s">
        <v>862</v>
      </c>
      <c r="J1009" s="350" t="s">
        <v>863</v>
      </c>
      <c r="K1009" s="350">
        <f>INT(('Run Time Parameters'!$E$5-'Data Sample'!H1009)/365.25)</f>
        <v>44</v>
      </c>
      <c r="L1009" s="368">
        <v>1990</v>
      </c>
      <c r="M1009" s="368">
        <v>0</v>
      </c>
      <c r="N1009" s="350" t="s">
        <v>867</v>
      </c>
      <c r="O1009" s="368">
        <v>0</v>
      </c>
      <c r="P1009" s="368">
        <v>0</v>
      </c>
      <c r="Q1009" s="367">
        <v>23787.041666666668</v>
      </c>
      <c r="R1009" s="368" t="s">
        <v>862</v>
      </c>
      <c r="S1009" s="368" t="s">
        <v>863</v>
      </c>
      <c r="T1009" s="350">
        <f>INT(('Run Time Parameters'!$E$5-'Data Sample'!Q1009)/365.25)</f>
        <v>44</v>
      </c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  <c r="AF1009" s="339"/>
      <c r="AJ1009" s="353">
        <f t="shared" si="40"/>
        <v>493</v>
      </c>
    </row>
    <row r="1010" spans="1:40">
      <c r="A1010" s="332">
        <f t="shared" si="41"/>
        <v>494</v>
      </c>
      <c r="F1010" s="365"/>
      <c r="G1010" s="366" t="s">
        <v>1365</v>
      </c>
      <c r="H1010" s="367">
        <v>27571</v>
      </c>
      <c r="I1010" s="351" t="s">
        <v>862</v>
      </c>
      <c r="J1010" s="350" t="s">
        <v>863</v>
      </c>
      <c r="K1010" s="350">
        <f>INT(('Run Time Parameters'!$E$5-'Data Sample'!H1010)/365.25)</f>
        <v>34</v>
      </c>
      <c r="L1010" s="368">
        <v>1992</v>
      </c>
      <c r="M1010" s="368">
        <v>0</v>
      </c>
      <c r="N1010" s="350" t="s">
        <v>867</v>
      </c>
      <c r="O1010" s="368">
        <v>0</v>
      </c>
      <c r="P1010" s="368">
        <v>0</v>
      </c>
      <c r="Q1010" s="367">
        <v>27571</v>
      </c>
      <c r="R1010" s="368" t="s">
        <v>862</v>
      </c>
      <c r="S1010" s="368" t="s">
        <v>863</v>
      </c>
      <c r="T1010" s="350">
        <f>INT(('Run Time Parameters'!$E$5-'Data Sample'!Q1010)/365.25)</f>
        <v>34</v>
      </c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  <c r="AF1010" s="339"/>
      <c r="AJ1010" s="353">
        <f t="shared" si="40"/>
        <v>494</v>
      </c>
    </row>
    <row r="1011" spans="1:40">
      <c r="A1011" s="332">
        <f t="shared" si="41"/>
        <v>495</v>
      </c>
      <c r="F1011" s="365"/>
      <c r="G1011" s="366" t="s">
        <v>1366</v>
      </c>
      <c r="H1011" s="367">
        <v>26035</v>
      </c>
      <c r="I1011" s="351" t="s">
        <v>870</v>
      </c>
      <c r="J1011" s="350" t="s">
        <v>863</v>
      </c>
      <c r="K1011" s="350">
        <f>INT(('Run Time Parameters'!$E$5-'Data Sample'!H1011)/365.25)</f>
        <v>38</v>
      </c>
      <c r="L1011" s="368">
        <v>1990</v>
      </c>
      <c r="M1011" s="368">
        <v>0</v>
      </c>
      <c r="N1011" s="350" t="s">
        <v>867</v>
      </c>
      <c r="O1011" s="368">
        <v>0</v>
      </c>
      <c r="P1011" s="368">
        <v>0</v>
      </c>
      <c r="Q1011" s="367">
        <v>26035</v>
      </c>
      <c r="R1011" s="368" t="s">
        <v>870</v>
      </c>
      <c r="S1011" s="368" t="s">
        <v>863</v>
      </c>
      <c r="T1011" s="350">
        <f>INT(('Run Time Parameters'!$E$5-'Data Sample'!Q1011)/365.25)</f>
        <v>38</v>
      </c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339"/>
      <c r="AJ1011" s="353">
        <f t="shared" si="40"/>
        <v>495</v>
      </c>
    </row>
    <row r="1012" spans="1:40">
      <c r="A1012" s="332">
        <f t="shared" si="41"/>
        <v>496</v>
      </c>
      <c r="F1012" s="365"/>
      <c r="G1012" s="366" t="s">
        <v>1367</v>
      </c>
      <c r="H1012" s="367">
        <v>8342</v>
      </c>
      <c r="I1012" s="351" t="s">
        <v>870</v>
      </c>
      <c r="J1012" s="350" t="s">
        <v>863</v>
      </c>
      <c r="K1012" s="350">
        <f>INT(('Run Time Parameters'!$E$5-'Data Sample'!H1012)/365.25)</f>
        <v>86</v>
      </c>
      <c r="L1012" s="368">
        <v>1950</v>
      </c>
      <c r="M1012" s="368">
        <v>0</v>
      </c>
      <c r="N1012" s="350" t="s">
        <v>867</v>
      </c>
      <c r="O1012" s="368">
        <v>0</v>
      </c>
      <c r="P1012" s="368">
        <v>0</v>
      </c>
      <c r="Q1012" s="367">
        <v>8342</v>
      </c>
      <c r="R1012" s="368" t="s">
        <v>870</v>
      </c>
      <c r="S1012" s="368" t="s">
        <v>863</v>
      </c>
      <c r="T1012" s="350">
        <f>INT(('Run Time Parameters'!$E$5-'Data Sample'!Q1012)/365.25)</f>
        <v>86</v>
      </c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339"/>
      <c r="AJ1012" s="353">
        <f t="shared" si="40"/>
        <v>496</v>
      </c>
    </row>
    <row r="1013" spans="1:40">
      <c r="A1013" s="332">
        <f t="shared" si="41"/>
        <v>497</v>
      </c>
      <c r="F1013" s="365"/>
      <c r="G1013" s="366" t="s">
        <v>1368</v>
      </c>
      <c r="H1013" s="367">
        <v>27966</v>
      </c>
      <c r="I1013" s="351" t="s">
        <v>870</v>
      </c>
      <c r="J1013" s="350" t="s">
        <v>863</v>
      </c>
      <c r="K1013" s="350">
        <f>INT(('Run Time Parameters'!$E$5-'Data Sample'!H1013)/365.25)</f>
        <v>33</v>
      </c>
      <c r="L1013" s="368">
        <v>1996</v>
      </c>
      <c r="M1013" s="368">
        <v>0</v>
      </c>
      <c r="N1013" s="350" t="s">
        <v>867</v>
      </c>
      <c r="O1013" s="368">
        <v>0</v>
      </c>
      <c r="P1013" s="368">
        <v>0</v>
      </c>
      <c r="Q1013" s="367">
        <v>27966</v>
      </c>
      <c r="R1013" s="368" t="s">
        <v>870</v>
      </c>
      <c r="S1013" s="368" t="s">
        <v>863</v>
      </c>
      <c r="T1013" s="350">
        <f>INT(('Run Time Parameters'!$E$5-'Data Sample'!Q1013)/365.25)</f>
        <v>33</v>
      </c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  <c r="AF1013" s="339"/>
      <c r="AJ1013" s="353">
        <f t="shared" si="40"/>
        <v>497</v>
      </c>
    </row>
    <row r="1014" spans="1:40">
      <c r="A1014" s="332">
        <f t="shared" si="41"/>
        <v>498</v>
      </c>
      <c r="F1014" s="365"/>
      <c r="G1014" s="366" t="s">
        <v>1369</v>
      </c>
      <c r="H1014" s="367">
        <v>30738</v>
      </c>
      <c r="I1014" s="351" t="s">
        <v>862</v>
      </c>
      <c r="J1014" s="350" t="s">
        <v>863</v>
      </c>
      <c r="K1014" s="350">
        <f>INT(('Run Time Parameters'!$E$5-'Data Sample'!H1014)/365.25)</f>
        <v>25</v>
      </c>
      <c r="L1014" s="368">
        <v>2002</v>
      </c>
      <c r="M1014" s="368">
        <v>0</v>
      </c>
      <c r="N1014" s="350" t="s">
        <v>867</v>
      </c>
      <c r="O1014" s="368">
        <v>0</v>
      </c>
      <c r="P1014" s="368">
        <v>0</v>
      </c>
      <c r="Q1014" s="367">
        <v>30738</v>
      </c>
      <c r="R1014" s="368" t="s">
        <v>862</v>
      </c>
      <c r="S1014" s="368" t="s">
        <v>863</v>
      </c>
      <c r="T1014" s="350">
        <f>INT(('Run Time Parameters'!$E$5-'Data Sample'!Q1014)/365.25)</f>
        <v>25</v>
      </c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  <c r="AF1014" s="339"/>
      <c r="AJ1014" s="353">
        <f t="shared" si="40"/>
        <v>498</v>
      </c>
    </row>
    <row r="1015" spans="1:40">
      <c r="A1015" s="332">
        <f t="shared" si="41"/>
        <v>499</v>
      </c>
      <c r="G1015" s="369" t="s">
        <v>1370</v>
      </c>
      <c r="H1015" s="370">
        <v>24730</v>
      </c>
      <c r="I1015" s="371" t="s">
        <v>870</v>
      </c>
      <c r="J1015" s="371" t="s">
        <v>863</v>
      </c>
      <c r="K1015" s="350">
        <f>INT(('Run Time Parameters'!$E$5-'Data Sample'!H1015)/365.25)</f>
        <v>42</v>
      </c>
      <c r="L1015" s="371">
        <v>1985</v>
      </c>
      <c r="M1015" s="371">
        <v>0</v>
      </c>
      <c r="N1015" s="371" t="s">
        <v>867</v>
      </c>
      <c r="O1015" s="371">
        <v>0</v>
      </c>
      <c r="P1015" s="371">
        <v>0</v>
      </c>
      <c r="Q1015" s="372">
        <v>24730</v>
      </c>
      <c r="R1015" s="371" t="s">
        <v>870</v>
      </c>
      <c r="S1015" s="371" t="s">
        <v>863</v>
      </c>
      <c r="T1015" s="350">
        <f>INT(('Run Time Parameters'!$E$5-'Data Sample'!Q1015)/365.25)</f>
        <v>42</v>
      </c>
      <c r="U1015" s="319"/>
      <c r="V1015" s="319"/>
      <c r="W1015" s="319"/>
      <c r="X1015" s="319"/>
      <c r="Y1015" s="319"/>
      <c r="Z1015" s="319"/>
      <c r="AA1015" s="319"/>
      <c r="AB1015" s="319"/>
      <c r="AC1015" s="319"/>
      <c r="AD1015" s="319"/>
      <c r="AE1015" s="319"/>
      <c r="AF1015" s="342"/>
      <c r="AJ1015" s="353">
        <f t="shared" si="40"/>
        <v>499</v>
      </c>
    </row>
    <row r="1016" spans="1:40">
      <c r="Q1016" s="373"/>
      <c r="T1016" s="337"/>
    </row>
    <row r="1018" spans="1:40">
      <c r="G1018" s="333" t="str">
        <f>LE_DECLARE_DATA("vehicle1", "Vehicle", G1020:Y1527)</f>
        <v>Declared data instance VEHICLE1 of type VEHICLE</v>
      </c>
    </row>
    <row r="1019" spans="1:40">
      <c r="G1019" s="334" t="s">
        <v>353</v>
      </c>
      <c r="H1019" s="326"/>
      <c r="I1019" s="326"/>
      <c r="J1019" s="326"/>
      <c r="K1019" s="326"/>
      <c r="L1019" s="326"/>
      <c r="M1019" s="326"/>
      <c r="N1019" s="326"/>
      <c r="O1019" s="326"/>
      <c r="P1019" s="326"/>
      <c r="Q1019" s="326"/>
      <c r="R1019" s="326"/>
      <c r="S1019" s="326"/>
      <c r="T1019" s="326"/>
      <c r="U1019" s="326"/>
      <c r="V1019" s="326"/>
      <c r="W1019" s="326"/>
      <c r="X1019" s="326"/>
      <c r="Y1019" s="326"/>
      <c r="Z1019" s="326"/>
      <c r="AA1019" s="326"/>
      <c r="AB1019" s="326"/>
      <c r="AC1019" s="326"/>
      <c r="AD1019" s="326"/>
      <c r="AE1019" s="326"/>
      <c r="AF1019" s="335"/>
    </row>
    <row r="1020" spans="1:40" ht="22.5">
      <c r="B1020" s="907" t="s">
        <v>354</v>
      </c>
      <c r="C1020" s="907"/>
      <c r="G1020" s="344" t="s">
        <v>336</v>
      </c>
      <c r="H1020" s="345" t="s">
        <v>337</v>
      </c>
      <c r="I1020" s="345" t="s">
        <v>3069</v>
      </c>
      <c r="J1020" s="345" t="s">
        <v>3070</v>
      </c>
      <c r="K1020" s="345" t="s">
        <v>3071</v>
      </c>
      <c r="L1020" s="345" t="s">
        <v>338</v>
      </c>
      <c r="M1020" s="345" t="s">
        <v>3072</v>
      </c>
      <c r="N1020" s="345" t="s">
        <v>108</v>
      </c>
      <c r="O1020" s="374" t="s">
        <v>3073</v>
      </c>
      <c r="P1020" s="345" t="s">
        <v>339</v>
      </c>
      <c r="Q1020" s="345" t="s">
        <v>340</v>
      </c>
      <c r="R1020" s="345" t="s">
        <v>341</v>
      </c>
      <c r="S1020" s="345" t="s">
        <v>3074</v>
      </c>
      <c r="T1020" s="345" t="s">
        <v>342</v>
      </c>
      <c r="U1020" s="345" t="s">
        <v>343</v>
      </c>
      <c r="V1020" s="345" t="s">
        <v>3075</v>
      </c>
      <c r="W1020" s="345" t="s">
        <v>344</v>
      </c>
      <c r="X1020" s="345" t="s">
        <v>3080</v>
      </c>
      <c r="Y1020" s="374" t="s">
        <v>3086</v>
      </c>
      <c r="Z1020" s="345"/>
      <c r="AA1020" s="345"/>
      <c r="AB1020" s="345"/>
      <c r="AC1020" s="345"/>
      <c r="AD1020" s="345"/>
      <c r="AF1020" s="375"/>
      <c r="AN1020" s="343"/>
    </row>
    <row r="1021" spans="1:40">
      <c r="A1021" s="332">
        <v>1</v>
      </c>
      <c r="B1021" s="346"/>
      <c r="C1021" s="347" t="s">
        <v>1371</v>
      </c>
      <c r="D1021" s="348" t="str">
        <f>IF(B1021&lt;&gt;"",B1021,C1021)</f>
        <v>V0641594609344</v>
      </c>
      <c r="E1021" s="348"/>
      <c r="G1021" s="349" t="s">
        <v>1372</v>
      </c>
      <c r="H1021" s="368" t="s">
        <v>1373</v>
      </c>
      <c r="I1021" s="368" t="s">
        <v>1374</v>
      </c>
      <c r="J1021" s="368" t="s">
        <v>1375</v>
      </c>
      <c r="K1021" s="368" t="s">
        <v>1374</v>
      </c>
      <c r="L1021" s="368" t="s">
        <v>1375</v>
      </c>
      <c r="M1021" s="368" t="s">
        <v>1376</v>
      </c>
      <c r="N1021" s="368" t="s">
        <v>867</v>
      </c>
      <c r="O1021" s="376">
        <v>11618</v>
      </c>
      <c r="P1021" s="368" t="s">
        <v>339</v>
      </c>
      <c r="Q1021" s="368" t="s">
        <v>1377</v>
      </c>
      <c r="R1021" s="368" t="s">
        <v>867</v>
      </c>
      <c r="S1021" s="368" t="s">
        <v>864</v>
      </c>
      <c r="T1021" s="368" t="s">
        <v>362</v>
      </c>
      <c r="U1021" s="368" t="s">
        <v>867</v>
      </c>
      <c r="V1021" s="368" t="s">
        <v>867</v>
      </c>
      <c r="W1021" s="368" t="s">
        <v>1378</v>
      </c>
      <c r="X1021" s="368">
        <v>0</v>
      </c>
      <c r="Y1021" s="368">
        <v>99</v>
      </c>
      <c r="Z1021" s="368"/>
      <c r="AA1021" s="368"/>
      <c r="AB1021" s="368"/>
      <c r="AC1021" s="368"/>
      <c r="AD1021" s="368"/>
      <c r="AE1021" s="368"/>
      <c r="AF1021" s="377"/>
      <c r="AJ1021" s="337">
        <v>1</v>
      </c>
    </row>
    <row r="1022" spans="1:40">
      <c r="A1022" s="332">
        <f>1+A1021</f>
        <v>2</v>
      </c>
      <c r="B1022" s="908"/>
      <c r="C1022" s="909"/>
      <c r="D1022" s="354" t="e">
        <f>REDBOOKCODE(D1021)</f>
        <v>#REF!</v>
      </c>
      <c r="E1022" s="355"/>
      <c r="F1022" t="s">
        <v>81</v>
      </c>
      <c r="G1022" s="349" t="s">
        <v>1379</v>
      </c>
      <c r="H1022" s="368" t="s">
        <v>1380</v>
      </c>
      <c r="I1022" s="368" t="s">
        <v>1381</v>
      </c>
      <c r="J1022" s="368" t="s">
        <v>1382</v>
      </c>
      <c r="K1022" s="368" t="s">
        <v>1383</v>
      </c>
      <c r="L1022" s="368" t="s">
        <v>1375</v>
      </c>
      <c r="M1022" s="368" t="s">
        <v>1384</v>
      </c>
      <c r="N1022" s="368" t="s">
        <v>867</v>
      </c>
      <c r="O1022" s="376">
        <v>63584</v>
      </c>
      <c r="P1022" s="368" t="s">
        <v>1385</v>
      </c>
      <c r="Q1022" s="368" t="s">
        <v>1386</v>
      </c>
      <c r="R1022" s="368" t="s">
        <v>867</v>
      </c>
      <c r="S1022" s="368" t="s">
        <v>864</v>
      </c>
      <c r="T1022" s="368" t="s">
        <v>1387</v>
      </c>
      <c r="U1022" s="368" t="s">
        <v>867</v>
      </c>
      <c r="V1022" s="368" t="s">
        <v>867</v>
      </c>
      <c r="W1022" s="368" t="s">
        <v>1378</v>
      </c>
      <c r="X1022" s="368">
        <v>0</v>
      </c>
      <c r="Y1022" s="368">
        <v>99</v>
      </c>
      <c r="Z1022" s="368"/>
      <c r="AA1022" s="368"/>
      <c r="AB1022" s="368"/>
      <c r="AC1022" s="368"/>
      <c r="AD1022" s="368"/>
      <c r="AE1022" s="368"/>
      <c r="AF1022" s="377"/>
      <c r="AJ1022" s="337">
        <v>2</v>
      </c>
    </row>
    <row r="1023" spans="1:40">
      <c r="A1023" s="332">
        <f t="shared" ref="A1023:A1086" si="42">1+A1022</f>
        <v>3</v>
      </c>
      <c r="B1023" s="903"/>
      <c r="C1023" s="913"/>
      <c r="D1023" s="356" t="e">
        <f>DAY_TIME_SUBURB(D1021)</f>
        <v>#REF!</v>
      </c>
      <c r="E1023" s="357"/>
      <c r="F1023" t="s">
        <v>1388</v>
      </c>
      <c r="G1023" s="349" t="s">
        <v>1389</v>
      </c>
      <c r="H1023" s="368" t="s">
        <v>1390</v>
      </c>
      <c r="I1023" s="368" t="s">
        <v>1391</v>
      </c>
      <c r="J1023" s="368" t="s">
        <v>1375</v>
      </c>
      <c r="K1023" s="368" t="s">
        <v>1391</v>
      </c>
      <c r="L1023" s="368" t="s">
        <v>1375</v>
      </c>
      <c r="M1023" s="368" t="s">
        <v>1376</v>
      </c>
      <c r="N1023" s="368" t="s">
        <v>867</v>
      </c>
      <c r="O1023" s="376">
        <v>46021</v>
      </c>
      <c r="P1023" s="368" t="s">
        <v>1385</v>
      </c>
      <c r="Q1023" s="368" t="s">
        <v>1386</v>
      </c>
      <c r="R1023" s="368" t="s">
        <v>867</v>
      </c>
      <c r="S1023" s="368" t="s">
        <v>864</v>
      </c>
      <c r="T1023" s="368" t="s">
        <v>362</v>
      </c>
      <c r="U1023" s="368" t="s">
        <v>867</v>
      </c>
      <c r="V1023" s="368" t="s">
        <v>867</v>
      </c>
      <c r="W1023" s="368" t="s">
        <v>1378</v>
      </c>
      <c r="X1023" s="368">
        <v>0</v>
      </c>
      <c r="Y1023" s="368">
        <v>99</v>
      </c>
      <c r="Z1023" s="368"/>
      <c r="AA1023" s="368"/>
      <c r="AB1023" s="368"/>
      <c r="AC1023" s="368"/>
      <c r="AD1023" s="368"/>
      <c r="AE1023" s="368"/>
      <c r="AF1023" s="377"/>
      <c r="AJ1023" s="337">
        <v>3</v>
      </c>
    </row>
    <row r="1024" spans="1:40">
      <c r="A1024" s="332">
        <f t="shared" si="42"/>
        <v>4</v>
      </c>
      <c r="B1024" s="905"/>
      <c r="C1024" s="914"/>
      <c r="D1024" s="358" t="e">
        <f>DAY_TIME_PARKING(D1021)</f>
        <v>#REF!</v>
      </c>
      <c r="E1024" s="355"/>
      <c r="G1024" s="349" t="s">
        <v>1392</v>
      </c>
      <c r="H1024" s="368" t="s">
        <v>1393</v>
      </c>
      <c r="I1024" s="368" t="s">
        <v>1391</v>
      </c>
      <c r="J1024" s="368" t="s">
        <v>1375</v>
      </c>
      <c r="K1024" s="368" t="s">
        <v>1391</v>
      </c>
      <c r="L1024" s="368" t="s">
        <v>1375</v>
      </c>
      <c r="M1024" s="368" t="s">
        <v>1376</v>
      </c>
      <c r="N1024" s="368" t="s">
        <v>867</v>
      </c>
      <c r="O1024" s="376">
        <v>19436</v>
      </c>
      <c r="P1024" s="368" t="s">
        <v>1385</v>
      </c>
      <c r="Q1024" s="368" t="s">
        <v>1386</v>
      </c>
      <c r="R1024" s="368" t="s">
        <v>867</v>
      </c>
      <c r="S1024" s="368" t="s">
        <v>864</v>
      </c>
      <c r="T1024" s="368" t="s">
        <v>362</v>
      </c>
      <c r="U1024" s="368" t="s">
        <v>867</v>
      </c>
      <c r="V1024" s="368" t="s">
        <v>867</v>
      </c>
      <c r="W1024" s="368" t="s">
        <v>1378</v>
      </c>
      <c r="X1024" s="368">
        <v>0</v>
      </c>
      <c r="Y1024" s="368">
        <v>99</v>
      </c>
      <c r="Z1024" s="368"/>
      <c r="AA1024" s="368"/>
      <c r="AB1024" s="368"/>
      <c r="AC1024" s="368"/>
      <c r="AD1024" s="368"/>
      <c r="AE1024" s="368"/>
      <c r="AF1024" s="377"/>
      <c r="AJ1024" s="337">
        <v>4</v>
      </c>
    </row>
    <row r="1025" spans="1:36">
      <c r="A1025" s="332">
        <f t="shared" si="42"/>
        <v>5</v>
      </c>
      <c r="D1025" s="378" t="e">
        <f>NIGHT_SUBURB(D1021)</f>
        <v>#REF!</v>
      </c>
      <c r="E1025" s="368" t="s">
        <v>81</v>
      </c>
      <c r="F1025" t="s">
        <v>1388</v>
      </c>
      <c r="G1025" s="349" t="s">
        <v>1394</v>
      </c>
      <c r="H1025" s="368" t="s">
        <v>1395</v>
      </c>
      <c r="I1025" s="368" t="s">
        <v>1396</v>
      </c>
      <c r="J1025" s="368" t="s">
        <v>1375</v>
      </c>
      <c r="K1025" s="368" t="s">
        <v>1396</v>
      </c>
      <c r="L1025" s="368" t="s">
        <v>1375</v>
      </c>
      <c r="M1025" s="368" t="s">
        <v>1376</v>
      </c>
      <c r="N1025" s="368" t="s">
        <v>864</v>
      </c>
      <c r="O1025" s="376">
        <v>18930</v>
      </c>
      <c r="P1025" s="368" t="s">
        <v>1385</v>
      </c>
      <c r="Q1025" s="368" t="s">
        <v>1386</v>
      </c>
      <c r="R1025" s="368" t="s">
        <v>864</v>
      </c>
      <c r="S1025" s="368" t="s">
        <v>864</v>
      </c>
      <c r="T1025" s="368" t="s">
        <v>362</v>
      </c>
      <c r="U1025" s="368" t="s">
        <v>867</v>
      </c>
      <c r="V1025" s="368" t="s">
        <v>867</v>
      </c>
      <c r="W1025" s="368" t="s">
        <v>1378</v>
      </c>
      <c r="X1025" s="368">
        <v>0</v>
      </c>
      <c r="Y1025" s="368">
        <v>99</v>
      </c>
      <c r="Z1025" s="368"/>
      <c r="AA1025" s="368"/>
      <c r="AB1025" s="368"/>
      <c r="AC1025" s="368"/>
      <c r="AD1025" s="368"/>
      <c r="AE1025" s="368"/>
      <c r="AF1025" s="377"/>
      <c r="AJ1025" s="337">
        <v>5</v>
      </c>
    </row>
    <row r="1026" spans="1:36">
      <c r="A1026" s="332">
        <f t="shared" si="42"/>
        <v>6</v>
      </c>
      <c r="D1026" s="378" t="e">
        <f>TYPE_OF_USE(D1021)</f>
        <v>#REF!</v>
      </c>
      <c r="E1026" s="368"/>
      <c r="G1026" s="349" t="s">
        <v>1371</v>
      </c>
      <c r="H1026" s="368" t="s">
        <v>1397</v>
      </c>
      <c r="I1026" s="368" t="s">
        <v>1398</v>
      </c>
      <c r="J1026" s="368" t="s">
        <v>1399</v>
      </c>
      <c r="K1026" s="368" t="s">
        <v>1398</v>
      </c>
      <c r="L1026" s="368" t="s">
        <v>1399</v>
      </c>
      <c r="M1026" s="368" t="s">
        <v>1376</v>
      </c>
      <c r="N1026" s="368" t="s">
        <v>867</v>
      </c>
      <c r="O1026" s="376">
        <v>72831</v>
      </c>
      <c r="P1026" s="368" t="s">
        <v>1385</v>
      </c>
      <c r="Q1026" s="368" t="s">
        <v>1386</v>
      </c>
      <c r="R1026" s="368" t="s">
        <v>867</v>
      </c>
      <c r="S1026" s="368" t="s">
        <v>864</v>
      </c>
      <c r="T1026" s="368" t="s">
        <v>362</v>
      </c>
      <c r="U1026" s="368" t="s">
        <v>867</v>
      </c>
      <c r="V1026" s="368" t="s">
        <v>867</v>
      </c>
      <c r="W1026" s="368" t="s">
        <v>1378</v>
      </c>
      <c r="X1026" s="368">
        <v>2200</v>
      </c>
      <c r="Y1026" s="368">
        <v>99</v>
      </c>
      <c r="Z1026" s="368"/>
      <c r="AA1026" s="368"/>
      <c r="AB1026" s="368"/>
      <c r="AC1026" s="368"/>
      <c r="AD1026" s="368"/>
      <c r="AE1026" s="368"/>
      <c r="AF1026" s="377"/>
      <c r="AJ1026" s="337">
        <v>6</v>
      </c>
    </row>
    <row r="1027" spans="1:36">
      <c r="A1027" s="332">
        <f t="shared" si="42"/>
        <v>7</v>
      </c>
      <c r="D1027" s="378" t="e">
        <f>OFFROAD(D1021)</f>
        <v>#REF!</v>
      </c>
      <c r="E1027" s="368"/>
      <c r="G1027" s="349" t="s">
        <v>1400</v>
      </c>
      <c r="H1027" s="368" t="s">
        <v>1401</v>
      </c>
      <c r="I1027" s="368" t="s">
        <v>1402</v>
      </c>
      <c r="J1027" s="368" t="s">
        <v>1403</v>
      </c>
      <c r="K1027" s="368" t="s">
        <v>1404</v>
      </c>
      <c r="L1027" s="368" t="s">
        <v>1375</v>
      </c>
      <c r="M1027" s="368" t="s">
        <v>1384</v>
      </c>
      <c r="N1027" s="368" t="s">
        <v>867</v>
      </c>
      <c r="O1027" s="376">
        <v>98206</v>
      </c>
      <c r="P1027" s="368" t="s">
        <v>1385</v>
      </c>
      <c r="Q1027" s="368" t="s">
        <v>1386</v>
      </c>
      <c r="R1027" s="368" t="s">
        <v>867</v>
      </c>
      <c r="S1027" s="368" t="s">
        <v>864</v>
      </c>
      <c r="T1027" s="368" t="s">
        <v>362</v>
      </c>
      <c r="U1027" s="368" t="s">
        <v>867</v>
      </c>
      <c r="V1027" s="368" t="s">
        <v>867</v>
      </c>
      <c r="W1027" s="368" t="s">
        <v>1378</v>
      </c>
      <c r="X1027" s="368">
        <v>800</v>
      </c>
      <c r="Y1027" s="368">
        <v>99</v>
      </c>
      <c r="Z1027" s="368"/>
      <c r="AA1027" s="368"/>
      <c r="AB1027" s="368"/>
      <c r="AC1027" s="368"/>
      <c r="AD1027" s="368"/>
      <c r="AE1027" s="368"/>
      <c r="AF1027" s="377"/>
      <c r="AJ1027" s="337">
        <v>7</v>
      </c>
    </row>
    <row r="1028" spans="1:36">
      <c r="A1028" s="332">
        <f t="shared" si="42"/>
        <v>8</v>
      </c>
      <c r="D1028" s="378" t="e">
        <f>COLOUR(D1021)</f>
        <v>#REF!</v>
      </c>
      <c r="E1028" s="368"/>
      <c r="G1028" s="349" t="s">
        <v>1405</v>
      </c>
      <c r="H1028" s="368" t="s">
        <v>1406</v>
      </c>
      <c r="I1028" s="368" t="s">
        <v>1407</v>
      </c>
      <c r="J1028" s="368" t="s">
        <v>1382</v>
      </c>
      <c r="K1028" s="368" t="s">
        <v>1408</v>
      </c>
      <c r="L1028" s="368" t="s">
        <v>1375</v>
      </c>
      <c r="M1028" s="368" t="s">
        <v>1384</v>
      </c>
      <c r="N1028" s="368" t="s">
        <v>867</v>
      </c>
      <c r="O1028" s="376">
        <v>69602</v>
      </c>
      <c r="P1028" s="368" t="s">
        <v>1385</v>
      </c>
      <c r="Q1028" s="368" t="s">
        <v>1386</v>
      </c>
      <c r="R1028" s="368" t="s">
        <v>867</v>
      </c>
      <c r="S1028" s="368" t="s">
        <v>864</v>
      </c>
      <c r="T1028" s="368" t="s">
        <v>362</v>
      </c>
      <c r="U1028" s="368" t="s">
        <v>867</v>
      </c>
      <c r="V1028" s="368" t="s">
        <v>867</v>
      </c>
      <c r="W1028" s="368" t="s">
        <v>1378</v>
      </c>
      <c r="X1028" s="368">
        <v>325</v>
      </c>
      <c r="Y1028" s="368">
        <v>99</v>
      </c>
      <c r="Z1028" s="368"/>
      <c r="AA1028" s="368"/>
      <c r="AB1028" s="368"/>
      <c r="AC1028" s="368"/>
      <c r="AD1028" s="368"/>
      <c r="AE1028" s="368"/>
      <c r="AF1028" s="377"/>
      <c r="AJ1028" s="337">
        <v>8</v>
      </c>
    </row>
    <row r="1029" spans="1:36">
      <c r="A1029" s="332">
        <f t="shared" si="42"/>
        <v>9</v>
      </c>
      <c r="D1029" s="378" t="e">
        <f>SECURITY(D1021)</f>
        <v>#REF!</v>
      </c>
      <c r="E1029" s="368"/>
      <c r="G1029" s="349" t="s">
        <v>1409</v>
      </c>
      <c r="H1029" s="368" t="s">
        <v>1410</v>
      </c>
      <c r="I1029" s="368" t="s">
        <v>1411</v>
      </c>
      <c r="J1029" s="368" t="s">
        <v>1375</v>
      </c>
      <c r="K1029" s="368" t="s">
        <v>1411</v>
      </c>
      <c r="L1029" s="368" t="s">
        <v>1375</v>
      </c>
      <c r="M1029" s="368" t="s">
        <v>1376</v>
      </c>
      <c r="N1029" s="368" t="s">
        <v>867</v>
      </c>
      <c r="O1029" s="376">
        <v>3116</v>
      </c>
      <c r="P1029" s="368" t="s">
        <v>1385</v>
      </c>
      <c r="Q1029" s="368" t="s">
        <v>1386</v>
      </c>
      <c r="R1029" s="368" t="s">
        <v>867</v>
      </c>
      <c r="S1029" s="368" t="s">
        <v>864</v>
      </c>
      <c r="T1029" s="368" t="s">
        <v>1387</v>
      </c>
      <c r="U1029" s="368" t="s">
        <v>867</v>
      </c>
      <c r="V1029" s="368" t="s">
        <v>867</v>
      </c>
      <c r="W1029" s="368" t="s">
        <v>1378</v>
      </c>
      <c r="X1029" s="368">
        <v>2025</v>
      </c>
      <c r="Y1029" s="368">
        <v>99</v>
      </c>
      <c r="Z1029" s="368"/>
      <c r="AA1029" s="368"/>
      <c r="AB1029" s="368"/>
      <c r="AC1029" s="368"/>
      <c r="AD1029" s="368"/>
      <c r="AE1029" s="368"/>
      <c r="AF1029" s="377"/>
      <c r="AJ1029" s="337">
        <v>9</v>
      </c>
    </row>
    <row r="1030" spans="1:36">
      <c r="A1030" s="332">
        <f t="shared" si="42"/>
        <v>10</v>
      </c>
      <c r="D1030" s="378" t="e">
        <f>CARKIT(D1021)</f>
        <v>#REF!</v>
      </c>
      <c r="E1030" s="368"/>
      <c r="G1030" s="349" t="s">
        <v>1412</v>
      </c>
      <c r="H1030" s="368" t="s">
        <v>1413</v>
      </c>
      <c r="I1030" s="368" t="s">
        <v>1414</v>
      </c>
      <c r="J1030" s="368" t="s">
        <v>1375</v>
      </c>
      <c r="K1030" s="368" t="s">
        <v>1414</v>
      </c>
      <c r="L1030" s="368" t="s">
        <v>1375</v>
      </c>
      <c r="M1030" s="368" t="s">
        <v>1376</v>
      </c>
      <c r="N1030" s="368" t="s">
        <v>867</v>
      </c>
      <c r="O1030" s="376">
        <v>54996</v>
      </c>
      <c r="P1030" s="368" t="s">
        <v>339</v>
      </c>
      <c r="Q1030" s="368" t="s">
        <v>1386</v>
      </c>
      <c r="R1030" s="368" t="s">
        <v>867</v>
      </c>
      <c r="S1030" s="368" t="s">
        <v>864</v>
      </c>
      <c r="T1030" s="368" t="s">
        <v>362</v>
      </c>
      <c r="U1030" s="368" t="s">
        <v>867</v>
      </c>
      <c r="V1030" s="368" t="s">
        <v>867</v>
      </c>
      <c r="W1030" s="368" t="s">
        <v>1378</v>
      </c>
      <c r="X1030" s="368">
        <v>1000</v>
      </c>
      <c r="Y1030" s="368">
        <v>99</v>
      </c>
      <c r="Z1030" s="368"/>
      <c r="AA1030" s="368"/>
      <c r="AB1030" s="368"/>
      <c r="AC1030" s="368"/>
      <c r="AD1030" s="368"/>
      <c r="AE1030" s="368"/>
      <c r="AF1030" s="377"/>
      <c r="AJ1030" s="337">
        <v>10</v>
      </c>
    </row>
    <row r="1031" spans="1:36">
      <c r="A1031" s="332">
        <f t="shared" si="42"/>
        <v>11</v>
      </c>
      <c r="D1031" s="378" t="e">
        <f>CURRENTLY_INSURED(D1021)</f>
        <v>#REF!</v>
      </c>
      <c r="E1031" s="368"/>
      <c r="G1031" s="349" t="s">
        <v>1415</v>
      </c>
      <c r="H1031" s="368" t="s">
        <v>1416</v>
      </c>
      <c r="I1031" s="368" t="s">
        <v>1417</v>
      </c>
      <c r="J1031" s="368" t="s">
        <v>1382</v>
      </c>
      <c r="K1031" s="368" t="s">
        <v>1418</v>
      </c>
      <c r="L1031" s="368" t="s">
        <v>1375</v>
      </c>
      <c r="M1031" s="368" t="s">
        <v>1384</v>
      </c>
      <c r="N1031" s="368" t="s">
        <v>867</v>
      </c>
      <c r="O1031" s="376">
        <v>15091</v>
      </c>
      <c r="P1031" s="368" t="s">
        <v>339</v>
      </c>
      <c r="Q1031" s="368" t="s">
        <v>1386</v>
      </c>
      <c r="R1031" s="368" t="s">
        <v>867</v>
      </c>
      <c r="S1031" s="368" t="s">
        <v>864</v>
      </c>
      <c r="T1031" s="368" t="s">
        <v>362</v>
      </c>
      <c r="U1031" s="368" t="s">
        <v>867</v>
      </c>
      <c r="V1031" s="368" t="s">
        <v>867</v>
      </c>
      <c r="W1031" s="368" t="s">
        <v>1378</v>
      </c>
      <c r="X1031" s="368">
        <v>0</v>
      </c>
      <c r="Y1031" s="368">
        <v>99</v>
      </c>
      <c r="Z1031" s="368"/>
      <c r="AA1031" s="368"/>
      <c r="AB1031" s="368"/>
      <c r="AC1031" s="368"/>
      <c r="AD1031" s="368"/>
      <c r="AE1031" s="368"/>
      <c r="AF1031" s="377"/>
      <c r="AJ1031" s="337">
        <v>11</v>
      </c>
    </row>
    <row r="1032" spans="1:36">
      <c r="A1032" s="332">
        <f t="shared" si="42"/>
        <v>12</v>
      </c>
      <c r="D1032" s="378" t="e">
        <f>FINANCED(D1021)</f>
        <v>#REF!</v>
      </c>
      <c r="E1032" s="368"/>
      <c r="G1032" s="349" t="s">
        <v>1419</v>
      </c>
      <c r="H1032" s="368" t="s">
        <v>1420</v>
      </c>
      <c r="I1032" s="368" t="s">
        <v>1421</v>
      </c>
      <c r="J1032" s="368" t="s">
        <v>1382</v>
      </c>
      <c r="K1032" s="368" t="s">
        <v>1418</v>
      </c>
      <c r="L1032" s="368" t="s">
        <v>1375</v>
      </c>
      <c r="M1032" s="368" t="s">
        <v>1422</v>
      </c>
      <c r="N1032" s="368" t="s">
        <v>867</v>
      </c>
      <c r="O1032" s="376">
        <v>71404</v>
      </c>
      <c r="P1032" s="368" t="s">
        <v>1385</v>
      </c>
      <c r="Q1032" s="368" t="s">
        <v>1386</v>
      </c>
      <c r="R1032" s="368" t="s">
        <v>867</v>
      </c>
      <c r="S1032" s="368" t="s">
        <v>864</v>
      </c>
      <c r="T1032" s="368" t="s">
        <v>362</v>
      </c>
      <c r="U1032" s="368" t="s">
        <v>867</v>
      </c>
      <c r="V1032" s="368" t="s">
        <v>867</v>
      </c>
      <c r="W1032" s="368" t="s">
        <v>1378</v>
      </c>
      <c r="X1032" s="368">
        <v>0</v>
      </c>
      <c r="Y1032" s="368">
        <v>99</v>
      </c>
      <c r="Z1032" s="368"/>
      <c r="AA1032" s="368"/>
      <c r="AB1032" s="368"/>
      <c r="AC1032" s="368"/>
      <c r="AD1032" s="368"/>
      <c r="AE1032" s="368"/>
      <c r="AF1032" s="377"/>
      <c r="AJ1032" s="337">
        <v>12</v>
      </c>
    </row>
    <row r="1033" spans="1:36">
      <c r="A1033" s="332">
        <f t="shared" si="42"/>
        <v>13</v>
      </c>
      <c r="D1033" s="378" t="e">
        <f>CARHIREOP(D1021)</f>
        <v>#REF!</v>
      </c>
      <c r="E1033" s="368"/>
      <c r="G1033" s="349" t="s">
        <v>1423</v>
      </c>
      <c r="H1033" s="368" t="s">
        <v>1424</v>
      </c>
      <c r="I1033" s="368" t="s">
        <v>1417</v>
      </c>
      <c r="J1033" s="368" t="s">
        <v>1382</v>
      </c>
      <c r="K1033" s="368" t="s">
        <v>1418</v>
      </c>
      <c r="L1033" s="368" t="s">
        <v>1375</v>
      </c>
      <c r="M1033" s="368" t="s">
        <v>1384</v>
      </c>
      <c r="N1033" s="368" t="s">
        <v>867</v>
      </c>
      <c r="O1033" s="376">
        <v>88610</v>
      </c>
      <c r="P1033" s="368" t="s">
        <v>1385</v>
      </c>
      <c r="Q1033" s="368" t="s">
        <v>1386</v>
      </c>
      <c r="R1033" s="368" t="s">
        <v>867</v>
      </c>
      <c r="S1033" s="368" t="s">
        <v>864</v>
      </c>
      <c r="T1033" s="368" t="s">
        <v>362</v>
      </c>
      <c r="U1033" s="368" t="s">
        <v>867</v>
      </c>
      <c r="V1033" s="368" t="s">
        <v>867</v>
      </c>
      <c r="W1033" s="368" t="s">
        <v>1378</v>
      </c>
      <c r="X1033" s="368">
        <v>7413</v>
      </c>
      <c r="Y1033" s="368">
        <v>99</v>
      </c>
      <c r="Z1033" s="368"/>
      <c r="AA1033" s="368"/>
      <c r="AB1033" s="368"/>
      <c r="AC1033" s="368"/>
      <c r="AD1033" s="368"/>
      <c r="AE1033" s="368"/>
      <c r="AF1033" s="377"/>
      <c r="AJ1033" s="337">
        <v>13</v>
      </c>
    </row>
    <row r="1034" spans="1:36">
      <c r="A1034" s="332">
        <f t="shared" si="42"/>
        <v>14</v>
      </c>
      <c r="D1034" s="378" t="e">
        <f>WINDSCREEN_OPTION(D1021)</f>
        <v>#REF!</v>
      </c>
      <c r="E1034" s="368"/>
      <c r="G1034" s="349" t="s">
        <v>1425</v>
      </c>
      <c r="H1034" s="368" t="s">
        <v>1426</v>
      </c>
      <c r="I1034" s="368" t="s">
        <v>1427</v>
      </c>
      <c r="J1034" s="368" t="s">
        <v>1403</v>
      </c>
      <c r="K1034" s="368" t="s">
        <v>1428</v>
      </c>
      <c r="L1034" s="368" t="s">
        <v>1375</v>
      </c>
      <c r="M1034" s="368" t="s">
        <v>1384</v>
      </c>
      <c r="N1034" s="368" t="s">
        <v>867</v>
      </c>
      <c r="O1034" s="376">
        <v>18633</v>
      </c>
      <c r="P1034" s="368" t="s">
        <v>1385</v>
      </c>
      <c r="Q1034" s="368" t="s">
        <v>1386</v>
      </c>
      <c r="R1034" s="368" t="s">
        <v>867</v>
      </c>
      <c r="S1034" s="368" t="s">
        <v>864</v>
      </c>
      <c r="T1034" s="368" t="s">
        <v>362</v>
      </c>
      <c r="U1034" s="368" t="s">
        <v>867</v>
      </c>
      <c r="V1034" s="368" t="s">
        <v>867</v>
      </c>
      <c r="W1034" s="368" t="s">
        <v>1378</v>
      </c>
      <c r="X1034" s="368">
        <v>0</v>
      </c>
      <c r="Y1034" s="368">
        <v>99</v>
      </c>
      <c r="Z1034" s="368"/>
      <c r="AA1034" s="368"/>
      <c r="AB1034" s="368"/>
      <c r="AC1034" s="368"/>
      <c r="AD1034" s="368"/>
      <c r="AE1034" s="368"/>
      <c r="AF1034" s="377"/>
      <c r="AJ1034" s="337">
        <v>14</v>
      </c>
    </row>
    <row r="1035" spans="1:36">
      <c r="A1035" s="332">
        <f t="shared" si="42"/>
        <v>15</v>
      </c>
      <c r="D1035" s="378" t="e">
        <f>REFSOURCE(D1021)</f>
        <v>#REF!</v>
      </c>
      <c r="E1035" s="368"/>
      <c r="G1035" s="349" t="s">
        <v>1429</v>
      </c>
      <c r="H1035" s="368" t="s">
        <v>1430</v>
      </c>
      <c r="I1035" s="368" t="s">
        <v>1431</v>
      </c>
      <c r="J1035" s="368" t="s">
        <v>1375</v>
      </c>
      <c r="K1035" s="368" t="s">
        <v>1432</v>
      </c>
      <c r="L1035" s="368" t="s">
        <v>1433</v>
      </c>
      <c r="M1035" s="368" t="s">
        <v>1384</v>
      </c>
      <c r="N1035" s="368" t="s">
        <v>867</v>
      </c>
      <c r="O1035" s="376">
        <v>24976</v>
      </c>
      <c r="P1035" s="368" t="s">
        <v>1385</v>
      </c>
      <c r="Q1035" s="368" t="s">
        <v>1386</v>
      </c>
      <c r="R1035" s="368" t="s">
        <v>867</v>
      </c>
      <c r="S1035" s="368" t="s">
        <v>864</v>
      </c>
      <c r="T1035" s="368" t="s">
        <v>1387</v>
      </c>
      <c r="U1035" s="368" t="s">
        <v>867</v>
      </c>
      <c r="V1035" s="368" t="s">
        <v>867</v>
      </c>
      <c r="W1035" s="368" t="s">
        <v>1378</v>
      </c>
      <c r="X1035" s="368">
        <v>0</v>
      </c>
      <c r="Y1035" s="368">
        <v>99</v>
      </c>
      <c r="Z1035" s="368"/>
      <c r="AA1035" s="368"/>
      <c r="AB1035" s="368"/>
      <c r="AC1035" s="368"/>
      <c r="AD1035" s="368"/>
      <c r="AE1035" s="368"/>
      <c r="AF1035" s="377"/>
      <c r="AJ1035" s="337">
        <v>15</v>
      </c>
    </row>
    <row r="1036" spans="1:36">
      <c r="A1036" s="332">
        <f t="shared" si="42"/>
        <v>16</v>
      </c>
      <c r="D1036" s="378"/>
      <c r="E1036" s="368"/>
      <c r="G1036" s="349" t="s">
        <v>1434</v>
      </c>
      <c r="H1036" s="368" t="s">
        <v>1435</v>
      </c>
      <c r="I1036" s="368" t="s">
        <v>1436</v>
      </c>
      <c r="J1036" s="368" t="s">
        <v>1382</v>
      </c>
      <c r="K1036" s="368" t="s">
        <v>1437</v>
      </c>
      <c r="L1036" s="368" t="s">
        <v>1399</v>
      </c>
      <c r="M1036" s="368" t="s">
        <v>1384</v>
      </c>
      <c r="N1036" s="368" t="s">
        <v>867</v>
      </c>
      <c r="O1036" s="376">
        <v>77587</v>
      </c>
      <c r="P1036" s="368" t="s">
        <v>1385</v>
      </c>
      <c r="Q1036" s="368" t="s">
        <v>1386</v>
      </c>
      <c r="R1036" s="368" t="s">
        <v>867</v>
      </c>
      <c r="S1036" s="368" t="s">
        <v>864</v>
      </c>
      <c r="T1036" s="368" t="s">
        <v>362</v>
      </c>
      <c r="U1036" s="368" t="s">
        <v>867</v>
      </c>
      <c r="V1036" s="368" t="s">
        <v>867</v>
      </c>
      <c r="W1036" s="368" t="s">
        <v>1378</v>
      </c>
      <c r="X1036" s="368">
        <v>0</v>
      </c>
      <c r="Y1036" s="368">
        <v>99</v>
      </c>
      <c r="Z1036" s="368"/>
      <c r="AA1036" s="368"/>
      <c r="AB1036" s="368"/>
      <c r="AC1036" s="368"/>
      <c r="AD1036" s="368"/>
      <c r="AE1036" s="368"/>
      <c r="AF1036" s="377"/>
      <c r="AJ1036" s="337">
        <v>16</v>
      </c>
    </row>
    <row r="1037" spans="1:36">
      <c r="A1037" s="332">
        <f t="shared" si="42"/>
        <v>17</v>
      </c>
      <c r="D1037" s="378"/>
      <c r="E1037" s="368"/>
      <c r="G1037" s="349" t="s">
        <v>1438</v>
      </c>
      <c r="H1037" s="368" t="s">
        <v>1439</v>
      </c>
      <c r="I1037" s="368" t="s">
        <v>1440</v>
      </c>
      <c r="J1037" s="368" t="s">
        <v>1382</v>
      </c>
      <c r="K1037" s="368" t="s">
        <v>1441</v>
      </c>
      <c r="L1037" s="368" t="s">
        <v>1442</v>
      </c>
      <c r="M1037" s="368" t="s">
        <v>1384</v>
      </c>
      <c r="N1037" s="368" t="s">
        <v>867</v>
      </c>
      <c r="O1037" s="376">
        <v>14104</v>
      </c>
      <c r="P1037" s="368" t="s">
        <v>1385</v>
      </c>
      <c r="Q1037" s="368" t="s">
        <v>1443</v>
      </c>
      <c r="R1037" s="368" t="s">
        <v>867</v>
      </c>
      <c r="S1037" s="368" t="s">
        <v>864</v>
      </c>
      <c r="T1037" s="368" t="s">
        <v>362</v>
      </c>
      <c r="U1037" s="368" t="s">
        <v>867</v>
      </c>
      <c r="V1037" s="368" t="s">
        <v>867</v>
      </c>
      <c r="W1037" s="368" t="s">
        <v>1378</v>
      </c>
      <c r="X1037" s="368">
        <v>0</v>
      </c>
      <c r="Y1037" s="368">
        <v>99</v>
      </c>
      <c r="Z1037" s="368"/>
      <c r="AA1037" s="368"/>
      <c r="AB1037" s="368"/>
      <c r="AC1037" s="368"/>
      <c r="AD1037" s="368"/>
      <c r="AE1037" s="368"/>
      <c r="AF1037" s="377"/>
      <c r="AJ1037" s="337">
        <v>17</v>
      </c>
    </row>
    <row r="1038" spans="1:36">
      <c r="A1038" s="332">
        <f t="shared" si="42"/>
        <v>18</v>
      </c>
      <c r="D1038" s="378"/>
      <c r="E1038" s="368"/>
      <c r="F1038" t="s">
        <v>81</v>
      </c>
      <c r="G1038" s="349" t="s">
        <v>1444</v>
      </c>
      <c r="H1038" s="368" t="s">
        <v>1445</v>
      </c>
      <c r="I1038" s="368" t="s">
        <v>1446</v>
      </c>
      <c r="J1038" s="368" t="s">
        <v>1375</v>
      </c>
      <c r="K1038" s="368" t="s">
        <v>1446</v>
      </c>
      <c r="L1038" s="368" t="s">
        <v>1375</v>
      </c>
      <c r="M1038" s="368" t="s">
        <v>1376</v>
      </c>
      <c r="N1038" s="368" t="s">
        <v>867</v>
      </c>
      <c r="O1038" s="376">
        <v>61505</v>
      </c>
      <c r="P1038" s="368" t="s">
        <v>1447</v>
      </c>
      <c r="Q1038" s="368" t="s">
        <v>1443</v>
      </c>
      <c r="R1038" s="368" t="s">
        <v>867</v>
      </c>
      <c r="S1038" s="368" t="s">
        <v>864</v>
      </c>
      <c r="T1038" s="368" t="s">
        <v>362</v>
      </c>
      <c r="U1038" s="368" t="s">
        <v>867</v>
      </c>
      <c r="V1038" s="368" t="s">
        <v>867</v>
      </c>
      <c r="W1038" s="368" t="s">
        <v>1378</v>
      </c>
      <c r="X1038" s="368">
        <v>0</v>
      </c>
      <c r="Y1038" s="368">
        <v>99</v>
      </c>
      <c r="Z1038" s="368"/>
      <c r="AA1038" s="368"/>
      <c r="AB1038" s="368"/>
      <c r="AC1038" s="368"/>
      <c r="AD1038" s="368"/>
      <c r="AE1038" s="368"/>
      <c r="AF1038" s="377"/>
      <c r="AJ1038" s="337">
        <v>18</v>
      </c>
    </row>
    <row r="1039" spans="1:36">
      <c r="A1039" s="332">
        <f t="shared" si="42"/>
        <v>19</v>
      </c>
      <c r="D1039" s="378"/>
      <c r="E1039" s="368" t="s">
        <v>81</v>
      </c>
      <c r="F1039" t="s">
        <v>81</v>
      </c>
      <c r="G1039" s="349" t="s">
        <v>1448</v>
      </c>
      <c r="H1039" s="368" t="s">
        <v>1449</v>
      </c>
      <c r="I1039" s="368" t="s">
        <v>1450</v>
      </c>
      <c r="J1039" s="368" t="s">
        <v>1399</v>
      </c>
      <c r="K1039" s="368" t="s">
        <v>1451</v>
      </c>
      <c r="L1039" s="368" t="s">
        <v>1399</v>
      </c>
      <c r="M1039" s="368" t="s">
        <v>1384</v>
      </c>
      <c r="N1039" s="368" t="s">
        <v>867</v>
      </c>
      <c r="O1039" s="376">
        <v>78279</v>
      </c>
      <c r="P1039" s="368" t="s">
        <v>1385</v>
      </c>
      <c r="Q1039" s="368" t="s">
        <v>1443</v>
      </c>
      <c r="R1039" s="368" t="s">
        <v>867</v>
      </c>
      <c r="S1039" s="368" t="s">
        <v>864</v>
      </c>
      <c r="T1039" s="368" t="s">
        <v>362</v>
      </c>
      <c r="U1039" s="368" t="s">
        <v>867</v>
      </c>
      <c r="V1039" s="368" t="s">
        <v>867</v>
      </c>
      <c r="W1039" s="368" t="s">
        <v>1378</v>
      </c>
      <c r="X1039" s="368">
        <v>0</v>
      </c>
      <c r="Y1039" s="368">
        <v>99</v>
      </c>
      <c r="Z1039" s="368"/>
      <c r="AA1039" s="368"/>
      <c r="AB1039" s="368"/>
      <c r="AC1039" s="368"/>
      <c r="AD1039" s="368"/>
      <c r="AE1039" s="368"/>
      <c r="AF1039" s="377"/>
      <c r="AJ1039" s="337">
        <v>19</v>
      </c>
    </row>
    <row r="1040" spans="1:36">
      <c r="A1040" s="332">
        <f t="shared" si="42"/>
        <v>20</v>
      </c>
      <c r="D1040" s="378" t="e">
        <f>EXTRA_ID(1,$D$1021)</f>
        <v>#REF!</v>
      </c>
      <c r="E1040" s="378" t="e">
        <f>EXTRA_ID(2,$D$1021)</f>
        <v>#REF!</v>
      </c>
      <c r="F1040" s="378" t="e">
        <f>EXTRA_ID(3,$D$1021)</f>
        <v>#REF!</v>
      </c>
      <c r="G1040" s="349" t="s">
        <v>1452</v>
      </c>
      <c r="H1040" s="368" t="s">
        <v>1453</v>
      </c>
      <c r="I1040" s="368" t="s">
        <v>1454</v>
      </c>
      <c r="J1040" s="368" t="s">
        <v>1375</v>
      </c>
      <c r="K1040" s="368" t="s">
        <v>1454</v>
      </c>
      <c r="L1040" s="368" t="s">
        <v>1375</v>
      </c>
      <c r="M1040" s="368" t="s">
        <v>1376</v>
      </c>
      <c r="N1040" s="368" t="s">
        <v>867</v>
      </c>
      <c r="O1040" s="376">
        <v>4622</v>
      </c>
      <c r="P1040" s="368" t="s">
        <v>1385</v>
      </c>
      <c r="Q1040" s="368" t="s">
        <v>1386</v>
      </c>
      <c r="R1040" s="368" t="s">
        <v>867</v>
      </c>
      <c r="S1040" s="368" t="s">
        <v>864</v>
      </c>
      <c r="T1040" s="368" t="s">
        <v>1387</v>
      </c>
      <c r="U1040" s="368" t="s">
        <v>867</v>
      </c>
      <c r="V1040" s="368" t="s">
        <v>867</v>
      </c>
      <c r="W1040" s="368" t="s">
        <v>1378</v>
      </c>
      <c r="X1040" s="368">
        <v>3000</v>
      </c>
      <c r="Y1040" s="368">
        <v>99</v>
      </c>
      <c r="Z1040" s="368"/>
      <c r="AA1040" s="368"/>
      <c r="AB1040" s="368"/>
      <c r="AC1040" s="368"/>
      <c r="AD1040" s="368"/>
      <c r="AE1040" s="368"/>
      <c r="AF1040" s="377"/>
      <c r="AJ1040" s="337">
        <v>20</v>
      </c>
    </row>
    <row r="1041" spans="1:36">
      <c r="A1041" s="332">
        <f t="shared" si="42"/>
        <v>21</v>
      </c>
      <c r="D1041" s="378" t="e">
        <f>MOD_VALUE(D1021)</f>
        <v>#REF!</v>
      </c>
      <c r="E1041" s="368"/>
      <c r="G1041" s="349" t="s">
        <v>1455</v>
      </c>
      <c r="H1041" s="368" t="s">
        <v>1456</v>
      </c>
      <c r="I1041" s="368" t="s">
        <v>1457</v>
      </c>
      <c r="J1041" s="368" t="s">
        <v>1382</v>
      </c>
      <c r="K1041" s="368" t="s">
        <v>1458</v>
      </c>
      <c r="L1041" s="368" t="s">
        <v>1442</v>
      </c>
      <c r="M1041" s="368" t="s">
        <v>1384</v>
      </c>
      <c r="N1041" s="368" t="s">
        <v>867</v>
      </c>
      <c r="O1041" s="376">
        <v>67653</v>
      </c>
      <c r="P1041" s="368" t="s">
        <v>1385</v>
      </c>
      <c r="Q1041" s="368" t="s">
        <v>1386</v>
      </c>
      <c r="R1041" s="368" t="s">
        <v>867</v>
      </c>
      <c r="S1041" s="368" t="s">
        <v>864</v>
      </c>
      <c r="T1041" s="368" t="s">
        <v>362</v>
      </c>
      <c r="U1041" s="368" t="s">
        <v>867</v>
      </c>
      <c r="V1041" s="368" t="s">
        <v>867</v>
      </c>
      <c r="W1041" s="368" t="s">
        <v>1378</v>
      </c>
      <c r="X1041" s="368">
        <v>1100</v>
      </c>
      <c r="Y1041" s="368">
        <v>99</v>
      </c>
      <c r="Z1041" s="368"/>
      <c r="AA1041" s="368"/>
      <c r="AB1041" s="368"/>
      <c r="AC1041" s="368"/>
      <c r="AD1041" s="368"/>
      <c r="AE1041" s="368"/>
      <c r="AF1041" s="377"/>
      <c r="AJ1041" s="337">
        <v>21</v>
      </c>
    </row>
    <row r="1042" spans="1:36">
      <c r="A1042" s="332">
        <f t="shared" si="42"/>
        <v>22</v>
      </c>
      <c r="D1042" s="378"/>
      <c r="E1042" s="368"/>
      <c r="G1042" s="349" t="s">
        <v>1459</v>
      </c>
      <c r="H1042" s="368" t="s">
        <v>1460</v>
      </c>
      <c r="I1042" s="368" t="s">
        <v>1461</v>
      </c>
      <c r="J1042" s="368" t="s">
        <v>1375</v>
      </c>
      <c r="K1042" s="368" t="s">
        <v>1461</v>
      </c>
      <c r="L1042" s="368" t="s">
        <v>1375</v>
      </c>
      <c r="M1042" s="368" t="s">
        <v>1384</v>
      </c>
      <c r="N1042" s="368" t="s">
        <v>867</v>
      </c>
      <c r="O1042" s="376">
        <v>44267</v>
      </c>
      <c r="P1042" s="368" t="s">
        <v>339</v>
      </c>
      <c r="Q1042" s="368" t="s">
        <v>1462</v>
      </c>
      <c r="R1042" s="368" t="s">
        <v>867</v>
      </c>
      <c r="S1042" s="368" t="s">
        <v>864</v>
      </c>
      <c r="T1042" s="368" t="s">
        <v>362</v>
      </c>
      <c r="U1042" s="368" t="s">
        <v>867</v>
      </c>
      <c r="V1042" s="368" t="s">
        <v>867</v>
      </c>
      <c r="W1042" s="368" t="s">
        <v>1378</v>
      </c>
      <c r="X1042" s="368">
        <v>0</v>
      </c>
      <c r="Y1042" s="368">
        <v>99</v>
      </c>
      <c r="Z1042" s="368"/>
      <c r="AA1042" s="368"/>
      <c r="AB1042" s="368"/>
      <c r="AC1042" s="368"/>
      <c r="AD1042" s="368"/>
      <c r="AE1042" s="368"/>
      <c r="AF1042" s="377"/>
      <c r="AJ1042" s="337">
        <v>22</v>
      </c>
    </row>
    <row r="1043" spans="1:36">
      <c r="A1043" s="332">
        <f t="shared" si="42"/>
        <v>23</v>
      </c>
      <c r="D1043" s="378"/>
      <c r="E1043" s="368"/>
      <c r="G1043" s="349" t="s">
        <v>1463</v>
      </c>
      <c r="H1043" s="368" t="s">
        <v>1464</v>
      </c>
      <c r="I1043" s="368" t="s">
        <v>1465</v>
      </c>
      <c r="J1043" s="368" t="s">
        <v>1375</v>
      </c>
      <c r="K1043" s="368" t="s">
        <v>1465</v>
      </c>
      <c r="L1043" s="368" t="s">
        <v>1375</v>
      </c>
      <c r="M1043" s="368" t="s">
        <v>1384</v>
      </c>
      <c r="N1043" s="368" t="s">
        <v>867</v>
      </c>
      <c r="O1043" s="376">
        <v>45971</v>
      </c>
      <c r="P1043" s="368" t="s">
        <v>1385</v>
      </c>
      <c r="Q1043" s="368" t="s">
        <v>1386</v>
      </c>
      <c r="R1043" s="368" t="s">
        <v>867</v>
      </c>
      <c r="S1043" s="368" t="s">
        <v>864</v>
      </c>
      <c r="T1043" s="368" t="s">
        <v>362</v>
      </c>
      <c r="U1043" s="368" t="s">
        <v>867</v>
      </c>
      <c r="V1043" s="368" t="s">
        <v>867</v>
      </c>
      <c r="W1043" s="368" t="s">
        <v>1378</v>
      </c>
      <c r="X1043" s="368">
        <v>100</v>
      </c>
      <c r="Y1043" s="368">
        <v>99</v>
      </c>
      <c r="Z1043" s="368"/>
      <c r="AA1043" s="368"/>
      <c r="AB1043" s="368"/>
      <c r="AC1043" s="368"/>
      <c r="AD1043" s="368"/>
      <c r="AE1043" s="368"/>
      <c r="AF1043" s="377"/>
      <c r="AJ1043" s="337">
        <v>23</v>
      </c>
    </row>
    <row r="1044" spans="1:36">
      <c r="A1044" s="332">
        <f t="shared" si="42"/>
        <v>24</v>
      </c>
      <c r="D1044" s="379"/>
      <c r="E1044" s="368"/>
      <c r="G1044" s="349" t="s">
        <v>1466</v>
      </c>
      <c r="H1044" s="368" t="s">
        <v>1467</v>
      </c>
      <c r="I1044" s="368" t="s">
        <v>1468</v>
      </c>
      <c r="J1044" s="368" t="s">
        <v>1433</v>
      </c>
      <c r="K1044" s="368" t="s">
        <v>1468</v>
      </c>
      <c r="L1044" s="368" t="s">
        <v>1433</v>
      </c>
      <c r="M1044" s="368" t="s">
        <v>1376</v>
      </c>
      <c r="N1044" s="368" t="s">
        <v>867</v>
      </c>
      <c r="O1044" s="376">
        <v>65849</v>
      </c>
      <c r="P1044" s="368" t="s">
        <v>1385</v>
      </c>
      <c r="Q1044" s="368" t="s">
        <v>1386</v>
      </c>
      <c r="R1044" s="368" t="s">
        <v>867</v>
      </c>
      <c r="S1044" s="368" t="s">
        <v>864</v>
      </c>
      <c r="T1044" s="368" t="s">
        <v>362</v>
      </c>
      <c r="U1044" s="368" t="s">
        <v>867</v>
      </c>
      <c r="V1044" s="368" t="s">
        <v>867</v>
      </c>
      <c r="W1044" s="368" t="s">
        <v>1378</v>
      </c>
      <c r="X1044" s="368">
        <v>0</v>
      </c>
      <c r="Y1044" s="368">
        <v>99</v>
      </c>
      <c r="Z1044" s="368"/>
      <c r="AA1044" s="368"/>
      <c r="AB1044" s="368"/>
      <c r="AC1044" s="368"/>
      <c r="AD1044" s="368"/>
      <c r="AE1044" s="368"/>
      <c r="AF1044" s="377"/>
      <c r="AJ1044" s="337">
        <v>24</v>
      </c>
    </row>
    <row r="1045" spans="1:36">
      <c r="A1045" s="332">
        <f t="shared" si="42"/>
        <v>25</v>
      </c>
      <c r="G1045" s="349" t="s">
        <v>1469</v>
      </c>
      <c r="H1045" s="368" t="s">
        <v>1470</v>
      </c>
      <c r="I1045" s="368" t="s">
        <v>1471</v>
      </c>
      <c r="J1045" s="368" t="s">
        <v>1403</v>
      </c>
      <c r="K1045" s="368" t="s">
        <v>1471</v>
      </c>
      <c r="L1045" s="368" t="s">
        <v>1403</v>
      </c>
      <c r="M1045" s="368" t="s">
        <v>1376</v>
      </c>
      <c r="N1045" s="368" t="s">
        <v>867</v>
      </c>
      <c r="O1045" s="376">
        <v>47407</v>
      </c>
      <c r="P1045" s="368" t="s">
        <v>1385</v>
      </c>
      <c r="Q1045" s="368" t="s">
        <v>1386</v>
      </c>
      <c r="R1045" s="368" t="s">
        <v>867</v>
      </c>
      <c r="S1045" s="368" t="s">
        <v>864</v>
      </c>
      <c r="T1045" s="368" t="s">
        <v>362</v>
      </c>
      <c r="U1045" s="368" t="s">
        <v>867</v>
      </c>
      <c r="V1045" s="368" t="s">
        <v>867</v>
      </c>
      <c r="W1045" s="368" t="s">
        <v>1378</v>
      </c>
      <c r="X1045" s="368">
        <v>0</v>
      </c>
      <c r="Y1045" s="368">
        <v>99</v>
      </c>
      <c r="Z1045" s="368"/>
      <c r="AA1045" s="368"/>
      <c r="AB1045" s="368"/>
      <c r="AC1045" s="368"/>
      <c r="AD1045" s="368"/>
      <c r="AE1045" s="368"/>
      <c r="AF1045" s="377"/>
      <c r="AJ1045" s="337">
        <v>25</v>
      </c>
    </row>
    <row r="1046" spans="1:36">
      <c r="A1046" s="332">
        <f t="shared" si="42"/>
        <v>26</v>
      </c>
      <c r="G1046" s="349" t="s">
        <v>1472</v>
      </c>
      <c r="H1046" s="368" t="s">
        <v>1473</v>
      </c>
      <c r="I1046" s="368" t="s">
        <v>1474</v>
      </c>
      <c r="J1046" s="368" t="s">
        <v>1375</v>
      </c>
      <c r="K1046" s="368" t="s">
        <v>1474</v>
      </c>
      <c r="L1046" s="368" t="s">
        <v>1375</v>
      </c>
      <c r="M1046" s="368" t="s">
        <v>1376</v>
      </c>
      <c r="N1046" s="368" t="s">
        <v>867</v>
      </c>
      <c r="O1046" s="376">
        <v>32075</v>
      </c>
      <c r="P1046" s="368" t="s">
        <v>1385</v>
      </c>
      <c r="Q1046" s="368" t="s">
        <v>1386</v>
      </c>
      <c r="R1046" s="368" t="s">
        <v>867</v>
      </c>
      <c r="S1046" s="368" t="s">
        <v>864</v>
      </c>
      <c r="T1046" s="368" t="s">
        <v>362</v>
      </c>
      <c r="U1046" s="368" t="s">
        <v>867</v>
      </c>
      <c r="V1046" s="368" t="s">
        <v>867</v>
      </c>
      <c r="W1046" s="368" t="s">
        <v>1378</v>
      </c>
      <c r="X1046" s="368">
        <v>1499</v>
      </c>
      <c r="Y1046" s="368">
        <v>99</v>
      </c>
      <c r="Z1046" s="368"/>
      <c r="AA1046" s="368"/>
      <c r="AB1046" s="368"/>
      <c r="AC1046" s="368"/>
      <c r="AD1046" s="368"/>
      <c r="AE1046" s="368"/>
      <c r="AF1046" s="377"/>
      <c r="AJ1046" s="337">
        <v>26</v>
      </c>
    </row>
    <row r="1047" spans="1:36">
      <c r="A1047" s="332">
        <f t="shared" si="42"/>
        <v>27</v>
      </c>
      <c r="G1047" s="349" t="s">
        <v>1475</v>
      </c>
      <c r="H1047" s="368" t="s">
        <v>1476</v>
      </c>
      <c r="I1047" s="368" t="s">
        <v>1477</v>
      </c>
      <c r="J1047" s="368" t="s">
        <v>1403</v>
      </c>
      <c r="K1047" s="368" t="s">
        <v>1478</v>
      </c>
      <c r="L1047" s="368" t="s">
        <v>1433</v>
      </c>
      <c r="M1047" s="368" t="s">
        <v>1384</v>
      </c>
      <c r="N1047" s="368" t="s">
        <v>867</v>
      </c>
      <c r="O1047" s="376">
        <v>99834</v>
      </c>
      <c r="P1047" s="368" t="s">
        <v>1385</v>
      </c>
      <c r="Q1047" s="368" t="s">
        <v>1462</v>
      </c>
      <c r="R1047" s="368" t="s">
        <v>867</v>
      </c>
      <c r="S1047" s="368" t="s">
        <v>864</v>
      </c>
      <c r="T1047" s="368" t="s">
        <v>362</v>
      </c>
      <c r="U1047" s="368" t="s">
        <v>867</v>
      </c>
      <c r="V1047" s="368" t="s">
        <v>867</v>
      </c>
      <c r="W1047" s="368" t="s">
        <v>1378</v>
      </c>
      <c r="X1047" s="368">
        <v>1575</v>
      </c>
      <c r="Y1047" s="368">
        <v>99</v>
      </c>
      <c r="Z1047" s="368"/>
      <c r="AA1047" s="368"/>
      <c r="AB1047" s="368"/>
      <c r="AC1047" s="368"/>
      <c r="AD1047" s="368"/>
      <c r="AE1047" s="368"/>
      <c r="AF1047" s="377"/>
      <c r="AJ1047" s="337">
        <v>27</v>
      </c>
    </row>
    <row r="1048" spans="1:36">
      <c r="A1048" s="332">
        <f t="shared" si="42"/>
        <v>28</v>
      </c>
      <c r="G1048" s="349" t="s">
        <v>1479</v>
      </c>
      <c r="H1048" s="368" t="s">
        <v>1480</v>
      </c>
      <c r="I1048" s="368" t="s">
        <v>1481</v>
      </c>
      <c r="J1048" s="368" t="s">
        <v>1375</v>
      </c>
      <c r="K1048" s="368" t="s">
        <v>1481</v>
      </c>
      <c r="L1048" s="368" t="s">
        <v>1375</v>
      </c>
      <c r="M1048" s="368" t="s">
        <v>1376</v>
      </c>
      <c r="N1048" s="368" t="s">
        <v>867</v>
      </c>
      <c r="O1048" s="376">
        <v>2459</v>
      </c>
      <c r="P1048" s="368" t="s">
        <v>1385</v>
      </c>
      <c r="Q1048" s="368" t="s">
        <v>1386</v>
      </c>
      <c r="R1048" s="368" t="s">
        <v>867</v>
      </c>
      <c r="S1048" s="368" t="s">
        <v>864</v>
      </c>
      <c r="T1048" s="368" t="s">
        <v>362</v>
      </c>
      <c r="U1048" s="368" t="s">
        <v>867</v>
      </c>
      <c r="V1048" s="368" t="s">
        <v>867</v>
      </c>
      <c r="W1048" s="368" t="s">
        <v>1378</v>
      </c>
      <c r="X1048" s="368">
        <v>0</v>
      </c>
      <c r="Y1048" s="368">
        <v>99</v>
      </c>
      <c r="Z1048" s="368"/>
      <c r="AA1048" s="368"/>
      <c r="AB1048" s="368"/>
      <c r="AC1048" s="368"/>
      <c r="AD1048" s="368"/>
      <c r="AE1048" s="368"/>
      <c r="AF1048" s="377"/>
      <c r="AJ1048" s="337">
        <v>28</v>
      </c>
    </row>
    <row r="1049" spans="1:36">
      <c r="A1049" s="332">
        <f t="shared" si="42"/>
        <v>29</v>
      </c>
      <c r="G1049" s="349" t="s">
        <v>1482</v>
      </c>
      <c r="H1049" s="368" t="s">
        <v>1483</v>
      </c>
      <c r="I1049" s="368" t="s">
        <v>1484</v>
      </c>
      <c r="J1049" s="368" t="s">
        <v>1375</v>
      </c>
      <c r="K1049" s="368" t="s">
        <v>1484</v>
      </c>
      <c r="L1049" s="368" t="s">
        <v>1375</v>
      </c>
      <c r="M1049" s="368" t="s">
        <v>1376</v>
      </c>
      <c r="N1049" s="368" t="s">
        <v>867</v>
      </c>
      <c r="O1049" s="376">
        <v>96252</v>
      </c>
      <c r="P1049" s="368" t="s">
        <v>1385</v>
      </c>
      <c r="Q1049" s="368" t="s">
        <v>1443</v>
      </c>
      <c r="R1049" s="368" t="s">
        <v>867</v>
      </c>
      <c r="S1049" s="368" t="s">
        <v>864</v>
      </c>
      <c r="T1049" s="368" t="s">
        <v>362</v>
      </c>
      <c r="U1049" s="368" t="s">
        <v>867</v>
      </c>
      <c r="V1049" s="368" t="s">
        <v>867</v>
      </c>
      <c r="W1049" s="368" t="s">
        <v>1378</v>
      </c>
      <c r="X1049" s="368">
        <v>0</v>
      </c>
      <c r="Y1049" s="368">
        <v>99</v>
      </c>
      <c r="Z1049" s="368"/>
      <c r="AA1049" s="368"/>
      <c r="AB1049" s="368"/>
      <c r="AC1049" s="368"/>
      <c r="AD1049" s="368"/>
      <c r="AE1049" s="368"/>
      <c r="AF1049" s="377"/>
      <c r="AJ1049" s="337">
        <v>29</v>
      </c>
    </row>
    <row r="1050" spans="1:36">
      <c r="A1050" s="332">
        <f t="shared" si="42"/>
        <v>30</v>
      </c>
      <c r="G1050" s="349" t="s">
        <v>1485</v>
      </c>
      <c r="H1050" s="368" t="s">
        <v>1486</v>
      </c>
      <c r="I1050" s="368" t="s">
        <v>1487</v>
      </c>
      <c r="J1050" s="368" t="s">
        <v>1433</v>
      </c>
      <c r="K1050" s="368" t="s">
        <v>1402</v>
      </c>
      <c r="L1050" s="368" t="s">
        <v>1375</v>
      </c>
      <c r="M1050" s="368" t="s">
        <v>1384</v>
      </c>
      <c r="N1050" s="368" t="s">
        <v>867</v>
      </c>
      <c r="O1050" s="376">
        <v>1791</v>
      </c>
      <c r="P1050" s="368" t="s">
        <v>1385</v>
      </c>
      <c r="Q1050" s="368" t="s">
        <v>1386</v>
      </c>
      <c r="R1050" s="368" t="s">
        <v>867</v>
      </c>
      <c r="S1050" s="368" t="s">
        <v>864</v>
      </c>
      <c r="T1050" s="368" t="s">
        <v>362</v>
      </c>
      <c r="U1050" s="368" t="s">
        <v>867</v>
      </c>
      <c r="V1050" s="368" t="s">
        <v>867</v>
      </c>
      <c r="W1050" s="368" t="s">
        <v>1378</v>
      </c>
      <c r="X1050" s="368">
        <v>120</v>
      </c>
      <c r="Y1050" s="368">
        <v>99</v>
      </c>
      <c r="Z1050" s="368"/>
      <c r="AA1050" s="368"/>
      <c r="AB1050" s="368"/>
      <c r="AC1050" s="368"/>
      <c r="AD1050" s="368"/>
      <c r="AE1050" s="368"/>
      <c r="AF1050" s="377"/>
      <c r="AJ1050" s="337">
        <v>30</v>
      </c>
    </row>
    <row r="1051" spans="1:36">
      <c r="A1051" s="332">
        <f t="shared" si="42"/>
        <v>31</v>
      </c>
      <c r="G1051" s="349" t="s">
        <v>1488</v>
      </c>
      <c r="H1051" s="368" t="s">
        <v>1489</v>
      </c>
      <c r="I1051" s="368" t="s">
        <v>1490</v>
      </c>
      <c r="J1051" s="368" t="s">
        <v>1375</v>
      </c>
      <c r="K1051" s="368" t="s">
        <v>1490</v>
      </c>
      <c r="L1051" s="368" t="s">
        <v>1375</v>
      </c>
      <c r="M1051" s="368" t="s">
        <v>1376</v>
      </c>
      <c r="N1051" s="368" t="s">
        <v>867</v>
      </c>
      <c r="O1051" s="376">
        <v>83192</v>
      </c>
      <c r="P1051" s="368" t="s">
        <v>1385</v>
      </c>
      <c r="Q1051" s="368" t="s">
        <v>1386</v>
      </c>
      <c r="R1051" s="368" t="s">
        <v>867</v>
      </c>
      <c r="S1051" s="368" t="s">
        <v>864</v>
      </c>
      <c r="T1051" s="368" t="s">
        <v>362</v>
      </c>
      <c r="U1051" s="368" t="s">
        <v>867</v>
      </c>
      <c r="V1051" s="368" t="s">
        <v>867</v>
      </c>
      <c r="W1051" s="368" t="s">
        <v>1378</v>
      </c>
      <c r="X1051" s="368">
        <v>6345</v>
      </c>
      <c r="Y1051" s="368">
        <v>99</v>
      </c>
      <c r="Z1051" s="368"/>
      <c r="AA1051" s="368"/>
      <c r="AB1051" s="368"/>
      <c r="AC1051" s="368"/>
      <c r="AD1051" s="368"/>
      <c r="AE1051" s="368"/>
      <c r="AF1051" s="377"/>
      <c r="AJ1051" s="337">
        <v>31</v>
      </c>
    </row>
    <row r="1052" spans="1:36">
      <c r="A1052" s="332">
        <f t="shared" si="42"/>
        <v>32</v>
      </c>
      <c r="G1052" s="349" t="s">
        <v>1491</v>
      </c>
      <c r="H1052" s="368" t="s">
        <v>1492</v>
      </c>
      <c r="I1052" s="368" t="s">
        <v>1493</v>
      </c>
      <c r="J1052" s="368" t="s">
        <v>1375</v>
      </c>
      <c r="K1052" s="368" t="s">
        <v>1493</v>
      </c>
      <c r="L1052" s="368" t="s">
        <v>1375</v>
      </c>
      <c r="M1052" s="368" t="s">
        <v>1376</v>
      </c>
      <c r="N1052" s="368" t="s">
        <v>867</v>
      </c>
      <c r="O1052" s="376">
        <v>16669</v>
      </c>
      <c r="P1052" s="368" t="s">
        <v>1447</v>
      </c>
      <c r="Q1052" s="368" t="s">
        <v>1386</v>
      </c>
      <c r="R1052" s="368" t="s">
        <v>867</v>
      </c>
      <c r="S1052" s="368" t="s">
        <v>864</v>
      </c>
      <c r="T1052" s="368" t="s">
        <v>362</v>
      </c>
      <c r="U1052" s="368" t="s">
        <v>867</v>
      </c>
      <c r="V1052" s="368" t="s">
        <v>867</v>
      </c>
      <c r="W1052" s="368" t="s">
        <v>1378</v>
      </c>
      <c r="X1052" s="368">
        <v>300</v>
      </c>
      <c r="Y1052" s="368">
        <v>99</v>
      </c>
      <c r="Z1052" s="368"/>
      <c r="AA1052" s="368"/>
      <c r="AB1052" s="368"/>
      <c r="AC1052" s="368"/>
      <c r="AD1052" s="368"/>
      <c r="AE1052" s="368"/>
      <c r="AF1052" s="377"/>
      <c r="AJ1052" s="337">
        <v>32</v>
      </c>
    </row>
    <row r="1053" spans="1:36">
      <c r="A1053" s="332">
        <f t="shared" si="42"/>
        <v>33</v>
      </c>
      <c r="G1053" s="349" t="s">
        <v>1494</v>
      </c>
      <c r="H1053" s="368" t="s">
        <v>1495</v>
      </c>
      <c r="I1053" s="368" t="s">
        <v>1496</v>
      </c>
      <c r="J1053" s="368" t="s">
        <v>1403</v>
      </c>
      <c r="K1053" s="368" t="s">
        <v>1496</v>
      </c>
      <c r="L1053" s="368" t="s">
        <v>1403</v>
      </c>
      <c r="M1053" s="368" t="s">
        <v>1376</v>
      </c>
      <c r="N1053" s="368" t="s">
        <v>867</v>
      </c>
      <c r="O1053" s="376">
        <v>35156</v>
      </c>
      <c r="P1053" s="368" t="s">
        <v>1447</v>
      </c>
      <c r="Q1053" s="368" t="s">
        <v>1386</v>
      </c>
      <c r="R1053" s="368" t="s">
        <v>867</v>
      </c>
      <c r="S1053" s="368" t="s">
        <v>864</v>
      </c>
      <c r="T1053" s="368" t="s">
        <v>362</v>
      </c>
      <c r="U1053" s="368" t="s">
        <v>867</v>
      </c>
      <c r="V1053" s="368" t="s">
        <v>867</v>
      </c>
      <c r="W1053" s="368" t="s">
        <v>1378</v>
      </c>
      <c r="X1053" s="368">
        <v>0</v>
      </c>
      <c r="Y1053" s="368">
        <v>99</v>
      </c>
      <c r="Z1053" s="368"/>
      <c r="AA1053" s="368"/>
      <c r="AB1053" s="368"/>
      <c r="AC1053" s="368"/>
      <c r="AD1053" s="368"/>
      <c r="AE1053" s="368"/>
      <c r="AF1053" s="377"/>
      <c r="AJ1053" s="337">
        <v>33</v>
      </c>
    </row>
    <row r="1054" spans="1:36">
      <c r="A1054" s="332">
        <f t="shared" si="42"/>
        <v>34</v>
      </c>
      <c r="G1054" s="349" t="s">
        <v>1497</v>
      </c>
      <c r="H1054" s="368" t="s">
        <v>1498</v>
      </c>
      <c r="I1054" s="368" t="s">
        <v>1499</v>
      </c>
      <c r="J1054" s="368" t="s">
        <v>1442</v>
      </c>
      <c r="K1054" s="368" t="s">
        <v>1499</v>
      </c>
      <c r="L1054" s="368" t="s">
        <v>1442</v>
      </c>
      <c r="M1054" s="368" t="s">
        <v>1376</v>
      </c>
      <c r="N1054" s="368" t="s">
        <v>867</v>
      </c>
      <c r="O1054" s="376">
        <v>50886</v>
      </c>
      <c r="P1054" s="368" t="s">
        <v>1385</v>
      </c>
      <c r="Q1054" s="368" t="s">
        <v>1386</v>
      </c>
      <c r="R1054" s="368" t="s">
        <v>867</v>
      </c>
      <c r="S1054" s="368" t="s">
        <v>864</v>
      </c>
      <c r="T1054" s="368" t="s">
        <v>362</v>
      </c>
      <c r="U1054" s="368" t="s">
        <v>867</v>
      </c>
      <c r="V1054" s="368" t="s">
        <v>867</v>
      </c>
      <c r="W1054" s="368" t="s">
        <v>1378</v>
      </c>
      <c r="X1054" s="368">
        <v>0</v>
      </c>
      <c r="Y1054" s="368">
        <v>99</v>
      </c>
      <c r="Z1054" s="368"/>
      <c r="AA1054" s="368"/>
      <c r="AB1054" s="368"/>
      <c r="AC1054" s="368"/>
      <c r="AD1054" s="368"/>
      <c r="AE1054" s="368"/>
      <c r="AF1054" s="377"/>
      <c r="AJ1054" s="337">
        <v>34</v>
      </c>
    </row>
    <row r="1055" spans="1:36">
      <c r="A1055" s="332">
        <f t="shared" si="42"/>
        <v>35</v>
      </c>
      <c r="G1055" s="349" t="s">
        <v>1500</v>
      </c>
      <c r="H1055" s="368" t="s">
        <v>1501</v>
      </c>
      <c r="I1055" s="368" t="s">
        <v>1502</v>
      </c>
      <c r="J1055" s="368" t="s">
        <v>1403</v>
      </c>
      <c r="K1055" s="368" t="s">
        <v>1502</v>
      </c>
      <c r="L1055" s="368" t="s">
        <v>1403</v>
      </c>
      <c r="M1055" s="368" t="s">
        <v>1376</v>
      </c>
      <c r="N1055" s="368" t="s">
        <v>867</v>
      </c>
      <c r="O1055" s="376">
        <v>70117</v>
      </c>
      <c r="P1055" s="368" t="s">
        <v>1385</v>
      </c>
      <c r="Q1055" s="368" t="s">
        <v>1386</v>
      </c>
      <c r="R1055" s="368" t="s">
        <v>867</v>
      </c>
      <c r="S1055" s="368" t="s">
        <v>864</v>
      </c>
      <c r="T1055" s="368" t="s">
        <v>362</v>
      </c>
      <c r="U1055" s="368" t="s">
        <v>867</v>
      </c>
      <c r="V1055" s="368" t="s">
        <v>867</v>
      </c>
      <c r="W1055" s="368" t="s">
        <v>1378</v>
      </c>
      <c r="X1055" s="368">
        <v>0</v>
      </c>
      <c r="Y1055" s="368">
        <v>99</v>
      </c>
      <c r="Z1055" s="368"/>
      <c r="AA1055" s="368"/>
      <c r="AB1055" s="368"/>
      <c r="AC1055" s="368"/>
      <c r="AD1055" s="368"/>
      <c r="AE1055" s="368"/>
      <c r="AF1055" s="377"/>
      <c r="AJ1055" s="337">
        <v>35</v>
      </c>
    </row>
    <row r="1056" spans="1:36">
      <c r="A1056" s="332">
        <f t="shared" si="42"/>
        <v>36</v>
      </c>
      <c r="G1056" s="349" t="s">
        <v>1503</v>
      </c>
      <c r="H1056" s="368" t="s">
        <v>1504</v>
      </c>
      <c r="I1056" s="368" t="s">
        <v>1505</v>
      </c>
      <c r="J1056" s="368" t="s">
        <v>1382</v>
      </c>
      <c r="K1056" s="368" t="s">
        <v>1506</v>
      </c>
      <c r="L1056" s="368" t="s">
        <v>1375</v>
      </c>
      <c r="M1056" s="368" t="s">
        <v>1384</v>
      </c>
      <c r="N1056" s="368" t="s">
        <v>867</v>
      </c>
      <c r="O1056" s="376">
        <v>42678</v>
      </c>
      <c r="P1056" s="368" t="s">
        <v>1385</v>
      </c>
      <c r="Q1056" s="368" t="s">
        <v>1386</v>
      </c>
      <c r="R1056" s="368" t="s">
        <v>867</v>
      </c>
      <c r="S1056" s="368" t="s">
        <v>864</v>
      </c>
      <c r="T1056" s="368" t="s">
        <v>362</v>
      </c>
      <c r="U1056" s="368" t="s">
        <v>867</v>
      </c>
      <c r="V1056" s="368" t="s">
        <v>867</v>
      </c>
      <c r="W1056" s="368" t="s">
        <v>1378</v>
      </c>
      <c r="X1056" s="368">
        <v>0</v>
      </c>
      <c r="Y1056" s="368">
        <v>99</v>
      </c>
      <c r="Z1056" s="368"/>
      <c r="AA1056" s="368"/>
      <c r="AB1056" s="368"/>
      <c r="AC1056" s="368"/>
      <c r="AD1056" s="368"/>
      <c r="AE1056" s="368"/>
      <c r="AF1056" s="377"/>
      <c r="AJ1056" s="337">
        <v>36</v>
      </c>
    </row>
    <row r="1057" spans="1:36">
      <c r="A1057" s="332">
        <f t="shared" si="42"/>
        <v>37</v>
      </c>
      <c r="G1057" s="349" t="s">
        <v>1507</v>
      </c>
      <c r="H1057" s="368" t="s">
        <v>1508</v>
      </c>
      <c r="I1057" s="368" t="s">
        <v>1509</v>
      </c>
      <c r="J1057" s="368" t="s">
        <v>1510</v>
      </c>
      <c r="K1057" s="368" t="s">
        <v>1511</v>
      </c>
      <c r="L1057" s="368" t="s">
        <v>1399</v>
      </c>
      <c r="M1057" s="368" t="s">
        <v>1384</v>
      </c>
      <c r="N1057" s="368" t="s">
        <v>867</v>
      </c>
      <c r="O1057" s="376">
        <v>7413</v>
      </c>
      <c r="P1057" s="368" t="s">
        <v>339</v>
      </c>
      <c r="Q1057" s="368" t="s">
        <v>1386</v>
      </c>
      <c r="R1057" s="368" t="s">
        <v>867</v>
      </c>
      <c r="S1057" s="368" t="s">
        <v>864</v>
      </c>
      <c r="T1057" s="368" t="s">
        <v>362</v>
      </c>
      <c r="U1057" s="368" t="s">
        <v>867</v>
      </c>
      <c r="V1057" s="368" t="s">
        <v>867</v>
      </c>
      <c r="W1057" s="368" t="s">
        <v>1378</v>
      </c>
      <c r="X1057" s="368">
        <v>1300</v>
      </c>
      <c r="Y1057" s="368">
        <v>99</v>
      </c>
      <c r="Z1057" s="368"/>
      <c r="AA1057" s="368"/>
      <c r="AB1057" s="368"/>
      <c r="AC1057" s="368"/>
      <c r="AD1057" s="368"/>
      <c r="AE1057" s="368"/>
      <c r="AF1057" s="377"/>
      <c r="AJ1057" s="337">
        <v>37</v>
      </c>
    </row>
    <row r="1058" spans="1:36">
      <c r="A1058" s="332">
        <f t="shared" si="42"/>
        <v>38</v>
      </c>
      <c r="G1058" s="349" t="s">
        <v>1512</v>
      </c>
      <c r="H1058" s="368" t="s">
        <v>1513</v>
      </c>
      <c r="I1058" s="368" t="s">
        <v>1514</v>
      </c>
      <c r="J1058" s="368" t="s">
        <v>1375</v>
      </c>
      <c r="K1058" s="368" t="s">
        <v>1514</v>
      </c>
      <c r="L1058" s="368" t="s">
        <v>1375</v>
      </c>
      <c r="M1058" s="368" t="s">
        <v>1376</v>
      </c>
      <c r="N1058" s="368" t="s">
        <v>867</v>
      </c>
      <c r="O1058" s="376">
        <v>14906</v>
      </c>
      <c r="P1058" s="368" t="s">
        <v>1385</v>
      </c>
      <c r="Q1058" s="368" t="s">
        <v>1386</v>
      </c>
      <c r="R1058" s="368" t="s">
        <v>867</v>
      </c>
      <c r="S1058" s="368" t="s">
        <v>864</v>
      </c>
      <c r="T1058" s="368" t="s">
        <v>1387</v>
      </c>
      <c r="U1058" s="368" t="s">
        <v>867</v>
      </c>
      <c r="V1058" s="368" t="s">
        <v>867</v>
      </c>
      <c r="W1058" s="368" t="s">
        <v>1378</v>
      </c>
      <c r="X1058" s="368">
        <v>470</v>
      </c>
      <c r="Y1058" s="368">
        <v>99</v>
      </c>
      <c r="Z1058" s="368"/>
      <c r="AA1058" s="368"/>
      <c r="AB1058" s="368"/>
      <c r="AC1058" s="368"/>
      <c r="AD1058" s="368"/>
      <c r="AE1058" s="368"/>
      <c r="AF1058" s="377"/>
      <c r="AJ1058" s="337">
        <v>38</v>
      </c>
    </row>
    <row r="1059" spans="1:36">
      <c r="A1059" s="332">
        <f t="shared" si="42"/>
        <v>39</v>
      </c>
      <c r="G1059" s="349" t="s">
        <v>1515</v>
      </c>
      <c r="H1059" s="368" t="s">
        <v>1516</v>
      </c>
      <c r="I1059" s="368" t="s">
        <v>1517</v>
      </c>
      <c r="J1059" s="368" t="s">
        <v>1433</v>
      </c>
      <c r="K1059" s="368" t="s">
        <v>1518</v>
      </c>
      <c r="L1059" s="368" t="s">
        <v>1375</v>
      </c>
      <c r="M1059" s="368" t="s">
        <v>1384</v>
      </c>
      <c r="N1059" s="368" t="s">
        <v>867</v>
      </c>
      <c r="O1059" s="376">
        <v>42492</v>
      </c>
      <c r="P1059" s="368" t="s">
        <v>1385</v>
      </c>
      <c r="Q1059" s="368" t="s">
        <v>1386</v>
      </c>
      <c r="R1059" s="368" t="s">
        <v>867</v>
      </c>
      <c r="S1059" s="368" t="s">
        <v>864</v>
      </c>
      <c r="T1059" s="368" t="s">
        <v>362</v>
      </c>
      <c r="U1059" s="368" t="s">
        <v>867</v>
      </c>
      <c r="V1059" s="368" t="s">
        <v>867</v>
      </c>
      <c r="W1059" s="368" t="s">
        <v>1378</v>
      </c>
      <c r="X1059" s="368">
        <v>0</v>
      </c>
      <c r="Y1059" s="368">
        <v>99</v>
      </c>
      <c r="Z1059" s="368"/>
      <c r="AA1059" s="368"/>
      <c r="AB1059" s="368"/>
      <c r="AC1059" s="368"/>
      <c r="AD1059" s="368"/>
      <c r="AE1059" s="368"/>
      <c r="AF1059" s="377"/>
      <c r="AJ1059" s="337">
        <v>39</v>
      </c>
    </row>
    <row r="1060" spans="1:36">
      <c r="A1060" s="332">
        <f t="shared" si="42"/>
        <v>40</v>
      </c>
      <c r="G1060" s="349" t="s">
        <v>1519</v>
      </c>
      <c r="H1060" s="368" t="s">
        <v>1520</v>
      </c>
      <c r="I1060" s="368" t="s">
        <v>1521</v>
      </c>
      <c r="J1060" s="368" t="s">
        <v>1522</v>
      </c>
      <c r="K1060" s="368" t="s">
        <v>1521</v>
      </c>
      <c r="L1060" s="368" t="s">
        <v>1522</v>
      </c>
      <c r="M1060" s="368" t="s">
        <v>1376</v>
      </c>
      <c r="N1060" s="368" t="s">
        <v>867</v>
      </c>
      <c r="O1060" s="376">
        <v>29527</v>
      </c>
      <c r="P1060" s="368" t="s">
        <v>1385</v>
      </c>
      <c r="Q1060" s="368" t="s">
        <v>1386</v>
      </c>
      <c r="R1060" s="368" t="s">
        <v>867</v>
      </c>
      <c r="S1060" s="368" t="s">
        <v>864</v>
      </c>
      <c r="T1060" s="368" t="s">
        <v>362</v>
      </c>
      <c r="U1060" s="368" t="s">
        <v>867</v>
      </c>
      <c r="V1060" s="368" t="s">
        <v>867</v>
      </c>
      <c r="W1060" s="368" t="s">
        <v>1378</v>
      </c>
      <c r="X1060" s="368">
        <v>300</v>
      </c>
      <c r="Y1060" s="368">
        <v>99</v>
      </c>
      <c r="Z1060" s="368"/>
      <c r="AA1060" s="368"/>
      <c r="AB1060" s="368"/>
      <c r="AC1060" s="368"/>
      <c r="AD1060" s="368"/>
      <c r="AE1060" s="368"/>
      <c r="AF1060" s="377"/>
      <c r="AJ1060" s="337">
        <v>40</v>
      </c>
    </row>
    <row r="1061" spans="1:36">
      <c r="A1061" s="332">
        <f t="shared" si="42"/>
        <v>41</v>
      </c>
      <c r="G1061" s="349" t="s">
        <v>1523</v>
      </c>
      <c r="H1061" s="368" t="s">
        <v>1524</v>
      </c>
      <c r="I1061" s="368" t="s">
        <v>1525</v>
      </c>
      <c r="J1061" s="368" t="s">
        <v>1375</v>
      </c>
      <c r="K1061" s="368" t="s">
        <v>1525</v>
      </c>
      <c r="L1061" s="368" t="s">
        <v>1375</v>
      </c>
      <c r="M1061" s="368" t="s">
        <v>1376</v>
      </c>
      <c r="N1061" s="368" t="s">
        <v>867</v>
      </c>
      <c r="O1061" s="376">
        <v>63154</v>
      </c>
      <c r="P1061" s="368" t="s">
        <v>1385</v>
      </c>
      <c r="Q1061" s="368" t="s">
        <v>1526</v>
      </c>
      <c r="R1061" s="368" t="s">
        <v>867</v>
      </c>
      <c r="S1061" s="368" t="s">
        <v>864</v>
      </c>
      <c r="T1061" s="368" t="s">
        <v>362</v>
      </c>
      <c r="U1061" s="368" t="s">
        <v>867</v>
      </c>
      <c r="V1061" s="368" t="s">
        <v>867</v>
      </c>
      <c r="W1061" s="368" t="s">
        <v>1378</v>
      </c>
      <c r="X1061" s="368">
        <v>0</v>
      </c>
      <c r="Y1061" s="368">
        <v>99</v>
      </c>
      <c r="Z1061" s="368"/>
      <c r="AA1061" s="368"/>
      <c r="AB1061" s="368"/>
      <c r="AC1061" s="368"/>
      <c r="AD1061" s="368"/>
      <c r="AE1061" s="368"/>
      <c r="AF1061" s="377"/>
      <c r="AJ1061" s="337">
        <v>41</v>
      </c>
    </row>
    <row r="1062" spans="1:36">
      <c r="A1062" s="332">
        <f t="shared" si="42"/>
        <v>42</v>
      </c>
      <c r="G1062" s="349" t="s">
        <v>1527</v>
      </c>
      <c r="H1062" s="368" t="s">
        <v>1528</v>
      </c>
      <c r="I1062" s="368" t="s">
        <v>1529</v>
      </c>
      <c r="J1062" s="368" t="s">
        <v>1403</v>
      </c>
      <c r="K1062" s="368" t="s">
        <v>1530</v>
      </c>
      <c r="L1062" s="368" t="s">
        <v>1433</v>
      </c>
      <c r="M1062" s="368" t="s">
        <v>1384</v>
      </c>
      <c r="N1062" s="368" t="s">
        <v>867</v>
      </c>
      <c r="O1062" s="376">
        <v>24920</v>
      </c>
      <c r="P1062" s="368" t="s">
        <v>1385</v>
      </c>
      <c r="Q1062" s="368" t="s">
        <v>1462</v>
      </c>
      <c r="R1062" s="368" t="s">
        <v>867</v>
      </c>
      <c r="S1062" s="368" t="s">
        <v>864</v>
      </c>
      <c r="T1062" s="368" t="s">
        <v>362</v>
      </c>
      <c r="U1062" s="368" t="s">
        <v>867</v>
      </c>
      <c r="V1062" s="368" t="s">
        <v>867</v>
      </c>
      <c r="W1062" s="368" t="s">
        <v>1378</v>
      </c>
      <c r="X1062" s="368">
        <v>0</v>
      </c>
      <c r="Y1062" s="368">
        <v>99</v>
      </c>
      <c r="Z1062" s="368"/>
      <c r="AA1062" s="368"/>
      <c r="AB1062" s="368"/>
      <c r="AC1062" s="368"/>
      <c r="AD1062" s="368"/>
      <c r="AE1062" s="368"/>
      <c r="AF1062" s="377"/>
      <c r="AJ1062" s="337">
        <v>42</v>
      </c>
    </row>
    <row r="1063" spans="1:36">
      <c r="A1063" s="332">
        <f t="shared" si="42"/>
        <v>43</v>
      </c>
      <c r="G1063" s="349" t="s">
        <v>1531</v>
      </c>
      <c r="H1063" s="368" t="s">
        <v>1532</v>
      </c>
      <c r="I1063" s="368" t="s">
        <v>1517</v>
      </c>
      <c r="J1063" s="368" t="s">
        <v>1433</v>
      </c>
      <c r="K1063" s="368" t="s">
        <v>1533</v>
      </c>
      <c r="L1063" s="368" t="s">
        <v>1433</v>
      </c>
      <c r="M1063" s="368" t="s">
        <v>1384</v>
      </c>
      <c r="N1063" s="368" t="s">
        <v>867</v>
      </c>
      <c r="O1063" s="376">
        <v>18862</v>
      </c>
      <c r="P1063" s="368" t="s">
        <v>339</v>
      </c>
      <c r="Q1063" s="368" t="s">
        <v>1443</v>
      </c>
      <c r="R1063" s="368" t="s">
        <v>867</v>
      </c>
      <c r="S1063" s="368" t="s">
        <v>864</v>
      </c>
      <c r="T1063" s="368" t="s">
        <v>362</v>
      </c>
      <c r="U1063" s="368" t="s">
        <v>867</v>
      </c>
      <c r="V1063" s="368" t="s">
        <v>867</v>
      </c>
      <c r="W1063" s="368" t="s">
        <v>1378</v>
      </c>
      <c r="X1063" s="368">
        <v>0</v>
      </c>
      <c r="Y1063" s="368">
        <v>99</v>
      </c>
      <c r="Z1063" s="368"/>
      <c r="AA1063" s="368"/>
      <c r="AB1063" s="368"/>
      <c r="AC1063" s="368"/>
      <c r="AD1063" s="368"/>
      <c r="AE1063" s="368"/>
      <c r="AF1063" s="377"/>
      <c r="AJ1063" s="337">
        <v>43</v>
      </c>
    </row>
    <row r="1064" spans="1:36">
      <c r="A1064" s="332">
        <f t="shared" si="42"/>
        <v>44</v>
      </c>
      <c r="G1064" s="349" t="s">
        <v>1534</v>
      </c>
      <c r="H1064" s="368" t="s">
        <v>1535</v>
      </c>
      <c r="I1064" s="368" t="s">
        <v>1536</v>
      </c>
      <c r="J1064" s="368" t="s">
        <v>1382</v>
      </c>
      <c r="K1064" s="368" t="s">
        <v>1537</v>
      </c>
      <c r="L1064" s="368" t="s">
        <v>1375</v>
      </c>
      <c r="M1064" s="368" t="s">
        <v>1376</v>
      </c>
      <c r="N1064" s="368" t="s">
        <v>867</v>
      </c>
      <c r="O1064" s="376">
        <v>58439</v>
      </c>
      <c r="P1064" s="368" t="s">
        <v>1385</v>
      </c>
      <c r="Q1064" s="368" t="s">
        <v>1443</v>
      </c>
      <c r="R1064" s="368" t="s">
        <v>867</v>
      </c>
      <c r="S1064" s="368" t="s">
        <v>864</v>
      </c>
      <c r="T1064" s="368" t="s">
        <v>362</v>
      </c>
      <c r="U1064" s="368" t="s">
        <v>867</v>
      </c>
      <c r="V1064" s="368" t="s">
        <v>867</v>
      </c>
      <c r="W1064" s="368" t="s">
        <v>1378</v>
      </c>
      <c r="X1064" s="368">
        <v>0</v>
      </c>
      <c r="Y1064" s="368">
        <v>99</v>
      </c>
      <c r="Z1064" s="368"/>
      <c r="AA1064" s="368"/>
      <c r="AB1064" s="368"/>
      <c r="AC1064" s="368"/>
      <c r="AD1064" s="368"/>
      <c r="AE1064" s="368"/>
      <c r="AF1064" s="377"/>
      <c r="AJ1064" s="337">
        <v>44</v>
      </c>
    </row>
    <row r="1065" spans="1:36">
      <c r="A1065" s="332">
        <f t="shared" si="42"/>
        <v>45</v>
      </c>
      <c r="G1065" s="349" t="s">
        <v>1538</v>
      </c>
      <c r="H1065" s="368" t="s">
        <v>1539</v>
      </c>
      <c r="I1065" s="368" t="s">
        <v>1540</v>
      </c>
      <c r="J1065" s="368" t="s">
        <v>1375</v>
      </c>
      <c r="K1065" s="368" t="s">
        <v>1540</v>
      </c>
      <c r="L1065" s="368" t="s">
        <v>1375</v>
      </c>
      <c r="M1065" s="368" t="s">
        <v>1376</v>
      </c>
      <c r="N1065" s="368" t="s">
        <v>867</v>
      </c>
      <c r="O1065" s="376">
        <v>56303</v>
      </c>
      <c r="P1065" s="368" t="s">
        <v>1385</v>
      </c>
      <c r="Q1065" s="368" t="s">
        <v>1386</v>
      </c>
      <c r="R1065" s="368" t="s">
        <v>867</v>
      </c>
      <c r="S1065" s="368" t="s">
        <v>864</v>
      </c>
      <c r="T1065" s="368" t="s">
        <v>362</v>
      </c>
      <c r="U1065" s="368" t="s">
        <v>867</v>
      </c>
      <c r="V1065" s="368" t="s">
        <v>867</v>
      </c>
      <c r="W1065" s="368" t="s">
        <v>1378</v>
      </c>
      <c r="X1065" s="368">
        <v>450</v>
      </c>
      <c r="Y1065" s="368">
        <v>99</v>
      </c>
      <c r="Z1065" s="368"/>
      <c r="AA1065" s="368"/>
      <c r="AB1065" s="368"/>
      <c r="AC1065" s="368"/>
      <c r="AD1065" s="368"/>
      <c r="AE1065" s="368"/>
      <c r="AF1065" s="377"/>
      <c r="AJ1065" s="337">
        <v>45</v>
      </c>
    </row>
    <row r="1066" spans="1:36">
      <c r="A1066" s="332">
        <f t="shared" si="42"/>
        <v>46</v>
      </c>
      <c r="G1066" s="349" t="s">
        <v>1541</v>
      </c>
      <c r="H1066" s="368" t="s">
        <v>1542</v>
      </c>
      <c r="I1066" s="368" t="s">
        <v>1543</v>
      </c>
      <c r="J1066" s="368" t="s">
        <v>1433</v>
      </c>
      <c r="K1066" s="368" t="s">
        <v>1543</v>
      </c>
      <c r="L1066" s="368" t="s">
        <v>1433</v>
      </c>
      <c r="M1066" s="368" t="s">
        <v>1376</v>
      </c>
      <c r="N1066" s="368" t="s">
        <v>867</v>
      </c>
      <c r="O1066" s="376">
        <v>86183</v>
      </c>
      <c r="P1066" s="368" t="s">
        <v>1385</v>
      </c>
      <c r="Q1066" s="368" t="s">
        <v>1443</v>
      </c>
      <c r="R1066" s="368" t="s">
        <v>867</v>
      </c>
      <c r="S1066" s="368" t="s">
        <v>864</v>
      </c>
      <c r="T1066" s="368" t="s">
        <v>362</v>
      </c>
      <c r="U1066" s="368" t="s">
        <v>867</v>
      </c>
      <c r="V1066" s="368" t="s">
        <v>867</v>
      </c>
      <c r="W1066" s="368" t="s">
        <v>1378</v>
      </c>
      <c r="X1066" s="368">
        <v>0</v>
      </c>
      <c r="Y1066" s="368">
        <v>99</v>
      </c>
      <c r="Z1066" s="368"/>
      <c r="AA1066" s="368"/>
      <c r="AB1066" s="368"/>
      <c r="AC1066" s="368"/>
      <c r="AD1066" s="368"/>
      <c r="AE1066" s="368"/>
      <c r="AF1066" s="377"/>
      <c r="AJ1066" s="337">
        <v>46</v>
      </c>
    </row>
    <row r="1067" spans="1:36">
      <c r="A1067" s="332">
        <f t="shared" si="42"/>
        <v>47</v>
      </c>
      <c r="G1067" s="349" t="s">
        <v>1544</v>
      </c>
      <c r="H1067" s="368" t="s">
        <v>1545</v>
      </c>
      <c r="I1067" s="368" t="s">
        <v>1546</v>
      </c>
      <c r="J1067" s="368" t="s">
        <v>1399</v>
      </c>
      <c r="K1067" s="368" t="s">
        <v>1546</v>
      </c>
      <c r="L1067" s="368" t="s">
        <v>1399</v>
      </c>
      <c r="M1067" s="368" t="s">
        <v>1376</v>
      </c>
      <c r="N1067" s="368" t="s">
        <v>867</v>
      </c>
      <c r="O1067" s="376">
        <v>84752</v>
      </c>
      <c r="P1067" s="368" t="s">
        <v>1385</v>
      </c>
      <c r="Q1067" s="368" t="s">
        <v>1462</v>
      </c>
      <c r="R1067" s="368" t="s">
        <v>867</v>
      </c>
      <c r="S1067" s="368" t="s">
        <v>864</v>
      </c>
      <c r="T1067" s="368" t="s">
        <v>362</v>
      </c>
      <c r="U1067" s="368" t="s">
        <v>867</v>
      </c>
      <c r="V1067" s="368" t="s">
        <v>867</v>
      </c>
      <c r="W1067" s="368" t="s">
        <v>1378</v>
      </c>
      <c r="X1067" s="368">
        <v>0</v>
      </c>
      <c r="Y1067" s="368">
        <v>99</v>
      </c>
      <c r="Z1067" s="368"/>
      <c r="AA1067" s="368"/>
      <c r="AB1067" s="368"/>
      <c r="AC1067" s="368"/>
      <c r="AD1067" s="368"/>
      <c r="AE1067" s="368"/>
      <c r="AF1067" s="377"/>
      <c r="AJ1067" s="337">
        <v>47</v>
      </c>
    </row>
    <row r="1068" spans="1:36">
      <c r="A1068" s="332">
        <f t="shared" si="42"/>
        <v>48</v>
      </c>
      <c r="G1068" s="349" t="s">
        <v>1547</v>
      </c>
      <c r="H1068" s="368" t="s">
        <v>1548</v>
      </c>
      <c r="I1068" s="368" t="s">
        <v>1549</v>
      </c>
      <c r="J1068" s="368" t="s">
        <v>1375</v>
      </c>
      <c r="K1068" s="368" t="s">
        <v>1549</v>
      </c>
      <c r="L1068" s="368" t="s">
        <v>1375</v>
      </c>
      <c r="M1068" s="368" t="s">
        <v>1376</v>
      </c>
      <c r="N1068" s="368" t="s">
        <v>867</v>
      </c>
      <c r="O1068" s="376">
        <v>18123</v>
      </c>
      <c r="P1068" s="368" t="s">
        <v>1385</v>
      </c>
      <c r="Q1068" s="368" t="s">
        <v>1386</v>
      </c>
      <c r="R1068" s="368" t="s">
        <v>867</v>
      </c>
      <c r="S1068" s="368" t="s">
        <v>864</v>
      </c>
      <c r="T1068" s="368" t="s">
        <v>362</v>
      </c>
      <c r="U1068" s="368" t="s">
        <v>867</v>
      </c>
      <c r="V1068" s="368" t="s">
        <v>867</v>
      </c>
      <c r="W1068" s="368" t="s">
        <v>1378</v>
      </c>
      <c r="X1068" s="368">
        <v>5250</v>
      </c>
      <c r="Y1068" s="368">
        <v>99</v>
      </c>
      <c r="Z1068" s="368"/>
      <c r="AA1068" s="368"/>
      <c r="AB1068" s="368"/>
      <c r="AC1068" s="368"/>
      <c r="AD1068" s="368"/>
      <c r="AE1068" s="368"/>
      <c r="AF1068" s="377"/>
      <c r="AJ1068" s="337">
        <v>48</v>
      </c>
    </row>
    <row r="1069" spans="1:36">
      <c r="A1069" s="332">
        <f t="shared" si="42"/>
        <v>49</v>
      </c>
      <c r="G1069" s="349" t="s">
        <v>1550</v>
      </c>
      <c r="H1069" s="368" t="s">
        <v>1551</v>
      </c>
      <c r="I1069" s="368" t="s">
        <v>1552</v>
      </c>
      <c r="J1069" s="368" t="s">
        <v>1375</v>
      </c>
      <c r="K1069" s="368" t="s">
        <v>1552</v>
      </c>
      <c r="L1069" s="368" t="s">
        <v>1375</v>
      </c>
      <c r="M1069" s="368" t="s">
        <v>1376</v>
      </c>
      <c r="N1069" s="368" t="s">
        <v>867</v>
      </c>
      <c r="O1069" s="376">
        <v>99123</v>
      </c>
      <c r="P1069" s="368" t="s">
        <v>1385</v>
      </c>
      <c r="Q1069" s="368" t="s">
        <v>1553</v>
      </c>
      <c r="R1069" s="368" t="s">
        <v>867</v>
      </c>
      <c r="S1069" s="368" t="s">
        <v>864</v>
      </c>
      <c r="T1069" s="368" t="s">
        <v>1387</v>
      </c>
      <c r="U1069" s="368" t="s">
        <v>867</v>
      </c>
      <c r="V1069" s="368" t="s">
        <v>867</v>
      </c>
      <c r="W1069" s="368" t="s">
        <v>1378</v>
      </c>
      <c r="X1069" s="368">
        <v>1000</v>
      </c>
      <c r="Y1069" s="368">
        <v>99</v>
      </c>
      <c r="Z1069" s="368"/>
      <c r="AA1069" s="368"/>
      <c r="AB1069" s="368"/>
      <c r="AC1069" s="368"/>
      <c r="AD1069" s="368"/>
      <c r="AE1069" s="368"/>
      <c r="AF1069" s="377"/>
      <c r="AJ1069" s="337">
        <v>49</v>
      </c>
    </row>
    <row r="1070" spans="1:36">
      <c r="A1070" s="332">
        <f t="shared" si="42"/>
        <v>50</v>
      </c>
      <c r="G1070" s="349" t="s">
        <v>1554</v>
      </c>
      <c r="H1070" s="368" t="s">
        <v>1555</v>
      </c>
      <c r="I1070" s="368" t="s">
        <v>1556</v>
      </c>
      <c r="J1070" s="368" t="s">
        <v>1382</v>
      </c>
      <c r="K1070" s="368" t="s">
        <v>1557</v>
      </c>
      <c r="L1070" s="368" t="s">
        <v>1375</v>
      </c>
      <c r="M1070" s="368" t="s">
        <v>1384</v>
      </c>
      <c r="N1070" s="368" t="s">
        <v>867</v>
      </c>
      <c r="O1070" s="376">
        <v>222</v>
      </c>
      <c r="P1070" s="368" t="s">
        <v>1385</v>
      </c>
      <c r="Q1070" s="368" t="s">
        <v>1386</v>
      </c>
      <c r="R1070" s="368" t="s">
        <v>867</v>
      </c>
      <c r="S1070" s="368" t="s">
        <v>864</v>
      </c>
      <c r="T1070" s="368" t="s">
        <v>362</v>
      </c>
      <c r="U1070" s="368" t="s">
        <v>867</v>
      </c>
      <c r="V1070" s="368" t="s">
        <v>867</v>
      </c>
      <c r="W1070" s="368" t="s">
        <v>1378</v>
      </c>
      <c r="X1070" s="368">
        <v>600</v>
      </c>
      <c r="Y1070" s="368">
        <v>99</v>
      </c>
      <c r="Z1070" s="368"/>
      <c r="AA1070" s="368"/>
      <c r="AB1070" s="368"/>
      <c r="AC1070" s="368"/>
      <c r="AD1070" s="368"/>
      <c r="AE1070" s="368"/>
      <c r="AF1070" s="377"/>
      <c r="AJ1070" s="337">
        <v>50</v>
      </c>
    </row>
    <row r="1071" spans="1:36">
      <c r="A1071" s="332">
        <f t="shared" si="42"/>
        <v>51</v>
      </c>
      <c r="G1071" s="349" t="s">
        <v>1558</v>
      </c>
      <c r="H1071" s="368" t="s">
        <v>1559</v>
      </c>
      <c r="I1071" s="368" t="s">
        <v>1560</v>
      </c>
      <c r="J1071" s="368" t="s">
        <v>1433</v>
      </c>
      <c r="K1071" s="368" t="s">
        <v>1560</v>
      </c>
      <c r="L1071" s="368" t="s">
        <v>1433</v>
      </c>
      <c r="M1071" s="368" t="s">
        <v>1376</v>
      </c>
      <c r="N1071" s="368" t="s">
        <v>867</v>
      </c>
      <c r="O1071" s="376">
        <v>38340</v>
      </c>
      <c r="P1071" s="368" t="s">
        <v>339</v>
      </c>
      <c r="Q1071" s="368" t="s">
        <v>1386</v>
      </c>
      <c r="R1071" s="368" t="s">
        <v>867</v>
      </c>
      <c r="S1071" s="368" t="s">
        <v>864</v>
      </c>
      <c r="T1071" s="368" t="s">
        <v>362</v>
      </c>
      <c r="U1071" s="368" t="s">
        <v>867</v>
      </c>
      <c r="V1071" s="368" t="s">
        <v>867</v>
      </c>
      <c r="W1071" s="368" t="s">
        <v>1378</v>
      </c>
      <c r="X1071" s="368">
        <v>2300</v>
      </c>
      <c r="Y1071" s="368">
        <v>99</v>
      </c>
      <c r="Z1071" s="368"/>
      <c r="AA1071" s="368"/>
      <c r="AB1071" s="368"/>
      <c r="AC1071" s="368"/>
      <c r="AD1071" s="368"/>
      <c r="AE1071" s="368"/>
      <c r="AF1071" s="377"/>
      <c r="AJ1071" s="337">
        <v>51</v>
      </c>
    </row>
    <row r="1072" spans="1:36">
      <c r="A1072" s="332">
        <f t="shared" si="42"/>
        <v>52</v>
      </c>
      <c r="G1072" s="349" t="s">
        <v>1561</v>
      </c>
      <c r="H1072" s="368" t="s">
        <v>1562</v>
      </c>
      <c r="I1072" s="368" t="s">
        <v>1563</v>
      </c>
      <c r="J1072" s="368" t="s">
        <v>1403</v>
      </c>
      <c r="K1072" s="368" t="s">
        <v>1563</v>
      </c>
      <c r="L1072" s="368" t="s">
        <v>1403</v>
      </c>
      <c r="M1072" s="368" t="s">
        <v>1376</v>
      </c>
      <c r="N1072" s="368" t="s">
        <v>867</v>
      </c>
      <c r="O1072" s="376">
        <v>48915</v>
      </c>
      <c r="P1072" s="368" t="s">
        <v>1385</v>
      </c>
      <c r="Q1072" s="368" t="s">
        <v>1386</v>
      </c>
      <c r="R1072" s="368" t="s">
        <v>867</v>
      </c>
      <c r="S1072" s="368" t="s">
        <v>864</v>
      </c>
      <c r="T1072" s="368" t="s">
        <v>1387</v>
      </c>
      <c r="U1072" s="368" t="s">
        <v>867</v>
      </c>
      <c r="V1072" s="368" t="s">
        <v>867</v>
      </c>
      <c r="W1072" s="368" t="s">
        <v>1378</v>
      </c>
      <c r="X1072" s="368">
        <v>4670</v>
      </c>
      <c r="Y1072" s="368">
        <v>99</v>
      </c>
      <c r="Z1072" s="368"/>
      <c r="AA1072" s="368"/>
      <c r="AB1072" s="368"/>
      <c r="AC1072" s="368"/>
      <c r="AD1072" s="368"/>
      <c r="AE1072" s="368"/>
      <c r="AF1072" s="377"/>
      <c r="AJ1072" s="337">
        <v>52</v>
      </c>
    </row>
    <row r="1073" spans="1:36">
      <c r="A1073" s="332">
        <f t="shared" si="42"/>
        <v>53</v>
      </c>
      <c r="G1073" s="349" t="s">
        <v>1564</v>
      </c>
      <c r="H1073" s="368" t="s">
        <v>1565</v>
      </c>
      <c r="I1073" s="368" t="s">
        <v>1566</v>
      </c>
      <c r="J1073" s="368" t="s">
        <v>1442</v>
      </c>
      <c r="K1073" s="368" t="s">
        <v>1566</v>
      </c>
      <c r="L1073" s="368" t="s">
        <v>1442</v>
      </c>
      <c r="M1073" s="368" t="s">
        <v>1376</v>
      </c>
      <c r="N1073" s="368" t="s">
        <v>867</v>
      </c>
      <c r="O1073" s="376">
        <v>39846</v>
      </c>
      <c r="P1073" s="368" t="s">
        <v>1447</v>
      </c>
      <c r="Q1073" s="368" t="s">
        <v>1443</v>
      </c>
      <c r="R1073" s="368" t="s">
        <v>867</v>
      </c>
      <c r="S1073" s="368" t="s">
        <v>864</v>
      </c>
      <c r="T1073" s="368" t="s">
        <v>1387</v>
      </c>
      <c r="U1073" s="368" t="s">
        <v>867</v>
      </c>
      <c r="V1073" s="368" t="s">
        <v>867</v>
      </c>
      <c r="W1073" s="368" t="s">
        <v>1378</v>
      </c>
      <c r="X1073" s="368">
        <v>0</v>
      </c>
      <c r="Y1073" s="368">
        <v>99</v>
      </c>
      <c r="Z1073" s="368"/>
      <c r="AA1073" s="368"/>
      <c r="AB1073" s="368"/>
      <c r="AC1073" s="368"/>
      <c r="AD1073" s="368"/>
      <c r="AE1073" s="368"/>
      <c r="AF1073" s="377"/>
      <c r="AJ1073" s="337">
        <v>53</v>
      </c>
    </row>
    <row r="1074" spans="1:36">
      <c r="A1074" s="332">
        <f t="shared" si="42"/>
        <v>54</v>
      </c>
      <c r="G1074" s="349" t="s">
        <v>1567</v>
      </c>
      <c r="H1074" s="368" t="s">
        <v>1568</v>
      </c>
      <c r="I1074" s="368" t="s">
        <v>1402</v>
      </c>
      <c r="J1074" s="368" t="s">
        <v>1375</v>
      </c>
      <c r="K1074" s="368" t="s">
        <v>1402</v>
      </c>
      <c r="L1074" s="368" t="s">
        <v>1375</v>
      </c>
      <c r="M1074" s="368" t="s">
        <v>1376</v>
      </c>
      <c r="N1074" s="368" t="s">
        <v>867</v>
      </c>
      <c r="O1074" s="376">
        <v>10959</v>
      </c>
      <c r="P1074" s="368" t="s">
        <v>1385</v>
      </c>
      <c r="Q1074" s="368" t="s">
        <v>1386</v>
      </c>
      <c r="R1074" s="368" t="s">
        <v>867</v>
      </c>
      <c r="S1074" s="368" t="s">
        <v>864</v>
      </c>
      <c r="T1074" s="368" t="s">
        <v>362</v>
      </c>
      <c r="U1074" s="368" t="s">
        <v>867</v>
      </c>
      <c r="V1074" s="368" t="s">
        <v>867</v>
      </c>
      <c r="W1074" s="368" t="s">
        <v>1378</v>
      </c>
      <c r="X1074" s="368">
        <v>0</v>
      </c>
      <c r="Y1074" s="368">
        <v>99</v>
      </c>
      <c r="Z1074" s="368"/>
      <c r="AA1074" s="368"/>
      <c r="AB1074" s="368"/>
      <c r="AC1074" s="368"/>
      <c r="AD1074" s="368"/>
      <c r="AE1074" s="368"/>
      <c r="AF1074" s="377"/>
      <c r="AJ1074" s="337">
        <v>54</v>
      </c>
    </row>
    <row r="1075" spans="1:36">
      <c r="A1075" s="332">
        <f t="shared" si="42"/>
        <v>55</v>
      </c>
      <c r="G1075" s="349" t="s">
        <v>1569</v>
      </c>
      <c r="H1075" s="368" t="s">
        <v>1570</v>
      </c>
      <c r="I1075" s="368" t="s">
        <v>1571</v>
      </c>
      <c r="J1075" s="368" t="s">
        <v>1375</v>
      </c>
      <c r="K1075" s="368" t="s">
        <v>1571</v>
      </c>
      <c r="L1075" s="368" t="s">
        <v>1375</v>
      </c>
      <c r="M1075" s="368" t="s">
        <v>1376</v>
      </c>
      <c r="N1075" s="368" t="s">
        <v>867</v>
      </c>
      <c r="O1075" s="376">
        <v>93734</v>
      </c>
      <c r="P1075" s="368" t="s">
        <v>1385</v>
      </c>
      <c r="Q1075" s="368" t="s">
        <v>1386</v>
      </c>
      <c r="R1075" s="368" t="s">
        <v>867</v>
      </c>
      <c r="S1075" s="368" t="s">
        <v>864</v>
      </c>
      <c r="T1075" s="368" t="s">
        <v>362</v>
      </c>
      <c r="U1075" s="368" t="s">
        <v>867</v>
      </c>
      <c r="V1075" s="368" t="s">
        <v>867</v>
      </c>
      <c r="W1075" s="368" t="s">
        <v>1378</v>
      </c>
      <c r="X1075" s="368">
        <v>0</v>
      </c>
      <c r="Y1075" s="368">
        <v>99</v>
      </c>
      <c r="Z1075" s="368"/>
      <c r="AA1075" s="368"/>
      <c r="AB1075" s="368"/>
      <c r="AC1075" s="368"/>
      <c r="AD1075" s="368"/>
      <c r="AE1075" s="368"/>
      <c r="AF1075" s="377"/>
      <c r="AJ1075" s="337">
        <v>55</v>
      </c>
    </row>
    <row r="1076" spans="1:36">
      <c r="A1076" s="332">
        <f t="shared" si="42"/>
        <v>56</v>
      </c>
      <c r="G1076" s="349" t="s">
        <v>1572</v>
      </c>
      <c r="H1076" s="368" t="s">
        <v>1573</v>
      </c>
      <c r="I1076" s="368" t="s">
        <v>1574</v>
      </c>
      <c r="J1076" s="368" t="s">
        <v>1375</v>
      </c>
      <c r="K1076" s="368" t="s">
        <v>1574</v>
      </c>
      <c r="L1076" s="368" t="s">
        <v>1375</v>
      </c>
      <c r="M1076" s="368" t="s">
        <v>1376</v>
      </c>
      <c r="N1076" s="368" t="s">
        <v>867</v>
      </c>
      <c r="O1076" s="376">
        <v>58408</v>
      </c>
      <c r="P1076" s="368" t="s">
        <v>339</v>
      </c>
      <c r="Q1076" s="368" t="s">
        <v>1386</v>
      </c>
      <c r="R1076" s="368" t="s">
        <v>867</v>
      </c>
      <c r="S1076" s="368" t="s">
        <v>864</v>
      </c>
      <c r="T1076" s="368" t="s">
        <v>1387</v>
      </c>
      <c r="U1076" s="368" t="s">
        <v>867</v>
      </c>
      <c r="V1076" s="368" t="s">
        <v>867</v>
      </c>
      <c r="W1076" s="368" t="s">
        <v>1378</v>
      </c>
      <c r="X1076" s="368">
        <v>700</v>
      </c>
      <c r="Y1076" s="368">
        <v>99</v>
      </c>
      <c r="Z1076" s="368"/>
      <c r="AA1076" s="368"/>
      <c r="AB1076" s="368"/>
      <c r="AC1076" s="368"/>
      <c r="AD1076" s="368"/>
      <c r="AE1076" s="368"/>
      <c r="AF1076" s="377"/>
      <c r="AJ1076" s="337">
        <v>56</v>
      </c>
    </row>
    <row r="1077" spans="1:36">
      <c r="A1077" s="332">
        <f t="shared" si="42"/>
        <v>57</v>
      </c>
      <c r="G1077" s="349" t="s">
        <v>1575</v>
      </c>
      <c r="H1077" s="368" t="s">
        <v>1576</v>
      </c>
      <c r="I1077" s="368" t="s">
        <v>1417</v>
      </c>
      <c r="J1077" s="368" t="s">
        <v>1375</v>
      </c>
      <c r="K1077" s="368" t="s">
        <v>1417</v>
      </c>
      <c r="L1077" s="368" t="s">
        <v>1375</v>
      </c>
      <c r="M1077" s="368" t="s">
        <v>1384</v>
      </c>
      <c r="N1077" s="368" t="s">
        <v>867</v>
      </c>
      <c r="O1077" s="376">
        <v>96213</v>
      </c>
      <c r="P1077" s="368" t="s">
        <v>1385</v>
      </c>
      <c r="Q1077" s="368" t="s">
        <v>1386</v>
      </c>
      <c r="R1077" s="368" t="s">
        <v>867</v>
      </c>
      <c r="S1077" s="368" t="s">
        <v>864</v>
      </c>
      <c r="T1077" s="368" t="s">
        <v>362</v>
      </c>
      <c r="U1077" s="368" t="s">
        <v>867</v>
      </c>
      <c r="V1077" s="368" t="s">
        <v>867</v>
      </c>
      <c r="W1077" s="368" t="s">
        <v>1378</v>
      </c>
      <c r="X1077" s="368">
        <v>3000</v>
      </c>
      <c r="Y1077" s="368">
        <v>99</v>
      </c>
      <c r="Z1077" s="368"/>
      <c r="AA1077" s="368"/>
      <c r="AB1077" s="368"/>
      <c r="AC1077" s="368"/>
      <c r="AD1077" s="368"/>
      <c r="AE1077" s="368"/>
      <c r="AF1077" s="377"/>
      <c r="AJ1077" s="337">
        <v>57</v>
      </c>
    </row>
    <row r="1078" spans="1:36">
      <c r="A1078" s="332">
        <f t="shared" si="42"/>
        <v>58</v>
      </c>
      <c r="G1078" s="349" t="s">
        <v>1577</v>
      </c>
      <c r="H1078" s="368" t="s">
        <v>1578</v>
      </c>
      <c r="I1078" s="368" t="s">
        <v>1579</v>
      </c>
      <c r="J1078" s="368" t="s">
        <v>1433</v>
      </c>
      <c r="K1078" s="368" t="s">
        <v>1579</v>
      </c>
      <c r="L1078" s="368" t="s">
        <v>1433</v>
      </c>
      <c r="M1078" s="368" t="s">
        <v>1376</v>
      </c>
      <c r="N1078" s="368" t="s">
        <v>864</v>
      </c>
      <c r="O1078" s="376">
        <v>26935</v>
      </c>
      <c r="P1078" s="368" t="s">
        <v>1385</v>
      </c>
      <c r="Q1078" s="368" t="s">
        <v>1386</v>
      </c>
      <c r="R1078" s="368" t="s">
        <v>867</v>
      </c>
      <c r="S1078" s="368" t="s">
        <v>864</v>
      </c>
      <c r="T1078" s="368" t="s">
        <v>362</v>
      </c>
      <c r="U1078" s="368" t="s">
        <v>867</v>
      </c>
      <c r="V1078" s="368" t="s">
        <v>867</v>
      </c>
      <c r="W1078" s="368" t="s">
        <v>1378</v>
      </c>
      <c r="X1078" s="368">
        <v>3120</v>
      </c>
      <c r="Y1078" s="368">
        <v>99</v>
      </c>
      <c r="Z1078" s="368"/>
      <c r="AA1078" s="368"/>
      <c r="AB1078" s="368"/>
      <c r="AC1078" s="368"/>
      <c r="AD1078" s="368"/>
      <c r="AE1078" s="368"/>
      <c r="AF1078" s="377"/>
      <c r="AJ1078" s="337">
        <v>58</v>
      </c>
    </row>
    <row r="1079" spans="1:36">
      <c r="A1079" s="332">
        <f t="shared" si="42"/>
        <v>59</v>
      </c>
      <c r="G1079" s="349" t="s">
        <v>1580</v>
      </c>
      <c r="H1079" s="368" t="s">
        <v>1581</v>
      </c>
      <c r="I1079" s="368" t="s">
        <v>1582</v>
      </c>
      <c r="J1079" s="368" t="s">
        <v>1399</v>
      </c>
      <c r="K1079" s="368" t="s">
        <v>1582</v>
      </c>
      <c r="L1079" s="368" t="s">
        <v>1399</v>
      </c>
      <c r="M1079" s="368" t="s">
        <v>1376</v>
      </c>
      <c r="N1079" s="368" t="s">
        <v>867</v>
      </c>
      <c r="O1079" s="376">
        <v>87857</v>
      </c>
      <c r="P1079" s="368" t="s">
        <v>1385</v>
      </c>
      <c r="Q1079" s="368" t="s">
        <v>1443</v>
      </c>
      <c r="R1079" s="368" t="s">
        <v>867</v>
      </c>
      <c r="S1079" s="368" t="s">
        <v>864</v>
      </c>
      <c r="T1079" s="368" t="s">
        <v>362</v>
      </c>
      <c r="U1079" s="368" t="s">
        <v>867</v>
      </c>
      <c r="V1079" s="368" t="s">
        <v>867</v>
      </c>
      <c r="W1079" s="368" t="s">
        <v>1378</v>
      </c>
      <c r="X1079" s="368">
        <v>0</v>
      </c>
      <c r="Y1079" s="368">
        <v>99</v>
      </c>
      <c r="Z1079" s="368"/>
      <c r="AA1079" s="368"/>
      <c r="AB1079" s="368"/>
      <c r="AC1079" s="368"/>
      <c r="AD1079" s="368"/>
      <c r="AE1079" s="368"/>
      <c r="AF1079" s="377"/>
      <c r="AJ1079" s="337">
        <v>59</v>
      </c>
    </row>
    <row r="1080" spans="1:36">
      <c r="A1080" s="332">
        <f t="shared" si="42"/>
        <v>60</v>
      </c>
      <c r="G1080" s="349" t="s">
        <v>1583</v>
      </c>
      <c r="H1080" s="368" t="s">
        <v>1584</v>
      </c>
      <c r="I1080" s="368" t="s">
        <v>1585</v>
      </c>
      <c r="J1080" s="368" t="s">
        <v>1375</v>
      </c>
      <c r="K1080" s="368" t="s">
        <v>1585</v>
      </c>
      <c r="L1080" s="368" t="s">
        <v>1375</v>
      </c>
      <c r="M1080" s="368" t="s">
        <v>1376</v>
      </c>
      <c r="N1080" s="368" t="s">
        <v>867</v>
      </c>
      <c r="O1080" s="376">
        <v>12707</v>
      </c>
      <c r="P1080" s="368" t="s">
        <v>1447</v>
      </c>
      <c r="Q1080" s="368" t="s">
        <v>1386</v>
      </c>
      <c r="R1080" s="368" t="s">
        <v>867</v>
      </c>
      <c r="S1080" s="368" t="s">
        <v>864</v>
      </c>
      <c r="T1080" s="368" t="s">
        <v>1387</v>
      </c>
      <c r="U1080" s="368" t="s">
        <v>867</v>
      </c>
      <c r="V1080" s="368" t="s">
        <v>867</v>
      </c>
      <c r="W1080" s="368" t="s">
        <v>1378</v>
      </c>
      <c r="X1080" s="368">
        <v>0</v>
      </c>
      <c r="Y1080" s="368">
        <v>99</v>
      </c>
      <c r="Z1080" s="368"/>
      <c r="AA1080" s="368"/>
      <c r="AB1080" s="368"/>
      <c r="AC1080" s="368"/>
      <c r="AD1080" s="368"/>
      <c r="AE1080" s="368"/>
      <c r="AF1080" s="377"/>
      <c r="AJ1080" s="337">
        <v>60</v>
      </c>
    </row>
    <row r="1081" spans="1:36">
      <c r="A1081" s="332">
        <f t="shared" si="42"/>
        <v>61</v>
      </c>
      <c r="G1081" s="349" t="s">
        <v>1586</v>
      </c>
      <c r="H1081" s="368" t="s">
        <v>1587</v>
      </c>
      <c r="I1081" s="368" t="s">
        <v>1588</v>
      </c>
      <c r="J1081" s="368" t="s">
        <v>1403</v>
      </c>
      <c r="K1081" s="368" t="s">
        <v>1589</v>
      </c>
      <c r="L1081" s="368" t="s">
        <v>1399</v>
      </c>
      <c r="M1081" s="368" t="s">
        <v>1384</v>
      </c>
      <c r="N1081" s="368" t="s">
        <v>867</v>
      </c>
      <c r="O1081" s="376">
        <v>13027</v>
      </c>
      <c r="P1081" s="368" t="s">
        <v>1385</v>
      </c>
      <c r="Q1081" s="368" t="s">
        <v>1386</v>
      </c>
      <c r="R1081" s="368" t="s">
        <v>867</v>
      </c>
      <c r="S1081" s="368" t="s">
        <v>864</v>
      </c>
      <c r="T1081" s="368" t="s">
        <v>1590</v>
      </c>
      <c r="U1081" s="368" t="s">
        <v>867</v>
      </c>
      <c r="V1081" s="368" t="s">
        <v>867</v>
      </c>
      <c r="W1081" s="368" t="s">
        <v>1378</v>
      </c>
      <c r="X1081" s="368">
        <v>0</v>
      </c>
      <c r="Y1081" s="368">
        <v>99</v>
      </c>
      <c r="Z1081" s="368"/>
      <c r="AA1081" s="368"/>
      <c r="AB1081" s="368"/>
      <c r="AC1081" s="368"/>
      <c r="AD1081" s="368"/>
      <c r="AE1081" s="368"/>
      <c r="AF1081" s="377"/>
      <c r="AJ1081" s="337">
        <v>61</v>
      </c>
    </row>
    <row r="1082" spans="1:36">
      <c r="A1082" s="332">
        <f t="shared" si="42"/>
        <v>62</v>
      </c>
      <c r="G1082" s="349" t="s">
        <v>1591</v>
      </c>
      <c r="H1082" s="368" t="s">
        <v>1592</v>
      </c>
      <c r="I1082" s="368" t="s">
        <v>1593</v>
      </c>
      <c r="J1082" s="368" t="s">
        <v>1375</v>
      </c>
      <c r="K1082" s="368" t="s">
        <v>1593</v>
      </c>
      <c r="L1082" s="368" t="s">
        <v>1375</v>
      </c>
      <c r="M1082" s="368" t="s">
        <v>1376</v>
      </c>
      <c r="N1082" s="368" t="s">
        <v>867</v>
      </c>
      <c r="O1082" s="376">
        <v>6493</v>
      </c>
      <c r="P1082" s="368" t="s">
        <v>339</v>
      </c>
      <c r="Q1082" s="368" t="s">
        <v>1386</v>
      </c>
      <c r="R1082" s="368" t="s">
        <v>867</v>
      </c>
      <c r="S1082" s="368" t="s">
        <v>864</v>
      </c>
      <c r="T1082" s="368" t="s">
        <v>1387</v>
      </c>
      <c r="U1082" s="368" t="s">
        <v>867</v>
      </c>
      <c r="V1082" s="368" t="s">
        <v>867</v>
      </c>
      <c r="W1082" s="368" t="s">
        <v>1378</v>
      </c>
      <c r="X1082" s="368">
        <v>1100</v>
      </c>
      <c r="Y1082" s="368">
        <v>99</v>
      </c>
      <c r="Z1082" s="368"/>
      <c r="AA1082" s="368"/>
      <c r="AB1082" s="368"/>
      <c r="AC1082" s="368"/>
      <c r="AD1082" s="368"/>
      <c r="AE1082" s="368"/>
      <c r="AF1082" s="377"/>
      <c r="AJ1082" s="337">
        <v>62</v>
      </c>
    </row>
    <row r="1083" spans="1:36">
      <c r="A1083" s="332">
        <f t="shared" si="42"/>
        <v>63</v>
      </c>
      <c r="G1083" s="349" t="s">
        <v>1594</v>
      </c>
      <c r="H1083" s="368" t="s">
        <v>1595</v>
      </c>
      <c r="I1083" s="368" t="s">
        <v>1596</v>
      </c>
      <c r="J1083" s="368" t="s">
        <v>1375</v>
      </c>
      <c r="K1083" s="368" t="s">
        <v>1596</v>
      </c>
      <c r="L1083" s="368" t="s">
        <v>1375</v>
      </c>
      <c r="M1083" s="368" t="s">
        <v>1376</v>
      </c>
      <c r="N1083" s="368" t="s">
        <v>867</v>
      </c>
      <c r="O1083" s="376">
        <v>8209</v>
      </c>
      <c r="P1083" s="368" t="s">
        <v>1447</v>
      </c>
      <c r="Q1083" s="368" t="s">
        <v>1443</v>
      </c>
      <c r="R1083" s="368" t="s">
        <v>867</v>
      </c>
      <c r="S1083" s="368" t="s">
        <v>864</v>
      </c>
      <c r="T1083" s="368" t="s">
        <v>362</v>
      </c>
      <c r="U1083" s="368" t="s">
        <v>867</v>
      </c>
      <c r="V1083" s="368" t="s">
        <v>867</v>
      </c>
      <c r="W1083" s="368" t="s">
        <v>1378</v>
      </c>
      <c r="X1083" s="368">
        <v>0</v>
      </c>
      <c r="Y1083" s="368">
        <v>99</v>
      </c>
      <c r="Z1083" s="368"/>
      <c r="AA1083" s="368"/>
      <c r="AB1083" s="368"/>
      <c r="AC1083" s="368"/>
      <c r="AD1083" s="368"/>
      <c r="AE1083" s="368"/>
      <c r="AF1083" s="377"/>
      <c r="AJ1083" s="337">
        <v>63</v>
      </c>
    </row>
    <row r="1084" spans="1:36">
      <c r="A1084" s="332">
        <f t="shared" si="42"/>
        <v>64</v>
      </c>
      <c r="G1084" s="349" t="s">
        <v>1597</v>
      </c>
      <c r="H1084" s="368" t="s">
        <v>1598</v>
      </c>
      <c r="I1084" s="368" t="s">
        <v>1599</v>
      </c>
      <c r="J1084" s="368" t="s">
        <v>1375</v>
      </c>
      <c r="K1084" s="368" t="s">
        <v>1599</v>
      </c>
      <c r="L1084" s="368" t="s">
        <v>1375</v>
      </c>
      <c r="M1084" s="368" t="s">
        <v>1376</v>
      </c>
      <c r="N1084" s="368" t="s">
        <v>867</v>
      </c>
      <c r="O1084" s="376">
        <v>709</v>
      </c>
      <c r="P1084" s="368" t="s">
        <v>1385</v>
      </c>
      <c r="Q1084" s="368" t="s">
        <v>1386</v>
      </c>
      <c r="R1084" s="368" t="s">
        <v>867</v>
      </c>
      <c r="S1084" s="368" t="s">
        <v>864</v>
      </c>
      <c r="T1084" s="368" t="s">
        <v>362</v>
      </c>
      <c r="U1084" s="368" t="s">
        <v>867</v>
      </c>
      <c r="V1084" s="368" t="s">
        <v>867</v>
      </c>
      <c r="W1084" s="368" t="s">
        <v>1378</v>
      </c>
      <c r="X1084" s="368">
        <v>750</v>
      </c>
      <c r="Y1084" s="368">
        <v>99</v>
      </c>
      <c r="Z1084" s="368"/>
      <c r="AA1084" s="368"/>
      <c r="AB1084" s="368"/>
      <c r="AC1084" s="368"/>
      <c r="AD1084" s="368"/>
      <c r="AE1084" s="368"/>
      <c r="AF1084" s="377"/>
      <c r="AJ1084" s="337">
        <v>64</v>
      </c>
    </row>
    <row r="1085" spans="1:36">
      <c r="A1085" s="332">
        <f t="shared" si="42"/>
        <v>65</v>
      </c>
      <c r="G1085" s="349" t="s">
        <v>1600</v>
      </c>
      <c r="H1085" s="368" t="s">
        <v>1601</v>
      </c>
      <c r="I1085" s="368" t="s">
        <v>1599</v>
      </c>
      <c r="J1085" s="368" t="s">
        <v>1375</v>
      </c>
      <c r="K1085" s="368" t="s">
        <v>1599</v>
      </c>
      <c r="L1085" s="368" t="s">
        <v>1375</v>
      </c>
      <c r="M1085" s="368" t="s">
        <v>1376</v>
      </c>
      <c r="N1085" s="368" t="s">
        <v>867</v>
      </c>
      <c r="O1085" s="376">
        <v>85021</v>
      </c>
      <c r="P1085" s="368" t="s">
        <v>339</v>
      </c>
      <c r="Q1085" s="368" t="s">
        <v>1386</v>
      </c>
      <c r="R1085" s="368" t="s">
        <v>867</v>
      </c>
      <c r="S1085" s="368" t="s">
        <v>867</v>
      </c>
      <c r="T1085" s="368" t="s">
        <v>362</v>
      </c>
      <c r="U1085" s="368" t="s">
        <v>867</v>
      </c>
      <c r="V1085" s="368" t="s">
        <v>867</v>
      </c>
      <c r="W1085" s="368" t="s">
        <v>1378</v>
      </c>
      <c r="X1085" s="368">
        <v>0</v>
      </c>
      <c r="Y1085" s="368">
        <v>99</v>
      </c>
      <c r="Z1085" s="368"/>
      <c r="AA1085" s="368"/>
      <c r="AB1085" s="368"/>
      <c r="AC1085" s="368"/>
      <c r="AD1085" s="368"/>
      <c r="AE1085" s="368"/>
      <c r="AF1085" s="377"/>
      <c r="AJ1085" s="337">
        <v>65</v>
      </c>
    </row>
    <row r="1086" spans="1:36">
      <c r="A1086" s="332">
        <f t="shared" si="42"/>
        <v>66</v>
      </c>
      <c r="G1086" s="349" t="s">
        <v>1602</v>
      </c>
      <c r="H1086" s="368" t="s">
        <v>1603</v>
      </c>
      <c r="I1086" s="368" t="s">
        <v>1604</v>
      </c>
      <c r="J1086" s="368" t="s">
        <v>1510</v>
      </c>
      <c r="K1086" s="368" t="s">
        <v>1605</v>
      </c>
      <c r="L1086" s="368" t="s">
        <v>1375</v>
      </c>
      <c r="M1086" s="368" t="s">
        <v>1384</v>
      </c>
      <c r="N1086" s="368" t="s">
        <v>867</v>
      </c>
      <c r="O1086" s="376">
        <v>82826</v>
      </c>
      <c r="P1086" s="368" t="s">
        <v>1447</v>
      </c>
      <c r="Q1086" s="368" t="s">
        <v>1386</v>
      </c>
      <c r="R1086" s="368" t="s">
        <v>867</v>
      </c>
      <c r="S1086" s="368" t="s">
        <v>864</v>
      </c>
      <c r="T1086" s="368" t="s">
        <v>362</v>
      </c>
      <c r="U1086" s="368" t="s">
        <v>867</v>
      </c>
      <c r="V1086" s="368" t="s">
        <v>867</v>
      </c>
      <c r="W1086" s="368" t="s">
        <v>1378</v>
      </c>
      <c r="X1086" s="368">
        <v>0</v>
      </c>
      <c r="Y1086" s="368">
        <v>99</v>
      </c>
      <c r="Z1086" s="368"/>
      <c r="AA1086" s="368"/>
      <c r="AB1086" s="368"/>
      <c r="AC1086" s="368"/>
      <c r="AD1086" s="368"/>
      <c r="AE1086" s="368"/>
      <c r="AF1086" s="377"/>
      <c r="AJ1086" s="337">
        <v>66</v>
      </c>
    </row>
    <row r="1087" spans="1:36">
      <c r="A1087" s="332">
        <f t="shared" ref="A1087:A1150" si="43">1+A1086</f>
        <v>67</v>
      </c>
      <c r="G1087" s="349" t="s">
        <v>1606</v>
      </c>
      <c r="H1087" s="368" t="s">
        <v>1607</v>
      </c>
      <c r="I1087" s="368" t="s">
        <v>1605</v>
      </c>
      <c r="J1087" s="368" t="s">
        <v>1375</v>
      </c>
      <c r="K1087" s="368" t="s">
        <v>1605</v>
      </c>
      <c r="L1087" s="368" t="s">
        <v>1375</v>
      </c>
      <c r="M1087" s="368" t="s">
        <v>1376</v>
      </c>
      <c r="N1087" s="368" t="s">
        <v>867</v>
      </c>
      <c r="O1087" s="376">
        <v>72132</v>
      </c>
      <c r="P1087" s="368" t="s">
        <v>1385</v>
      </c>
      <c r="Q1087" s="368" t="s">
        <v>1386</v>
      </c>
      <c r="R1087" s="368" t="s">
        <v>867</v>
      </c>
      <c r="S1087" s="368" t="s">
        <v>864</v>
      </c>
      <c r="T1087" s="368" t="s">
        <v>362</v>
      </c>
      <c r="U1087" s="368" t="s">
        <v>867</v>
      </c>
      <c r="V1087" s="368" t="s">
        <v>867</v>
      </c>
      <c r="W1087" s="368" t="s">
        <v>1378</v>
      </c>
      <c r="X1087" s="368">
        <v>0</v>
      </c>
      <c r="Y1087" s="368">
        <v>99</v>
      </c>
      <c r="Z1087" s="368"/>
      <c r="AA1087" s="368"/>
      <c r="AB1087" s="368"/>
      <c r="AC1087" s="368"/>
      <c r="AD1087" s="368"/>
      <c r="AE1087" s="368"/>
      <c r="AF1087" s="377"/>
      <c r="AJ1087" s="337">
        <v>67</v>
      </c>
    </row>
    <row r="1088" spans="1:36">
      <c r="A1088" s="332">
        <f t="shared" si="43"/>
        <v>68</v>
      </c>
      <c r="G1088" s="349" t="s">
        <v>1608</v>
      </c>
      <c r="H1088" s="368" t="s">
        <v>1609</v>
      </c>
      <c r="I1088" s="368" t="s">
        <v>1610</v>
      </c>
      <c r="J1088" s="368" t="s">
        <v>1375</v>
      </c>
      <c r="K1088" s="368" t="s">
        <v>1610</v>
      </c>
      <c r="L1088" s="368" t="s">
        <v>1375</v>
      </c>
      <c r="M1088" s="368" t="s">
        <v>1376</v>
      </c>
      <c r="N1088" s="368" t="s">
        <v>867</v>
      </c>
      <c r="O1088" s="376">
        <v>41367</v>
      </c>
      <c r="P1088" s="368" t="s">
        <v>1385</v>
      </c>
      <c r="Q1088" s="368" t="s">
        <v>1386</v>
      </c>
      <c r="R1088" s="368" t="s">
        <v>867</v>
      </c>
      <c r="S1088" s="368" t="s">
        <v>864</v>
      </c>
      <c r="T1088" s="368" t="s">
        <v>362</v>
      </c>
      <c r="U1088" s="368" t="s">
        <v>867</v>
      </c>
      <c r="V1088" s="368" t="s">
        <v>867</v>
      </c>
      <c r="W1088" s="368" t="s">
        <v>1378</v>
      </c>
      <c r="X1088" s="368">
        <v>0</v>
      </c>
      <c r="Y1088" s="368">
        <v>99</v>
      </c>
      <c r="Z1088" s="368"/>
      <c r="AA1088" s="368"/>
      <c r="AB1088" s="368"/>
      <c r="AC1088" s="368"/>
      <c r="AD1088" s="368"/>
      <c r="AE1088" s="368"/>
      <c r="AF1088" s="377"/>
      <c r="AJ1088" s="337">
        <v>68</v>
      </c>
    </row>
    <row r="1089" spans="1:36">
      <c r="A1089" s="332">
        <f t="shared" si="43"/>
        <v>69</v>
      </c>
      <c r="G1089" s="349" t="s">
        <v>1611</v>
      </c>
      <c r="H1089" s="368" t="s">
        <v>1612</v>
      </c>
      <c r="I1089" s="368" t="s">
        <v>1613</v>
      </c>
      <c r="J1089" s="368" t="s">
        <v>1375</v>
      </c>
      <c r="K1089" s="368" t="s">
        <v>1613</v>
      </c>
      <c r="L1089" s="368" t="s">
        <v>1375</v>
      </c>
      <c r="M1089" s="368" t="s">
        <v>1376</v>
      </c>
      <c r="N1089" s="368" t="s">
        <v>867</v>
      </c>
      <c r="O1089" s="376">
        <v>23887</v>
      </c>
      <c r="P1089" s="368" t="s">
        <v>1385</v>
      </c>
      <c r="Q1089" s="368" t="s">
        <v>1386</v>
      </c>
      <c r="R1089" s="368" t="s">
        <v>867</v>
      </c>
      <c r="S1089" s="368" t="s">
        <v>864</v>
      </c>
      <c r="T1089" s="368" t="s">
        <v>362</v>
      </c>
      <c r="U1089" s="368" t="s">
        <v>867</v>
      </c>
      <c r="V1089" s="368" t="s">
        <v>867</v>
      </c>
      <c r="W1089" s="368" t="s">
        <v>1378</v>
      </c>
      <c r="X1089" s="368">
        <v>0</v>
      </c>
      <c r="Y1089" s="368">
        <v>99</v>
      </c>
      <c r="Z1089" s="368"/>
      <c r="AA1089" s="368"/>
      <c r="AB1089" s="368"/>
      <c r="AC1089" s="368"/>
      <c r="AD1089" s="368"/>
      <c r="AE1089" s="368"/>
      <c r="AF1089" s="377"/>
      <c r="AJ1089" s="337">
        <v>69</v>
      </c>
    </row>
    <row r="1090" spans="1:36">
      <c r="A1090" s="332">
        <f t="shared" si="43"/>
        <v>70</v>
      </c>
      <c r="G1090" s="349" t="s">
        <v>1614</v>
      </c>
      <c r="H1090" s="368" t="s">
        <v>1615</v>
      </c>
      <c r="I1090" s="368" t="s">
        <v>1616</v>
      </c>
      <c r="J1090" s="368" t="s">
        <v>1403</v>
      </c>
      <c r="K1090" s="368" t="s">
        <v>1617</v>
      </c>
      <c r="L1090" s="368" t="s">
        <v>1375</v>
      </c>
      <c r="M1090" s="368" t="s">
        <v>1384</v>
      </c>
      <c r="N1090" s="368" t="s">
        <v>867</v>
      </c>
      <c r="O1090" s="376">
        <v>33699</v>
      </c>
      <c r="P1090" s="368" t="s">
        <v>1385</v>
      </c>
      <c r="Q1090" s="368" t="s">
        <v>1386</v>
      </c>
      <c r="R1090" s="368" t="s">
        <v>867</v>
      </c>
      <c r="S1090" s="368" t="s">
        <v>864</v>
      </c>
      <c r="T1090" s="368" t="s">
        <v>1387</v>
      </c>
      <c r="U1090" s="368" t="s">
        <v>867</v>
      </c>
      <c r="V1090" s="368" t="s">
        <v>867</v>
      </c>
      <c r="W1090" s="368" t="s">
        <v>1378</v>
      </c>
      <c r="X1090" s="368">
        <v>500</v>
      </c>
      <c r="Y1090" s="368">
        <v>99</v>
      </c>
      <c r="Z1090" s="368"/>
      <c r="AA1090" s="368"/>
      <c r="AB1090" s="368"/>
      <c r="AC1090" s="368"/>
      <c r="AD1090" s="368"/>
      <c r="AE1090" s="368"/>
      <c r="AF1090" s="377"/>
      <c r="AJ1090" s="337">
        <v>70</v>
      </c>
    </row>
    <row r="1091" spans="1:36">
      <c r="A1091" s="332">
        <f t="shared" si="43"/>
        <v>71</v>
      </c>
      <c r="G1091" s="349" t="s">
        <v>1618</v>
      </c>
      <c r="H1091" s="368" t="s">
        <v>1619</v>
      </c>
      <c r="I1091" s="368" t="s">
        <v>1620</v>
      </c>
      <c r="J1091" s="368" t="s">
        <v>1375</v>
      </c>
      <c r="K1091" s="368" t="s">
        <v>1620</v>
      </c>
      <c r="L1091" s="368" t="s">
        <v>1375</v>
      </c>
      <c r="M1091" s="368" t="s">
        <v>1376</v>
      </c>
      <c r="N1091" s="368" t="s">
        <v>867</v>
      </c>
      <c r="O1091" s="376">
        <v>97965</v>
      </c>
      <c r="P1091" s="368" t="s">
        <v>1385</v>
      </c>
      <c r="Q1091" s="368" t="s">
        <v>1386</v>
      </c>
      <c r="R1091" s="368" t="s">
        <v>867</v>
      </c>
      <c r="S1091" s="368" t="s">
        <v>864</v>
      </c>
      <c r="T1091" s="368" t="s">
        <v>362</v>
      </c>
      <c r="U1091" s="368" t="s">
        <v>867</v>
      </c>
      <c r="V1091" s="368" t="s">
        <v>867</v>
      </c>
      <c r="W1091" s="368" t="s">
        <v>1378</v>
      </c>
      <c r="X1091" s="368">
        <v>0</v>
      </c>
      <c r="Y1091" s="368">
        <v>99</v>
      </c>
      <c r="Z1091" s="368"/>
      <c r="AA1091" s="368"/>
      <c r="AB1091" s="368"/>
      <c r="AC1091" s="368"/>
      <c r="AD1091" s="368"/>
      <c r="AE1091" s="368"/>
      <c r="AF1091" s="377"/>
      <c r="AJ1091" s="337">
        <v>71</v>
      </c>
    </row>
    <row r="1092" spans="1:36">
      <c r="A1092" s="332">
        <f t="shared" si="43"/>
        <v>72</v>
      </c>
      <c r="G1092" s="349" t="s">
        <v>1621</v>
      </c>
      <c r="H1092" s="368" t="s">
        <v>1622</v>
      </c>
      <c r="I1092" s="368" t="s">
        <v>1623</v>
      </c>
      <c r="J1092" s="368" t="s">
        <v>1522</v>
      </c>
      <c r="K1092" s="368" t="s">
        <v>1624</v>
      </c>
      <c r="L1092" s="368" t="s">
        <v>1382</v>
      </c>
      <c r="M1092" s="368" t="s">
        <v>1384</v>
      </c>
      <c r="N1092" s="368" t="s">
        <v>867</v>
      </c>
      <c r="O1092" s="376">
        <v>33221</v>
      </c>
      <c r="P1092" s="368" t="s">
        <v>339</v>
      </c>
      <c r="Q1092" s="368" t="s">
        <v>1443</v>
      </c>
      <c r="R1092" s="368" t="s">
        <v>867</v>
      </c>
      <c r="S1092" s="368" t="s">
        <v>864</v>
      </c>
      <c r="T1092" s="368" t="s">
        <v>362</v>
      </c>
      <c r="U1092" s="368" t="s">
        <v>867</v>
      </c>
      <c r="V1092" s="368" t="s">
        <v>867</v>
      </c>
      <c r="W1092" s="368" t="s">
        <v>1378</v>
      </c>
      <c r="X1092" s="368">
        <v>0</v>
      </c>
      <c r="Y1092" s="368">
        <v>99</v>
      </c>
      <c r="Z1092" s="368"/>
      <c r="AA1092" s="368"/>
      <c r="AB1092" s="368"/>
      <c r="AC1092" s="368"/>
      <c r="AD1092" s="368"/>
      <c r="AE1092" s="368"/>
      <c r="AF1092" s="377"/>
      <c r="AJ1092" s="337">
        <v>72</v>
      </c>
    </row>
    <row r="1093" spans="1:36">
      <c r="A1093" s="332">
        <f t="shared" si="43"/>
        <v>73</v>
      </c>
      <c r="G1093" s="349" t="s">
        <v>1625</v>
      </c>
      <c r="H1093" s="368" t="s">
        <v>1626</v>
      </c>
      <c r="I1093" s="368" t="s">
        <v>1627</v>
      </c>
      <c r="J1093" s="368" t="s">
        <v>1375</v>
      </c>
      <c r="K1093" s="368" t="s">
        <v>1627</v>
      </c>
      <c r="L1093" s="368" t="s">
        <v>1375</v>
      </c>
      <c r="M1093" s="368" t="s">
        <v>1376</v>
      </c>
      <c r="N1093" s="368" t="s">
        <v>867</v>
      </c>
      <c r="O1093" s="376">
        <v>22186</v>
      </c>
      <c r="P1093" s="368" t="s">
        <v>1385</v>
      </c>
      <c r="Q1093" s="368" t="s">
        <v>1386</v>
      </c>
      <c r="R1093" s="368" t="s">
        <v>867</v>
      </c>
      <c r="S1093" s="368" t="s">
        <v>864</v>
      </c>
      <c r="T1093" s="368" t="s">
        <v>362</v>
      </c>
      <c r="U1093" s="368" t="s">
        <v>867</v>
      </c>
      <c r="V1093" s="368" t="s">
        <v>867</v>
      </c>
      <c r="W1093" s="368" t="s">
        <v>1378</v>
      </c>
      <c r="X1093" s="368">
        <v>0</v>
      </c>
      <c r="Y1093" s="368">
        <v>99</v>
      </c>
      <c r="Z1093" s="368"/>
      <c r="AA1093" s="368"/>
      <c r="AB1093" s="368"/>
      <c r="AC1093" s="368"/>
      <c r="AD1093" s="368"/>
      <c r="AE1093" s="368"/>
      <c r="AF1093" s="377"/>
      <c r="AJ1093" s="337">
        <v>73</v>
      </c>
    </row>
    <row r="1094" spans="1:36">
      <c r="A1094" s="332">
        <f t="shared" si="43"/>
        <v>74</v>
      </c>
      <c r="G1094" s="349" t="s">
        <v>1628</v>
      </c>
      <c r="H1094" s="368" t="s">
        <v>1629</v>
      </c>
      <c r="I1094" s="368" t="s">
        <v>1630</v>
      </c>
      <c r="J1094" s="368" t="s">
        <v>1403</v>
      </c>
      <c r="K1094" s="368" t="s">
        <v>1631</v>
      </c>
      <c r="L1094" s="368" t="s">
        <v>1403</v>
      </c>
      <c r="M1094" s="368" t="s">
        <v>1384</v>
      </c>
      <c r="N1094" s="368" t="s">
        <v>867</v>
      </c>
      <c r="O1094" s="376">
        <v>93771</v>
      </c>
      <c r="P1094" s="368" t="s">
        <v>1385</v>
      </c>
      <c r="Q1094" s="368" t="s">
        <v>1443</v>
      </c>
      <c r="R1094" s="368" t="s">
        <v>867</v>
      </c>
      <c r="S1094" s="368" t="s">
        <v>864</v>
      </c>
      <c r="T1094" s="368" t="s">
        <v>362</v>
      </c>
      <c r="U1094" s="368" t="s">
        <v>867</v>
      </c>
      <c r="V1094" s="368" t="s">
        <v>867</v>
      </c>
      <c r="W1094" s="368" t="s">
        <v>1378</v>
      </c>
      <c r="X1094" s="368">
        <v>0</v>
      </c>
      <c r="Y1094" s="368">
        <v>99</v>
      </c>
      <c r="Z1094" s="368"/>
      <c r="AA1094" s="368"/>
      <c r="AB1094" s="368"/>
      <c r="AC1094" s="368"/>
      <c r="AD1094" s="368"/>
      <c r="AE1094" s="368"/>
      <c r="AF1094" s="377"/>
      <c r="AJ1094" s="337">
        <v>74</v>
      </c>
    </row>
    <row r="1095" spans="1:36">
      <c r="A1095" s="332">
        <f t="shared" si="43"/>
        <v>75</v>
      </c>
      <c r="G1095" s="349" t="s">
        <v>1632</v>
      </c>
      <c r="H1095" s="368" t="s">
        <v>1633</v>
      </c>
      <c r="I1095" s="368" t="s">
        <v>1634</v>
      </c>
      <c r="J1095" s="368" t="s">
        <v>1382</v>
      </c>
      <c r="K1095" s="368" t="s">
        <v>1635</v>
      </c>
      <c r="L1095" s="368" t="s">
        <v>1375</v>
      </c>
      <c r="M1095" s="368" t="s">
        <v>1384</v>
      </c>
      <c r="N1095" s="368" t="s">
        <v>867</v>
      </c>
      <c r="O1095" s="376">
        <v>59622</v>
      </c>
      <c r="P1095" s="368" t="s">
        <v>339</v>
      </c>
      <c r="Q1095" s="368" t="s">
        <v>1386</v>
      </c>
      <c r="R1095" s="368" t="s">
        <v>867</v>
      </c>
      <c r="S1095" s="368" t="s">
        <v>864</v>
      </c>
      <c r="T1095" s="368" t="s">
        <v>362</v>
      </c>
      <c r="U1095" s="368" t="s">
        <v>867</v>
      </c>
      <c r="V1095" s="368" t="s">
        <v>867</v>
      </c>
      <c r="W1095" s="368" t="s">
        <v>1378</v>
      </c>
      <c r="X1095" s="368">
        <v>550</v>
      </c>
      <c r="Y1095" s="368">
        <v>99</v>
      </c>
      <c r="Z1095" s="368"/>
      <c r="AA1095" s="368"/>
      <c r="AB1095" s="368"/>
      <c r="AC1095" s="368"/>
      <c r="AD1095" s="368"/>
      <c r="AE1095" s="368"/>
      <c r="AF1095" s="377"/>
      <c r="AJ1095" s="337">
        <v>75</v>
      </c>
    </row>
    <row r="1096" spans="1:36">
      <c r="A1096" s="332">
        <f t="shared" si="43"/>
        <v>76</v>
      </c>
      <c r="G1096" s="349" t="s">
        <v>1636</v>
      </c>
      <c r="H1096" s="368" t="s">
        <v>1637</v>
      </c>
      <c r="I1096" s="368" t="s">
        <v>1638</v>
      </c>
      <c r="J1096" s="368" t="s">
        <v>1433</v>
      </c>
      <c r="K1096" s="368" t="s">
        <v>1638</v>
      </c>
      <c r="L1096" s="368" t="s">
        <v>1433</v>
      </c>
      <c r="M1096" s="368" t="s">
        <v>1376</v>
      </c>
      <c r="N1096" s="368" t="s">
        <v>867</v>
      </c>
      <c r="O1096" s="376">
        <v>28461</v>
      </c>
      <c r="P1096" s="368" t="s">
        <v>1385</v>
      </c>
      <c r="Q1096" s="368" t="s">
        <v>1386</v>
      </c>
      <c r="R1096" s="368" t="s">
        <v>867</v>
      </c>
      <c r="S1096" s="368" t="s">
        <v>864</v>
      </c>
      <c r="T1096" s="368" t="s">
        <v>362</v>
      </c>
      <c r="U1096" s="368" t="s">
        <v>867</v>
      </c>
      <c r="V1096" s="368" t="s">
        <v>867</v>
      </c>
      <c r="W1096" s="368" t="s">
        <v>1378</v>
      </c>
      <c r="X1096" s="368">
        <v>0</v>
      </c>
      <c r="Y1096" s="368">
        <v>99</v>
      </c>
      <c r="Z1096" s="368"/>
      <c r="AA1096" s="368"/>
      <c r="AB1096" s="368"/>
      <c r="AC1096" s="368"/>
      <c r="AD1096" s="368"/>
      <c r="AE1096" s="368"/>
      <c r="AF1096" s="377"/>
      <c r="AJ1096" s="337">
        <v>76</v>
      </c>
    </row>
    <row r="1097" spans="1:36">
      <c r="A1097" s="332">
        <f t="shared" si="43"/>
        <v>77</v>
      </c>
      <c r="G1097" s="349" t="s">
        <v>1639</v>
      </c>
      <c r="H1097" s="368" t="s">
        <v>1640</v>
      </c>
      <c r="I1097" s="368" t="s">
        <v>1641</v>
      </c>
      <c r="J1097" s="368" t="s">
        <v>1375</v>
      </c>
      <c r="K1097" s="368" t="s">
        <v>1641</v>
      </c>
      <c r="L1097" s="368" t="s">
        <v>1375</v>
      </c>
      <c r="M1097" s="368" t="s">
        <v>1376</v>
      </c>
      <c r="N1097" s="368" t="s">
        <v>867</v>
      </c>
      <c r="O1097" s="376">
        <v>10862</v>
      </c>
      <c r="P1097" s="368" t="s">
        <v>339</v>
      </c>
      <c r="Q1097" s="368" t="s">
        <v>1443</v>
      </c>
      <c r="R1097" s="368" t="s">
        <v>867</v>
      </c>
      <c r="S1097" s="368" t="s">
        <v>864</v>
      </c>
      <c r="T1097" s="368" t="s">
        <v>362</v>
      </c>
      <c r="U1097" s="368" t="s">
        <v>867</v>
      </c>
      <c r="V1097" s="368" t="s">
        <v>867</v>
      </c>
      <c r="W1097" s="368" t="s">
        <v>1378</v>
      </c>
      <c r="X1097" s="368">
        <v>0</v>
      </c>
      <c r="Y1097" s="368">
        <v>99</v>
      </c>
      <c r="Z1097" s="368"/>
      <c r="AA1097" s="368"/>
      <c r="AB1097" s="368"/>
      <c r="AC1097" s="368"/>
      <c r="AD1097" s="368"/>
      <c r="AE1097" s="368"/>
      <c r="AF1097" s="377"/>
      <c r="AJ1097" s="337">
        <v>77</v>
      </c>
    </row>
    <row r="1098" spans="1:36">
      <c r="A1098" s="332">
        <f t="shared" si="43"/>
        <v>78</v>
      </c>
      <c r="G1098" s="349" t="s">
        <v>1642</v>
      </c>
      <c r="H1098" s="368" t="s">
        <v>1643</v>
      </c>
      <c r="I1098" s="368" t="s">
        <v>1644</v>
      </c>
      <c r="J1098" s="368" t="s">
        <v>1375</v>
      </c>
      <c r="K1098" s="368" t="s">
        <v>1644</v>
      </c>
      <c r="L1098" s="368" t="s">
        <v>1375</v>
      </c>
      <c r="M1098" s="368" t="s">
        <v>1376</v>
      </c>
      <c r="N1098" s="368" t="s">
        <v>867</v>
      </c>
      <c r="O1098" s="376">
        <v>94774</v>
      </c>
      <c r="P1098" s="368" t="s">
        <v>1385</v>
      </c>
      <c r="Q1098" s="368" t="s">
        <v>1386</v>
      </c>
      <c r="R1098" s="368" t="s">
        <v>867</v>
      </c>
      <c r="S1098" s="368" t="s">
        <v>864</v>
      </c>
      <c r="T1098" s="368" t="s">
        <v>362</v>
      </c>
      <c r="U1098" s="368" t="s">
        <v>867</v>
      </c>
      <c r="V1098" s="368" t="s">
        <v>867</v>
      </c>
      <c r="W1098" s="368" t="s">
        <v>1378</v>
      </c>
      <c r="X1098" s="368">
        <v>0</v>
      </c>
      <c r="Y1098" s="368">
        <v>99</v>
      </c>
      <c r="Z1098" s="368"/>
      <c r="AA1098" s="368"/>
      <c r="AB1098" s="368"/>
      <c r="AC1098" s="368"/>
      <c r="AD1098" s="368"/>
      <c r="AE1098" s="368"/>
      <c r="AF1098" s="377"/>
      <c r="AJ1098" s="337">
        <v>78</v>
      </c>
    </row>
    <row r="1099" spans="1:36">
      <c r="A1099" s="332">
        <f t="shared" si="43"/>
        <v>79</v>
      </c>
      <c r="G1099" s="349" t="s">
        <v>1645</v>
      </c>
      <c r="H1099" s="368" t="s">
        <v>1646</v>
      </c>
      <c r="I1099" s="368" t="s">
        <v>1647</v>
      </c>
      <c r="J1099" s="368" t="s">
        <v>1375</v>
      </c>
      <c r="K1099" s="368" t="s">
        <v>1647</v>
      </c>
      <c r="L1099" s="368" t="s">
        <v>1375</v>
      </c>
      <c r="M1099" s="368" t="s">
        <v>1376</v>
      </c>
      <c r="N1099" s="368" t="s">
        <v>867</v>
      </c>
      <c r="O1099" s="376">
        <v>47169</v>
      </c>
      <c r="P1099" s="368" t="s">
        <v>1385</v>
      </c>
      <c r="Q1099" s="368" t="s">
        <v>1386</v>
      </c>
      <c r="R1099" s="368" t="s">
        <v>867</v>
      </c>
      <c r="S1099" s="368" t="s">
        <v>864</v>
      </c>
      <c r="T1099" s="368" t="s">
        <v>362</v>
      </c>
      <c r="U1099" s="368" t="s">
        <v>867</v>
      </c>
      <c r="V1099" s="368" t="s">
        <v>867</v>
      </c>
      <c r="W1099" s="368" t="s">
        <v>1378</v>
      </c>
      <c r="X1099" s="368">
        <v>0</v>
      </c>
      <c r="Y1099" s="368">
        <v>99</v>
      </c>
      <c r="Z1099" s="368"/>
      <c r="AA1099" s="368"/>
      <c r="AB1099" s="368"/>
      <c r="AC1099" s="368"/>
      <c r="AD1099" s="368"/>
      <c r="AE1099" s="368"/>
      <c r="AF1099" s="377"/>
      <c r="AJ1099" s="337">
        <v>79</v>
      </c>
    </row>
    <row r="1100" spans="1:36">
      <c r="A1100" s="332">
        <f t="shared" si="43"/>
        <v>80</v>
      </c>
      <c r="G1100" s="349" t="s">
        <v>1648</v>
      </c>
      <c r="H1100" s="368" t="s">
        <v>1649</v>
      </c>
      <c r="I1100" s="368" t="s">
        <v>1650</v>
      </c>
      <c r="J1100" s="368" t="s">
        <v>1375</v>
      </c>
      <c r="K1100" s="368" t="s">
        <v>1650</v>
      </c>
      <c r="L1100" s="368" t="s">
        <v>1375</v>
      </c>
      <c r="M1100" s="368" t="s">
        <v>1376</v>
      </c>
      <c r="N1100" s="368" t="s">
        <v>867</v>
      </c>
      <c r="O1100" s="376">
        <v>20952</v>
      </c>
      <c r="P1100" s="368" t="s">
        <v>1385</v>
      </c>
      <c r="Q1100" s="368" t="s">
        <v>1553</v>
      </c>
      <c r="R1100" s="368" t="s">
        <v>867</v>
      </c>
      <c r="S1100" s="368" t="s">
        <v>864</v>
      </c>
      <c r="T1100" s="368" t="s">
        <v>362</v>
      </c>
      <c r="U1100" s="368" t="s">
        <v>867</v>
      </c>
      <c r="V1100" s="368" t="s">
        <v>867</v>
      </c>
      <c r="W1100" s="368" t="s">
        <v>1378</v>
      </c>
      <c r="X1100" s="368">
        <v>300</v>
      </c>
      <c r="Y1100" s="368">
        <v>99</v>
      </c>
      <c r="Z1100" s="368"/>
      <c r="AA1100" s="368"/>
      <c r="AB1100" s="368"/>
      <c r="AC1100" s="368"/>
      <c r="AD1100" s="368"/>
      <c r="AE1100" s="368"/>
      <c r="AF1100" s="377"/>
      <c r="AJ1100" s="337">
        <v>80</v>
      </c>
    </row>
    <row r="1101" spans="1:36">
      <c r="A1101" s="332">
        <f t="shared" si="43"/>
        <v>81</v>
      </c>
      <c r="G1101" s="349" t="s">
        <v>1651</v>
      </c>
      <c r="H1101" s="368" t="s">
        <v>1652</v>
      </c>
      <c r="I1101" s="368" t="s">
        <v>1653</v>
      </c>
      <c r="J1101" s="368" t="s">
        <v>1375</v>
      </c>
      <c r="K1101" s="368" t="s">
        <v>1653</v>
      </c>
      <c r="L1101" s="368" t="s">
        <v>1375</v>
      </c>
      <c r="M1101" s="368" t="s">
        <v>1376</v>
      </c>
      <c r="N1101" s="368" t="s">
        <v>867</v>
      </c>
      <c r="O1101" s="376">
        <v>2409</v>
      </c>
      <c r="P1101" s="368" t="s">
        <v>1447</v>
      </c>
      <c r="Q1101" s="368" t="s">
        <v>1386</v>
      </c>
      <c r="R1101" s="368" t="s">
        <v>867</v>
      </c>
      <c r="S1101" s="368" t="s">
        <v>864</v>
      </c>
      <c r="T1101" s="368" t="s">
        <v>362</v>
      </c>
      <c r="U1101" s="368" t="s">
        <v>867</v>
      </c>
      <c r="V1101" s="368" t="s">
        <v>867</v>
      </c>
      <c r="W1101" s="368" t="s">
        <v>1378</v>
      </c>
      <c r="X1101" s="368">
        <v>1500</v>
      </c>
      <c r="Y1101" s="368">
        <v>99</v>
      </c>
      <c r="Z1101" s="368"/>
      <c r="AA1101" s="368"/>
      <c r="AB1101" s="368"/>
      <c r="AC1101" s="368"/>
      <c r="AD1101" s="368"/>
      <c r="AE1101" s="368"/>
      <c r="AF1101" s="377"/>
      <c r="AJ1101" s="337">
        <v>81</v>
      </c>
    </row>
    <row r="1102" spans="1:36">
      <c r="A1102" s="332">
        <f t="shared" si="43"/>
        <v>82</v>
      </c>
      <c r="G1102" s="349" t="s">
        <v>1654</v>
      </c>
      <c r="H1102" s="368" t="s">
        <v>1655</v>
      </c>
      <c r="I1102" s="368" t="s">
        <v>1656</v>
      </c>
      <c r="J1102" s="368" t="s">
        <v>1375</v>
      </c>
      <c r="K1102" s="368" t="s">
        <v>1656</v>
      </c>
      <c r="L1102" s="368" t="s">
        <v>1375</v>
      </c>
      <c r="M1102" s="368" t="s">
        <v>1376</v>
      </c>
      <c r="N1102" s="368" t="s">
        <v>867</v>
      </c>
      <c r="O1102" s="376">
        <v>24397</v>
      </c>
      <c r="P1102" s="368" t="s">
        <v>1385</v>
      </c>
      <c r="Q1102" s="368" t="s">
        <v>1386</v>
      </c>
      <c r="R1102" s="368" t="s">
        <v>867</v>
      </c>
      <c r="S1102" s="368" t="s">
        <v>864</v>
      </c>
      <c r="T1102" s="368" t="s">
        <v>362</v>
      </c>
      <c r="U1102" s="368" t="s">
        <v>867</v>
      </c>
      <c r="V1102" s="368" t="s">
        <v>867</v>
      </c>
      <c r="W1102" s="368" t="s">
        <v>1378</v>
      </c>
      <c r="X1102" s="368">
        <v>2500</v>
      </c>
      <c r="Y1102" s="368">
        <v>99</v>
      </c>
      <c r="Z1102" s="368"/>
      <c r="AA1102" s="368"/>
      <c r="AB1102" s="368"/>
      <c r="AC1102" s="368"/>
      <c r="AD1102" s="368"/>
      <c r="AE1102" s="368"/>
      <c r="AF1102" s="377"/>
      <c r="AJ1102" s="337">
        <v>82</v>
      </c>
    </row>
    <row r="1103" spans="1:36">
      <c r="A1103" s="332">
        <f t="shared" si="43"/>
        <v>83</v>
      </c>
      <c r="G1103" s="349" t="s">
        <v>1657</v>
      </c>
      <c r="H1103" s="368" t="s">
        <v>1658</v>
      </c>
      <c r="I1103" s="368" t="s">
        <v>1659</v>
      </c>
      <c r="J1103" s="368" t="s">
        <v>1382</v>
      </c>
      <c r="K1103" s="368" t="s">
        <v>1660</v>
      </c>
      <c r="L1103" s="368" t="s">
        <v>1375</v>
      </c>
      <c r="M1103" s="368" t="s">
        <v>1384</v>
      </c>
      <c r="N1103" s="368" t="s">
        <v>867</v>
      </c>
      <c r="O1103" s="376">
        <v>20123</v>
      </c>
      <c r="P1103" s="368" t="s">
        <v>1385</v>
      </c>
      <c r="Q1103" s="368" t="s">
        <v>1386</v>
      </c>
      <c r="R1103" s="368" t="s">
        <v>867</v>
      </c>
      <c r="S1103" s="368" t="s">
        <v>864</v>
      </c>
      <c r="T1103" s="368" t="s">
        <v>362</v>
      </c>
      <c r="U1103" s="368" t="s">
        <v>867</v>
      </c>
      <c r="V1103" s="368" t="s">
        <v>867</v>
      </c>
      <c r="W1103" s="368" t="s">
        <v>1378</v>
      </c>
      <c r="X1103" s="368">
        <v>1200</v>
      </c>
      <c r="Y1103" s="368">
        <v>99</v>
      </c>
      <c r="Z1103" s="368"/>
      <c r="AA1103" s="368"/>
      <c r="AB1103" s="368"/>
      <c r="AC1103" s="368"/>
      <c r="AD1103" s="368"/>
      <c r="AE1103" s="368"/>
      <c r="AF1103" s="377"/>
      <c r="AJ1103" s="337">
        <v>83</v>
      </c>
    </row>
    <row r="1104" spans="1:36">
      <c r="A1104" s="332">
        <f t="shared" si="43"/>
        <v>84</v>
      </c>
      <c r="G1104" s="349" t="s">
        <v>1661</v>
      </c>
      <c r="H1104" s="368" t="s">
        <v>1662</v>
      </c>
      <c r="I1104" s="368" t="s">
        <v>1663</v>
      </c>
      <c r="J1104" s="368" t="s">
        <v>1399</v>
      </c>
      <c r="K1104" s="368" t="s">
        <v>1663</v>
      </c>
      <c r="L1104" s="368" t="s">
        <v>1399</v>
      </c>
      <c r="M1104" s="368" t="s">
        <v>1376</v>
      </c>
      <c r="N1104" s="368" t="s">
        <v>867</v>
      </c>
      <c r="O1104" s="376">
        <v>76450</v>
      </c>
      <c r="P1104" s="368" t="s">
        <v>1385</v>
      </c>
      <c r="Q1104" s="368" t="s">
        <v>1462</v>
      </c>
      <c r="R1104" s="368" t="s">
        <v>867</v>
      </c>
      <c r="S1104" s="368" t="s">
        <v>864</v>
      </c>
      <c r="T1104" s="368" t="s">
        <v>1387</v>
      </c>
      <c r="U1104" s="368" t="s">
        <v>867</v>
      </c>
      <c r="V1104" s="368" t="s">
        <v>867</v>
      </c>
      <c r="W1104" s="368" t="s">
        <v>1378</v>
      </c>
      <c r="X1104" s="368">
        <v>2710</v>
      </c>
      <c r="Y1104" s="368">
        <v>99</v>
      </c>
      <c r="Z1104" s="368"/>
      <c r="AA1104" s="368"/>
      <c r="AB1104" s="368"/>
      <c r="AC1104" s="368"/>
      <c r="AD1104" s="368"/>
      <c r="AE1104" s="368"/>
      <c r="AF1104" s="377"/>
      <c r="AJ1104" s="337">
        <v>84</v>
      </c>
    </row>
    <row r="1105" spans="1:36">
      <c r="A1105" s="332">
        <f t="shared" si="43"/>
        <v>85</v>
      </c>
      <c r="G1105" s="349" t="s">
        <v>1664</v>
      </c>
      <c r="H1105" s="368" t="s">
        <v>1665</v>
      </c>
      <c r="I1105" s="368" t="s">
        <v>1666</v>
      </c>
      <c r="J1105" s="368" t="s">
        <v>1433</v>
      </c>
      <c r="K1105" s="368" t="s">
        <v>1667</v>
      </c>
      <c r="L1105" s="368" t="s">
        <v>1375</v>
      </c>
      <c r="M1105" s="368" t="s">
        <v>1384</v>
      </c>
      <c r="N1105" s="368" t="s">
        <v>867</v>
      </c>
      <c r="O1105" s="376">
        <v>82968</v>
      </c>
      <c r="P1105" s="368" t="s">
        <v>1385</v>
      </c>
      <c r="Q1105" s="368" t="s">
        <v>1462</v>
      </c>
      <c r="R1105" s="368" t="s">
        <v>867</v>
      </c>
      <c r="S1105" s="368" t="s">
        <v>864</v>
      </c>
      <c r="T1105" s="368" t="s">
        <v>362</v>
      </c>
      <c r="U1105" s="368" t="s">
        <v>867</v>
      </c>
      <c r="V1105" s="368" t="s">
        <v>867</v>
      </c>
      <c r="W1105" s="368" t="s">
        <v>1378</v>
      </c>
      <c r="X1105" s="368">
        <v>300</v>
      </c>
      <c r="Y1105" s="368">
        <v>99</v>
      </c>
      <c r="Z1105" s="368"/>
      <c r="AA1105" s="368"/>
      <c r="AB1105" s="368"/>
      <c r="AC1105" s="368"/>
      <c r="AD1105" s="368"/>
      <c r="AE1105" s="368"/>
      <c r="AF1105" s="377"/>
      <c r="AJ1105" s="337">
        <v>85</v>
      </c>
    </row>
    <row r="1106" spans="1:36">
      <c r="A1106" s="332">
        <f t="shared" si="43"/>
        <v>86</v>
      </c>
      <c r="G1106" s="349" t="s">
        <v>1668</v>
      </c>
      <c r="H1106" s="368" t="s">
        <v>1669</v>
      </c>
      <c r="I1106" s="368" t="s">
        <v>1670</v>
      </c>
      <c r="J1106" s="368" t="s">
        <v>1375</v>
      </c>
      <c r="K1106" s="368" t="s">
        <v>1670</v>
      </c>
      <c r="L1106" s="368" t="s">
        <v>1375</v>
      </c>
      <c r="M1106" s="368" t="s">
        <v>1384</v>
      </c>
      <c r="N1106" s="368" t="s">
        <v>867</v>
      </c>
      <c r="O1106" s="376">
        <v>97253</v>
      </c>
      <c r="P1106" s="368" t="s">
        <v>1447</v>
      </c>
      <c r="Q1106" s="368" t="s">
        <v>1386</v>
      </c>
      <c r="R1106" s="368" t="s">
        <v>867</v>
      </c>
      <c r="S1106" s="368" t="s">
        <v>864</v>
      </c>
      <c r="T1106" s="368" t="s">
        <v>362</v>
      </c>
      <c r="U1106" s="368" t="s">
        <v>867</v>
      </c>
      <c r="V1106" s="368" t="s">
        <v>867</v>
      </c>
      <c r="W1106" s="368" t="s">
        <v>1378</v>
      </c>
      <c r="X1106" s="368">
        <v>0</v>
      </c>
      <c r="Y1106" s="368">
        <v>99</v>
      </c>
      <c r="Z1106" s="368"/>
      <c r="AA1106" s="368"/>
      <c r="AB1106" s="368"/>
      <c r="AC1106" s="368"/>
      <c r="AD1106" s="368"/>
      <c r="AE1106" s="368"/>
      <c r="AF1106" s="377"/>
      <c r="AJ1106" s="337">
        <v>86</v>
      </c>
    </row>
    <row r="1107" spans="1:36">
      <c r="A1107" s="332">
        <f t="shared" si="43"/>
        <v>87</v>
      </c>
      <c r="G1107" s="349" t="s">
        <v>1671</v>
      </c>
      <c r="H1107" s="368" t="s">
        <v>1672</v>
      </c>
      <c r="I1107" s="368" t="s">
        <v>1673</v>
      </c>
      <c r="J1107" s="368" t="s">
        <v>1375</v>
      </c>
      <c r="K1107" s="368" t="s">
        <v>1673</v>
      </c>
      <c r="L1107" s="368" t="s">
        <v>1375</v>
      </c>
      <c r="M1107" s="368" t="s">
        <v>1384</v>
      </c>
      <c r="N1107" s="368" t="s">
        <v>867</v>
      </c>
      <c r="O1107" s="376">
        <v>52818</v>
      </c>
      <c r="P1107" s="368" t="s">
        <v>1385</v>
      </c>
      <c r="Q1107" s="368" t="s">
        <v>1386</v>
      </c>
      <c r="R1107" s="368" t="s">
        <v>867</v>
      </c>
      <c r="S1107" s="368" t="s">
        <v>864</v>
      </c>
      <c r="T1107" s="368" t="s">
        <v>362</v>
      </c>
      <c r="U1107" s="368" t="s">
        <v>867</v>
      </c>
      <c r="V1107" s="368" t="s">
        <v>867</v>
      </c>
      <c r="W1107" s="368" t="s">
        <v>1378</v>
      </c>
      <c r="X1107" s="368">
        <v>1290</v>
      </c>
      <c r="Y1107" s="368">
        <v>99</v>
      </c>
      <c r="Z1107" s="368"/>
      <c r="AA1107" s="368"/>
      <c r="AB1107" s="368"/>
      <c r="AC1107" s="368"/>
      <c r="AD1107" s="368"/>
      <c r="AE1107" s="368"/>
      <c r="AF1107" s="377"/>
      <c r="AJ1107" s="337">
        <v>87</v>
      </c>
    </row>
    <row r="1108" spans="1:36">
      <c r="A1108" s="332">
        <f t="shared" si="43"/>
        <v>88</v>
      </c>
      <c r="G1108" s="349" t="s">
        <v>1674</v>
      </c>
      <c r="H1108" s="368" t="s">
        <v>1675</v>
      </c>
      <c r="I1108" s="368" t="s">
        <v>1676</v>
      </c>
      <c r="J1108" s="368" t="s">
        <v>1399</v>
      </c>
      <c r="K1108" s="368" t="s">
        <v>1676</v>
      </c>
      <c r="L1108" s="368" t="s">
        <v>1399</v>
      </c>
      <c r="M1108" s="368" t="s">
        <v>1376</v>
      </c>
      <c r="N1108" s="368" t="s">
        <v>864</v>
      </c>
      <c r="O1108" s="376">
        <v>16743</v>
      </c>
      <c r="P1108" s="368" t="s">
        <v>339</v>
      </c>
      <c r="Q1108" s="368" t="s">
        <v>1443</v>
      </c>
      <c r="R1108" s="368" t="s">
        <v>867</v>
      </c>
      <c r="S1108" s="368" t="s">
        <v>864</v>
      </c>
      <c r="T1108" s="368" t="s">
        <v>362</v>
      </c>
      <c r="U1108" s="368" t="s">
        <v>867</v>
      </c>
      <c r="V1108" s="368" t="s">
        <v>867</v>
      </c>
      <c r="W1108" s="368" t="s">
        <v>1378</v>
      </c>
      <c r="X1108" s="368">
        <v>2050</v>
      </c>
      <c r="Y1108" s="368">
        <v>99</v>
      </c>
      <c r="Z1108" s="368"/>
      <c r="AA1108" s="368"/>
      <c r="AB1108" s="368"/>
      <c r="AC1108" s="368"/>
      <c r="AD1108" s="368"/>
      <c r="AE1108" s="368"/>
      <c r="AF1108" s="377"/>
      <c r="AJ1108" s="337">
        <v>88</v>
      </c>
    </row>
    <row r="1109" spans="1:36">
      <c r="A1109" s="332">
        <f t="shared" si="43"/>
        <v>89</v>
      </c>
      <c r="G1109" s="349" t="s">
        <v>1677</v>
      </c>
      <c r="H1109" s="368" t="s">
        <v>1678</v>
      </c>
      <c r="I1109" s="368" t="s">
        <v>1679</v>
      </c>
      <c r="J1109" s="368" t="s">
        <v>1375</v>
      </c>
      <c r="K1109" s="368" t="s">
        <v>1679</v>
      </c>
      <c r="L1109" s="368" t="s">
        <v>1375</v>
      </c>
      <c r="M1109" s="368" t="s">
        <v>1376</v>
      </c>
      <c r="N1109" s="368" t="s">
        <v>867</v>
      </c>
      <c r="O1109" s="376">
        <v>93470</v>
      </c>
      <c r="P1109" s="368" t="s">
        <v>1385</v>
      </c>
      <c r="Q1109" s="368" t="s">
        <v>1386</v>
      </c>
      <c r="R1109" s="368" t="s">
        <v>867</v>
      </c>
      <c r="S1109" s="368" t="s">
        <v>864</v>
      </c>
      <c r="T1109" s="368" t="s">
        <v>362</v>
      </c>
      <c r="U1109" s="368" t="s">
        <v>867</v>
      </c>
      <c r="V1109" s="368" t="s">
        <v>867</v>
      </c>
      <c r="W1109" s="368" t="s">
        <v>1378</v>
      </c>
      <c r="X1109" s="368">
        <v>50</v>
      </c>
      <c r="Y1109" s="368">
        <v>99</v>
      </c>
      <c r="Z1109" s="368"/>
      <c r="AA1109" s="368"/>
      <c r="AB1109" s="368"/>
      <c r="AC1109" s="368"/>
      <c r="AD1109" s="368"/>
      <c r="AE1109" s="368"/>
      <c r="AF1109" s="377"/>
      <c r="AJ1109" s="337">
        <v>89</v>
      </c>
    </row>
    <row r="1110" spans="1:36">
      <c r="A1110" s="332">
        <f t="shared" si="43"/>
        <v>90</v>
      </c>
      <c r="G1110" s="349" t="s">
        <v>1680</v>
      </c>
      <c r="H1110" s="368" t="s">
        <v>1681</v>
      </c>
      <c r="I1110" s="368" t="s">
        <v>1682</v>
      </c>
      <c r="J1110" s="368" t="s">
        <v>1375</v>
      </c>
      <c r="K1110" s="368" t="s">
        <v>1682</v>
      </c>
      <c r="L1110" s="368" t="s">
        <v>1375</v>
      </c>
      <c r="M1110" s="368" t="s">
        <v>1376</v>
      </c>
      <c r="N1110" s="368" t="s">
        <v>867</v>
      </c>
      <c r="O1110" s="376">
        <v>71350</v>
      </c>
      <c r="P1110" s="368" t="s">
        <v>1385</v>
      </c>
      <c r="Q1110" s="368" t="s">
        <v>1553</v>
      </c>
      <c r="R1110" s="368" t="s">
        <v>867</v>
      </c>
      <c r="S1110" s="368" t="s">
        <v>864</v>
      </c>
      <c r="T1110" s="368" t="s">
        <v>362</v>
      </c>
      <c r="U1110" s="368" t="s">
        <v>867</v>
      </c>
      <c r="V1110" s="368" t="s">
        <v>867</v>
      </c>
      <c r="W1110" s="368" t="s">
        <v>1378</v>
      </c>
      <c r="X1110" s="368">
        <v>950</v>
      </c>
      <c r="Y1110" s="368">
        <v>99</v>
      </c>
      <c r="Z1110" s="368"/>
      <c r="AA1110" s="368"/>
      <c r="AB1110" s="368"/>
      <c r="AC1110" s="368"/>
      <c r="AD1110" s="368"/>
      <c r="AE1110" s="368"/>
      <c r="AF1110" s="377"/>
      <c r="AJ1110" s="337">
        <v>90</v>
      </c>
    </row>
    <row r="1111" spans="1:36">
      <c r="A1111" s="332">
        <f t="shared" si="43"/>
        <v>91</v>
      </c>
      <c r="G1111" s="349" t="s">
        <v>1683</v>
      </c>
      <c r="H1111" s="368" t="s">
        <v>1684</v>
      </c>
      <c r="I1111" s="368" t="s">
        <v>1685</v>
      </c>
      <c r="J1111" s="368" t="s">
        <v>1375</v>
      </c>
      <c r="K1111" s="368" t="s">
        <v>1685</v>
      </c>
      <c r="L1111" s="368" t="s">
        <v>1375</v>
      </c>
      <c r="M1111" s="368" t="s">
        <v>1376</v>
      </c>
      <c r="N1111" s="368" t="s">
        <v>867</v>
      </c>
      <c r="O1111" s="376">
        <v>29494</v>
      </c>
      <c r="P1111" s="368" t="s">
        <v>1447</v>
      </c>
      <c r="Q1111" s="368" t="s">
        <v>1386</v>
      </c>
      <c r="R1111" s="368" t="s">
        <v>867</v>
      </c>
      <c r="S1111" s="368" t="s">
        <v>864</v>
      </c>
      <c r="T1111" s="368" t="s">
        <v>362</v>
      </c>
      <c r="U1111" s="368" t="s">
        <v>867</v>
      </c>
      <c r="V1111" s="368" t="s">
        <v>867</v>
      </c>
      <c r="W1111" s="368" t="s">
        <v>1378</v>
      </c>
      <c r="X1111" s="368">
        <v>800</v>
      </c>
      <c r="Y1111" s="368">
        <v>99</v>
      </c>
      <c r="Z1111" s="368"/>
      <c r="AA1111" s="368"/>
      <c r="AB1111" s="368"/>
      <c r="AC1111" s="368"/>
      <c r="AD1111" s="368"/>
      <c r="AE1111" s="368"/>
      <c r="AF1111" s="377"/>
      <c r="AJ1111" s="337">
        <v>91</v>
      </c>
    </row>
    <row r="1112" spans="1:36">
      <c r="A1112" s="332">
        <f t="shared" si="43"/>
        <v>92</v>
      </c>
      <c r="G1112" s="349" t="s">
        <v>1686</v>
      </c>
      <c r="H1112" s="368" t="s">
        <v>1687</v>
      </c>
      <c r="I1112" s="368" t="s">
        <v>1679</v>
      </c>
      <c r="J1112" s="368" t="s">
        <v>1375</v>
      </c>
      <c r="K1112" s="368" t="s">
        <v>1679</v>
      </c>
      <c r="L1112" s="368" t="s">
        <v>1375</v>
      </c>
      <c r="M1112" s="368" t="s">
        <v>1376</v>
      </c>
      <c r="N1112" s="368" t="s">
        <v>867</v>
      </c>
      <c r="O1112" s="376">
        <v>85509</v>
      </c>
      <c r="P1112" s="368" t="s">
        <v>1385</v>
      </c>
      <c r="Q1112" s="368" t="s">
        <v>1688</v>
      </c>
      <c r="R1112" s="368" t="s">
        <v>867</v>
      </c>
      <c r="S1112" s="368" t="s">
        <v>864</v>
      </c>
      <c r="T1112" s="368" t="s">
        <v>362</v>
      </c>
      <c r="U1112" s="368" t="s">
        <v>867</v>
      </c>
      <c r="V1112" s="368" t="s">
        <v>867</v>
      </c>
      <c r="W1112" s="368" t="s">
        <v>1378</v>
      </c>
      <c r="X1112" s="368">
        <v>150</v>
      </c>
      <c r="Y1112" s="368">
        <v>99</v>
      </c>
      <c r="Z1112" s="368"/>
      <c r="AA1112" s="368"/>
      <c r="AB1112" s="368"/>
      <c r="AC1112" s="368"/>
      <c r="AD1112" s="368"/>
      <c r="AE1112" s="368"/>
      <c r="AF1112" s="377"/>
      <c r="AJ1112" s="337">
        <v>92</v>
      </c>
    </row>
    <row r="1113" spans="1:36">
      <c r="A1113" s="332">
        <f t="shared" si="43"/>
        <v>93</v>
      </c>
      <c r="G1113" s="349" t="s">
        <v>1689</v>
      </c>
      <c r="H1113" s="368" t="s">
        <v>1690</v>
      </c>
      <c r="I1113" s="368" t="s">
        <v>1691</v>
      </c>
      <c r="J1113" s="368" t="s">
        <v>1375</v>
      </c>
      <c r="K1113" s="368" t="s">
        <v>1691</v>
      </c>
      <c r="L1113" s="368" t="s">
        <v>1375</v>
      </c>
      <c r="M1113" s="368" t="s">
        <v>1376</v>
      </c>
      <c r="N1113" s="368" t="s">
        <v>867</v>
      </c>
      <c r="O1113" s="376">
        <v>46365</v>
      </c>
      <c r="P1113" s="368" t="s">
        <v>1385</v>
      </c>
      <c r="Q1113" s="368" t="s">
        <v>1386</v>
      </c>
      <c r="R1113" s="368" t="s">
        <v>867</v>
      </c>
      <c r="S1113" s="368" t="s">
        <v>864</v>
      </c>
      <c r="T1113" s="368" t="s">
        <v>362</v>
      </c>
      <c r="U1113" s="368" t="s">
        <v>867</v>
      </c>
      <c r="V1113" s="368" t="s">
        <v>867</v>
      </c>
      <c r="W1113" s="368" t="s">
        <v>1378</v>
      </c>
      <c r="X1113" s="368">
        <v>0</v>
      </c>
      <c r="Y1113" s="368">
        <v>99</v>
      </c>
      <c r="Z1113" s="368"/>
      <c r="AA1113" s="368"/>
      <c r="AB1113" s="368"/>
      <c r="AC1113" s="368"/>
      <c r="AD1113" s="368"/>
      <c r="AE1113" s="368"/>
      <c r="AF1113" s="377"/>
      <c r="AJ1113" s="337">
        <v>93</v>
      </c>
    </row>
    <row r="1114" spans="1:36">
      <c r="A1114" s="332">
        <f t="shared" si="43"/>
        <v>94</v>
      </c>
      <c r="G1114" s="349" t="s">
        <v>1692</v>
      </c>
      <c r="H1114" s="368" t="s">
        <v>1693</v>
      </c>
      <c r="I1114" s="368" t="s">
        <v>1694</v>
      </c>
      <c r="J1114" s="368" t="s">
        <v>1375</v>
      </c>
      <c r="K1114" s="368" t="s">
        <v>1694</v>
      </c>
      <c r="L1114" s="368" t="s">
        <v>1375</v>
      </c>
      <c r="M1114" s="368" t="s">
        <v>1384</v>
      </c>
      <c r="N1114" s="368" t="s">
        <v>867</v>
      </c>
      <c r="O1114" s="376">
        <v>15461</v>
      </c>
      <c r="P1114" s="368" t="s">
        <v>1385</v>
      </c>
      <c r="Q1114" s="368" t="s">
        <v>1386</v>
      </c>
      <c r="R1114" s="368" t="s">
        <v>867</v>
      </c>
      <c r="S1114" s="368" t="s">
        <v>864</v>
      </c>
      <c r="T1114" s="368" t="s">
        <v>362</v>
      </c>
      <c r="U1114" s="368" t="s">
        <v>867</v>
      </c>
      <c r="V1114" s="368" t="s">
        <v>867</v>
      </c>
      <c r="W1114" s="368" t="s">
        <v>1378</v>
      </c>
      <c r="X1114" s="368">
        <v>300</v>
      </c>
      <c r="Y1114" s="368">
        <v>99</v>
      </c>
      <c r="Z1114" s="368"/>
      <c r="AA1114" s="368"/>
      <c r="AB1114" s="368"/>
      <c r="AC1114" s="368"/>
      <c r="AD1114" s="368"/>
      <c r="AE1114" s="368"/>
      <c r="AF1114" s="377"/>
      <c r="AJ1114" s="337">
        <v>94</v>
      </c>
    </row>
    <row r="1115" spans="1:36">
      <c r="A1115" s="332">
        <f t="shared" si="43"/>
        <v>95</v>
      </c>
      <c r="G1115" s="349" t="s">
        <v>1695</v>
      </c>
      <c r="H1115" s="368" t="s">
        <v>1696</v>
      </c>
      <c r="I1115" s="368" t="s">
        <v>1694</v>
      </c>
      <c r="J1115" s="368" t="s">
        <v>1375</v>
      </c>
      <c r="K1115" s="368" t="s">
        <v>1694</v>
      </c>
      <c r="L1115" s="368" t="s">
        <v>1375</v>
      </c>
      <c r="M1115" s="368" t="s">
        <v>1384</v>
      </c>
      <c r="N1115" s="368" t="s">
        <v>867</v>
      </c>
      <c r="O1115" s="376">
        <v>14100</v>
      </c>
      <c r="P1115" s="368" t="s">
        <v>1385</v>
      </c>
      <c r="Q1115" s="368" t="s">
        <v>1386</v>
      </c>
      <c r="R1115" s="368" t="s">
        <v>867</v>
      </c>
      <c r="S1115" s="368" t="s">
        <v>864</v>
      </c>
      <c r="T1115" s="368" t="s">
        <v>362</v>
      </c>
      <c r="U1115" s="368" t="s">
        <v>867</v>
      </c>
      <c r="V1115" s="368" t="s">
        <v>867</v>
      </c>
      <c r="W1115" s="368" t="s">
        <v>1378</v>
      </c>
      <c r="X1115" s="368">
        <v>0</v>
      </c>
      <c r="Y1115" s="368">
        <v>99</v>
      </c>
      <c r="Z1115" s="368"/>
      <c r="AA1115" s="368"/>
      <c r="AB1115" s="368"/>
      <c r="AC1115" s="368"/>
      <c r="AD1115" s="368"/>
      <c r="AE1115" s="368"/>
      <c r="AF1115" s="377"/>
      <c r="AJ1115" s="337">
        <v>95</v>
      </c>
    </row>
    <row r="1116" spans="1:36">
      <c r="A1116" s="332">
        <f t="shared" si="43"/>
        <v>96</v>
      </c>
      <c r="G1116" s="349" t="s">
        <v>1697</v>
      </c>
      <c r="H1116" s="368" t="s">
        <v>1698</v>
      </c>
      <c r="I1116" s="368" t="s">
        <v>1699</v>
      </c>
      <c r="J1116" s="368" t="s">
        <v>1442</v>
      </c>
      <c r="K1116" s="368" t="s">
        <v>1699</v>
      </c>
      <c r="L1116" s="368" t="s">
        <v>1442</v>
      </c>
      <c r="M1116" s="368" t="s">
        <v>1700</v>
      </c>
      <c r="N1116" s="368" t="s">
        <v>867</v>
      </c>
      <c r="O1116" s="376">
        <v>62395</v>
      </c>
      <c r="P1116" s="368" t="s">
        <v>339</v>
      </c>
      <c r="Q1116" s="368" t="s">
        <v>1443</v>
      </c>
      <c r="R1116" s="368" t="s">
        <v>867</v>
      </c>
      <c r="S1116" s="368" t="s">
        <v>864</v>
      </c>
      <c r="T1116" s="368" t="s">
        <v>362</v>
      </c>
      <c r="U1116" s="368" t="s">
        <v>867</v>
      </c>
      <c r="V1116" s="368" t="s">
        <v>867</v>
      </c>
      <c r="W1116" s="368" t="s">
        <v>1378</v>
      </c>
      <c r="X1116" s="368">
        <v>3215</v>
      </c>
      <c r="Y1116" s="368">
        <v>99</v>
      </c>
      <c r="Z1116" s="368"/>
      <c r="AA1116" s="368"/>
      <c r="AB1116" s="368"/>
      <c r="AC1116" s="368"/>
      <c r="AD1116" s="368"/>
      <c r="AE1116" s="368"/>
      <c r="AF1116" s="377"/>
      <c r="AJ1116" s="337">
        <v>96</v>
      </c>
    </row>
    <row r="1117" spans="1:36">
      <c r="A1117" s="332">
        <f t="shared" si="43"/>
        <v>97</v>
      </c>
      <c r="G1117" s="349" t="s">
        <v>1701</v>
      </c>
      <c r="H1117" s="368" t="s">
        <v>1702</v>
      </c>
      <c r="I1117" s="368" t="s">
        <v>1703</v>
      </c>
      <c r="J1117" s="368" t="s">
        <v>1375</v>
      </c>
      <c r="K1117" s="368" t="s">
        <v>1703</v>
      </c>
      <c r="L1117" s="368" t="s">
        <v>1375</v>
      </c>
      <c r="M1117" s="368" t="s">
        <v>1384</v>
      </c>
      <c r="N1117" s="368" t="s">
        <v>867</v>
      </c>
      <c r="O1117" s="376">
        <v>23533</v>
      </c>
      <c r="P1117" s="368" t="s">
        <v>1385</v>
      </c>
      <c r="Q1117" s="368" t="s">
        <v>1386</v>
      </c>
      <c r="R1117" s="368" t="s">
        <v>867</v>
      </c>
      <c r="S1117" s="368" t="s">
        <v>864</v>
      </c>
      <c r="T1117" s="368" t="s">
        <v>362</v>
      </c>
      <c r="U1117" s="368" t="s">
        <v>867</v>
      </c>
      <c r="V1117" s="368" t="s">
        <v>867</v>
      </c>
      <c r="W1117" s="368" t="s">
        <v>1378</v>
      </c>
      <c r="X1117" s="368">
        <v>700</v>
      </c>
      <c r="Y1117" s="368">
        <v>99</v>
      </c>
      <c r="Z1117" s="368"/>
      <c r="AA1117" s="368"/>
      <c r="AB1117" s="368"/>
      <c r="AC1117" s="368"/>
      <c r="AD1117" s="368"/>
      <c r="AE1117" s="368"/>
      <c r="AF1117" s="377"/>
      <c r="AJ1117" s="337">
        <v>97</v>
      </c>
    </row>
    <row r="1118" spans="1:36">
      <c r="A1118" s="332">
        <f t="shared" si="43"/>
        <v>98</v>
      </c>
      <c r="G1118" s="349" t="s">
        <v>1704</v>
      </c>
      <c r="H1118" s="368" t="s">
        <v>1705</v>
      </c>
      <c r="I1118" s="368" t="s">
        <v>1706</v>
      </c>
      <c r="J1118" s="368" t="s">
        <v>1375</v>
      </c>
      <c r="K1118" s="368" t="s">
        <v>1706</v>
      </c>
      <c r="L1118" s="368" t="s">
        <v>1375</v>
      </c>
      <c r="M1118" s="368" t="s">
        <v>1384</v>
      </c>
      <c r="N1118" s="368" t="s">
        <v>867</v>
      </c>
      <c r="O1118" s="376">
        <v>68621</v>
      </c>
      <c r="P1118" s="368" t="s">
        <v>1385</v>
      </c>
      <c r="Q1118" s="368" t="s">
        <v>1386</v>
      </c>
      <c r="R1118" s="368" t="s">
        <v>867</v>
      </c>
      <c r="S1118" s="368" t="s">
        <v>864</v>
      </c>
      <c r="T1118" s="368" t="s">
        <v>362</v>
      </c>
      <c r="U1118" s="368" t="s">
        <v>867</v>
      </c>
      <c r="V1118" s="368" t="s">
        <v>867</v>
      </c>
      <c r="W1118" s="368" t="s">
        <v>1378</v>
      </c>
      <c r="X1118" s="368">
        <v>0</v>
      </c>
      <c r="Y1118" s="368">
        <v>99</v>
      </c>
      <c r="Z1118" s="368"/>
      <c r="AA1118" s="368"/>
      <c r="AB1118" s="368"/>
      <c r="AC1118" s="368"/>
      <c r="AD1118" s="368"/>
      <c r="AE1118" s="368"/>
      <c r="AF1118" s="377"/>
      <c r="AJ1118" s="337">
        <v>98</v>
      </c>
    </row>
    <row r="1119" spans="1:36">
      <c r="A1119" s="332">
        <f t="shared" si="43"/>
        <v>99</v>
      </c>
      <c r="G1119" s="349" t="s">
        <v>1707</v>
      </c>
      <c r="H1119" s="368" t="s">
        <v>1708</v>
      </c>
      <c r="I1119" s="368" t="s">
        <v>1709</v>
      </c>
      <c r="J1119" s="368" t="s">
        <v>1403</v>
      </c>
      <c r="K1119" s="368" t="s">
        <v>1709</v>
      </c>
      <c r="L1119" s="368" t="s">
        <v>1403</v>
      </c>
      <c r="M1119" s="368" t="s">
        <v>1376</v>
      </c>
      <c r="N1119" s="368" t="s">
        <v>867</v>
      </c>
      <c r="O1119" s="376">
        <v>85224</v>
      </c>
      <c r="P1119" s="368" t="s">
        <v>1447</v>
      </c>
      <c r="Q1119" s="368" t="s">
        <v>1443</v>
      </c>
      <c r="R1119" s="368" t="s">
        <v>867</v>
      </c>
      <c r="S1119" s="368" t="s">
        <v>864</v>
      </c>
      <c r="T1119" s="368" t="s">
        <v>362</v>
      </c>
      <c r="U1119" s="368" t="s">
        <v>867</v>
      </c>
      <c r="V1119" s="368" t="s">
        <v>867</v>
      </c>
      <c r="W1119" s="368" t="s">
        <v>1378</v>
      </c>
      <c r="X1119" s="368">
        <v>2625</v>
      </c>
      <c r="Y1119" s="368">
        <v>99</v>
      </c>
      <c r="Z1119" s="368"/>
      <c r="AA1119" s="368"/>
      <c r="AB1119" s="368"/>
      <c r="AC1119" s="368"/>
      <c r="AD1119" s="368"/>
      <c r="AE1119" s="368"/>
      <c r="AF1119" s="377"/>
      <c r="AJ1119" s="337">
        <v>99</v>
      </c>
    </row>
    <row r="1120" spans="1:36">
      <c r="A1120" s="332">
        <f t="shared" si="43"/>
        <v>100</v>
      </c>
      <c r="G1120" s="349" t="s">
        <v>1710</v>
      </c>
      <c r="H1120" s="368" t="s">
        <v>1711</v>
      </c>
      <c r="I1120" s="368" t="s">
        <v>1712</v>
      </c>
      <c r="J1120" s="368" t="s">
        <v>1375</v>
      </c>
      <c r="K1120" s="368" t="s">
        <v>1712</v>
      </c>
      <c r="L1120" s="368" t="s">
        <v>1375</v>
      </c>
      <c r="M1120" s="368" t="s">
        <v>1384</v>
      </c>
      <c r="N1120" s="368" t="s">
        <v>867</v>
      </c>
      <c r="O1120" s="376">
        <v>1344</v>
      </c>
      <c r="P1120" s="368" t="s">
        <v>1385</v>
      </c>
      <c r="Q1120" s="368" t="s">
        <v>1688</v>
      </c>
      <c r="R1120" s="368" t="s">
        <v>867</v>
      </c>
      <c r="S1120" s="368" t="s">
        <v>864</v>
      </c>
      <c r="T1120" s="368" t="s">
        <v>362</v>
      </c>
      <c r="U1120" s="368" t="s">
        <v>867</v>
      </c>
      <c r="V1120" s="368" t="s">
        <v>867</v>
      </c>
      <c r="W1120" s="368" t="s">
        <v>1378</v>
      </c>
      <c r="X1120" s="368">
        <v>0</v>
      </c>
      <c r="Y1120" s="368">
        <v>99</v>
      </c>
      <c r="Z1120" s="368"/>
      <c r="AA1120" s="368"/>
      <c r="AB1120" s="368"/>
      <c r="AC1120" s="368"/>
      <c r="AD1120" s="368"/>
      <c r="AE1120" s="368"/>
      <c r="AF1120" s="377"/>
      <c r="AJ1120" s="337">
        <v>100</v>
      </c>
    </row>
    <row r="1121" spans="1:36">
      <c r="A1121" s="332">
        <f t="shared" si="43"/>
        <v>101</v>
      </c>
      <c r="G1121" s="349" t="s">
        <v>1713</v>
      </c>
      <c r="H1121" s="368" t="s">
        <v>1714</v>
      </c>
      <c r="I1121" s="368" t="s">
        <v>1715</v>
      </c>
      <c r="J1121" s="368" t="s">
        <v>1375</v>
      </c>
      <c r="K1121" s="368" t="s">
        <v>1715</v>
      </c>
      <c r="L1121" s="368" t="s">
        <v>1375</v>
      </c>
      <c r="M1121" s="368" t="s">
        <v>1384</v>
      </c>
      <c r="N1121" s="368" t="s">
        <v>867</v>
      </c>
      <c r="O1121" s="376">
        <v>74290</v>
      </c>
      <c r="P1121" s="368" t="s">
        <v>1385</v>
      </c>
      <c r="Q1121" s="368" t="s">
        <v>1386</v>
      </c>
      <c r="R1121" s="368" t="s">
        <v>867</v>
      </c>
      <c r="S1121" s="368" t="s">
        <v>864</v>
      </c>
      <c r="T1121" s="368" t="s">
        <v>362</v>
      </c>
      <c r="U1121" s="368" t="s">
        <v>867</v>
      </c>
      <c r="V1121" s="368" t="s">
        <v>867</v>
      </c>
      <c r="W1121" s="368" t="s">
        <v>1378</v>
      </c>
      <c r="X1121" s="368">
        <v>0</v>
      </c>
      <c r="Y1121" s="368">
        <v>99</v>
      </c>
      <c r="Z1121" s="368"/>
      <c r="AA1121" s="368"/>
      <c r="AB1121" s="368"/>
      <c r="AC1121" s="368"/>
      <c r="AD1121" s="368"/>
      <c r="AE1121" s="368"/>
      <c r="AF1121" s="377"/>
      <c r="AJ1121" s="337">
        <v>101</v>
      </c>
    </row>
    <row r="1122" spans="1:36">
      <c r="A1122" s="332">
        <f t="shared" si="43"/>
        <v>102</v>
      </c>
      <c r="G1122" s="349" t="s">
        <v>1716</v>
      </c>
      <c r="H1122" s="368" t="s">
        <v>1717</v>
      </c>
      <c r="I1122" s="368" t="s">
        <v>1718</v>
      </c>
      <c r="J1122" s="368" t="s">
        <v>1375</v>
      </c>
      <c r="K1122" s="368" t="s">
        <v>1718</v>
      </c>
      <c r="L1122" s="368" t="s">
        <v>1375</v>
      </c>
      <c r="M1122" s="368" t="s">
        <v>1384</v>
      </c>
      <c r="N1122" s="368" t="s">
        <v>867</v>
      </c>
      <c r="O1122" s="376">
        <v>31170</v>
      </c>
      <c r="P1122" s="368" t="s">
        <v>1385</v>
      </c>
      <c r="Q1122" s="368" t="s">
        <v>1386</v>
      </c>
      <c r="R1122" s="368" t="s">
        <v>867</v>
      </c>
      <c r="S1122" s="368" t="s">
        <v>864</v>
      </c>
      <c r="T1122" s="368" t="s">
        <v>362</v>
      </c>
      <c r="U1122" s="368" t="s">
        <v>867</v>
      </c>
      <c r="V1122" s="368" t="s">
        <v>867</v>
      </c>
      <c r="W1122" s="368" t="s">
        <v>1378</v>
      </c>
      <c r="X1122" s="368">
        <v>0</v>
      </c>
      <c r="Y1122" s="368">
        <v>99</v>
      </c>
      <c r="Z1122" s="368"/>
      <c r="AA1122" s="368"/>
      <c r="AB1122" s="368"/>
      <c r="AC1122" s="368"/>
      <c r="AD1122" s="368"/>
      <c r="AE1122" s="368"/>
      <c r="AF1122" s="377"/>
      <c r="AJ1122" s="337">
        <v>102</v>
      </c>
    </row>
    <row r="1123" spans="1:36">
      <c r="A1123" s="332">
        <f t="shared" si="43"/>
        <v>103</v>
      </c>
      <c r="G1123" s="349" t="s">
        <v>1719</v>
      </c>
      <c r="H1123" s="368" t="s">
        <v>1720</v>
      </c>
      <c r="I1123" s="368" t="s">
        <v>1721</v>
      </c>
      <c r="J1123" s="368" t="s">
        <v>1442</v>
      </c>
      <c r="K1123" s="368" t="s">
        <v>1721</v>
      </c>
      <c r="L1123" s="368" t="s">
        <v>1442</v>
      </c>
      <c r="M1123" s="368" t="s">
        <v>1384</v>
      </c>
      <c r="N1123" s="368" t="s">
        <v>867</v>
      </c>
      <c r="O1123" s="376">
        <v>13140</v>
      </c>
      <c r="P1123" s="368" t="s">
        <v>1385</v>
      </c>
      <c r="Q1123" s="368" t="s">
        <v>1443</v>
      </c>
      <c r="R1123" s="368" t="s">
        <v>867</v>
      </c>
      <c r="S1123" s="368" t="s">
        <v>864</v>
      </c>
      <c r="T1123" s="368" t="s">
        <v>362</v>
      </c>
      <c r="U1123" s="368" t="s">
        <v>867</v>
      </c>
      <c r="V1123" s="368" t="s">
        <v>867</v>
      </c>
      <c r="W1123" s="368" t="s">
        <v>1378</v>
      </c>
      <c r="X1123" s="368">
        <v>0</v>
      </c>
      <c r="Y1123" s="368">
        <v>99</v>
      </c>
      <c r="Z1123" s="368"/>
      <c r="AA1123" s="368"/>
      <c r="AB1123" s="368"/>
      <c r="AC1123" s="368"/>
      <c r="AD1123" s="368"/>
      <c r="AE1123" s="368"/>
      <c r="AF1123" s="377"/>
      <c r="AJ1123" s="337">
        <v>103</v>
      </c>
    </row>
    <row r="1124" spans="1:36">
      <c r="A1124" s="332">
        <f t="shared" si="43"/>
        <v>104</v>
      </c>
      <c r="G1124" s="349" t="s">
        <v>1722</v>
      </c>
      <c r="H1124" s="368" t="s">
        <v>1723</v>
      </c>
      <c r="I1124" s="368" t="s">
        <v>1724</v>
      </c>
      <c r="J1124" s="368" t="s">
        <v>1375</v>
      </c>
      <c r="K1124" s="368" t="s">
        <v>1724</v>
      </c>
      <c r="L1124" s="368" t="s">
        <v>1375</v>
      </c>
      <c r="M1124" s="368" t="s">
        <v>1384</v>
      </c>
      <c r="N1124" s="368" t="s">
        <v>867</v>
      </c>
      <c r="O1124" s="376">
        <v>7413</v>
      </c>
      <c r="P1124" s="368" t="s">
        <v>1385</v>
      </c>
      <c r="Q1124" s="368" t="s">
        <v>1688</v>
      </c>
      <c r="R1124" s="368" t="s">
        <v>867</v>
      </c>
      <c r="S1124" s="368" t="s">
        <v>864</v>
      </c>
      <c r="T1124" s="368" t="s">
        <v>362</v>
      </c>
      <c r="U1124" s="368" t="s">
        <v>867</v>
      </c>
      <c r="V1124" s="368" t="s">
        <v>867</v>
      </c>
      <c r="W1124" s="368" t="s">
        <v>1378</v>
      </c>
      <c r="X1124" s="368">
        <v>0</v>
      </c>
      <c r="Y1124" s="368">
        <v>99</v>
      </c>
      <c r="Z1124" s="368"/>
      <c r="AA1124" s="368"/>
      <c r="AB1124" s="368"/>
      <c r="AC1124" s="368"/>
      <c r="AD1124" s="368"/>
      <c r="AE1124" s="368"/>
      <c r="AF1124" s="377"/>
      <c r="AJ1124" s="337">
        <v>104</v>
      </c>
    </row>
    <row r="1125" spans="1:36">
      <c r="A1125" s="332">
        <f t="shared" si="43"/>
        <v>105</v>
      </c>
      <c r="G1125" s="349" t="s">
        <v>1725</v>
      </c>
      <c r="H1125" s="368" t="s">
        <v>1726</v>
      </c>
      <c r="I1125" s="368" t="s">
        <v>1727</v>
      </c>
      <c r="J1125" s="368" t="s">
        <v>1433</v>
      </c>
      <c r="K1125" s="368" t="s">
        <v>1727</v>
      </c>
      <c r="L1125" s="368" t="s">
        <v>1433</v>
      </c>
      <c r="M1125" s="368" t="s">
        <v>1384</v>
      </c>
      <c r="N1125" s="368" t="s">
        <v>867</v>
      </c>
      <c r="O1125" s="376">
        <v>44844</v>
      </c>
      <c r="P1125" s="368" t="s">
        <v>1385</v>
      </c>
      <c r="Q1125" s="368" t="s">
        <v>1443</v>
      </c>
      <c r="R1125" s="368" t="s">
        <v>867</v>
      </c>
      <c r="S1125" s="368" t="s">
        <v>864</v>
      </c>
      <c r="T1125" s="368" t="s">
        <v>362</v>
      </c>
      <c r="U1125" s="368" t="s">
        <v>867</v>
      </c>
      <c r="V1125" s="368" t="s">
        <v>867</v>
      </c>
      <c r="W1125" s="368" t="s">
        <v>1378</v>
      </c>
      <c r="X1125" s="368">
        <v>0</v>
      </c>
      <c r="Y1125" s="368">
        <v>99</v>
      </c>
      <c r="Z1125" s="368"/>
      <c r="AA1125" s="368"/>
      <c r="AB1125" s="368"/>
      <c r="AC1125" s="368"/>
      <c r="AD1125" s="368"/>
      <c r="AE1125" s="368"/>
      <c r="AF1125" s="377"/>
      <c r="AJ1125" s="337">
        <v>105</v>
      </c>
    </row>
    <row r="1126" spans="1:36">
      <c r="A1126" s="332">
        <f t="shared" si="43"/>
        <v>106</v>
      </c>
      <c r="G1126" s="349" t="s">
        <v>1728</v>
      </c>
      <c r="H1126" s="368" t="s">
        <v>1729</v>
      </c>
      <c r="I1126" s="368" t="s">
        <v>1730</v>
      </c>
      <c r="J1126" s="368" t="s">
        <v>1399</v>
      </c>
      <c r="K1126" s="368" t="s">
        <v>1730</v>
      </c>
      <c r="L1126" s="368" t="s">
        <v>1399</v>
      </c>
      <c r="M1126" s="368" t="s">
        <v>1384</v>
      </c>
      <c r="N1126" s="368" t="s">
        <v>867</v>
      </c>
      <c r="O1126" s="376">
        <v>89120</v>
      </c>
      <c r="P1126" s="368" t="s">
        <v>1385</v>
      </c>
      <c r="Q1126" s="368" t="s">
        <v>1386</v>
      </c>
      <c r="R1126" s="368" t="s">
        <v>867</v>
      </c>
      <c r="S1126" s="368" t="s">
        <v>864</v>
      </c>
      <c r="T1126" s="368" t="s">
        <v>1387</v>
      </c>
      <c r="U1126" s="368" t="s">
        <v>867</v>
      </c>
      <c r="V1126" s="368" t="s">
        <v>867</v>
      </c>
      <c r="W1126" s="368" t="s">
        <v>1378</v>
      </c>
      <c r="X1126" s="368">
        <v>4500</v>
      </c>
      <c r="Y1126" s="368">
        <v>99</v>
      </c>
      <c r="Z1126" s="368"/>
      <c r="AA1126" s="368"/>
      <c r="AB1126" s="368"/>
      <c r="AC1126" s="368"/>
      <c r="AD1126" s="368"/>
      <c r="AE1126" s="368"/>
      <c r="AF1126" s="377"/>
      <c r="AJ1126" s="337">
        <v>106</v>
      </c>
    </row>
    <row r="1127" spans="1:36">
      <c r="A1127" s="332">
        <f t="shared" si="43"/>
        <v>107</v>
      </c>
      <c r="G1127" s="349" t="s">
        <v>1731</v>
      </c>
      <c r="H1127" s="368" t="s">
        <v>1732</v>
      </c>
      <c r="I1127" s="368" t="s">
        <v>1730</v>
      </c>
      <c r="J1127" s="368" t="s">
        <v>1522</v>
      </c>
      <c r="K1127" s="368" t="s">
        <v>1730</v>
      </c>
      <c r="L1127" s="368" t="s">
        <v>1522</v>
      </c>
      <c r="M1127" s="368" t="s">
        <v>1384</v>
      </c>
      <c r="N1127" s="368" t="s">
        <v>867</v>
      </c>
      <c r="O1127" s="376">
        <v>25915</v>
      </c>
      <c r="P1127" s="368" t="s">
        <v>1385</v>
      </c>
      <c r="Q1127" s="368" t="s">
        <v>1386</v>
      </c>
      <c r="R1127" s="368" t="s">
        <v>867</v>
      </c>
      <c r="S1127" s="368" t="s">
        <v>864</v>
      </c>
      <c r="T1127" s="368" t="s">
        <v>1387</v>
      </c>
      <c r="U1127" s="368" t="s">
        <v>867</v>
      </c>
      <c r="V1127" s="368" t="s">
        <v>867</v>
      </c>
      <c r="W1127" s="368" t="s">
        <v>1378</v>
      </c>
      <c r="X1127" s="368">
        <v>0</v>
      </c>
      <c r="Y1127" s="368">
        <v>99</v>
      </c>
      <c r="Z1127" s="368"/>
      <c r="AA1127" s="368"/>
      <c r="AB1127" s="368"/>
      <c r="AC1127" s="368"/>
      <c r="AD1127" s="368"/>
      <c r="AE1127" s="368"/>
      <c r="AF1127" s="377"/>
      <c r="AJ1127" s="337">
        <v>107</v>
      </c>
    </row>
    <row r="1128" spans="1:36">
      <c r="A1128" s="332">
        <f t="shared" si="43"/>
        <v>108</v>
      </c>
      <c r="G1128" s="349" t="s">
        <v>1733</v>
      </c>
      <c r="H1128" s="368" t="s">
        <v>1734</v>
      </c>
      <c r="I1128" s="368" t="s">
        <v>1735</v>
      </c>
      <c r="J1128" s="368" t="s">
        <v>1375</v>
      </c>
      <c r="K1128" s="368" t="s">
        <v>1735</v>
      </c>
      <c r="L1128" s="368" t="s">
        <v>1375</v>
      </c>
      <c r="M1128" s="368" t="s">
        <v>1384</v>
      </c>
      <c r="N1128" s="368" t="s">
        <v>867</v>
      </c>
      <c r="O1128" s="376">
        <v>81372</v>
      </c>
      <c r="P1128" s="368" t="s">
        <v>1385</v>
      </c>
      <c r="Q1128" s="368" t="s">
        <v>1688</v>
      </c>
      <c r="R1128" s="368" t="s">
        <v>867</v>
      </c>
      <c r="S1128" s="368" t="s">
        <v>864</v>
      </c>
      <c r="T1128" s="368" t="s">
        <v>362</v>
      </c>
      <c r="U1128" s="368" t="s">
        <v>867</v>
      </c>
      <c r="V1128" s="368" t="s">
        <v>867</v>
      </c>
      <c r="W1128" s="368" t="s">
        <v>1378</v>
      </c>
      <c r="X1128" s="368">
        <v>0</v>
      </c>
      <c r="Y1128" s="368">
        <v>99</v>
      </c>
      <c r="Z1128" s="368"/>
      <c r="AA1128" s="368"/>
      <c r="AB1128" s="368"/>
      <c r="AC1128" s="368"/>
      <c r="AD1128" s="368"/>
      <c r="AE1128" s="368"/>
      <c r="AF1128" s="377"/>
      <c r="AJ1128" s="337">
        <v>108</v>
      </c>
    </row>
    <row r="1129" spans="1:36">
      <c r="A1129" s="332">
        <f t="shared" si="43"/>
        <v>109</v>
      </c>
      <c r="G1129" s="349" t="s">
        <v>1736</v>
      </c>
      <c r="H1129" s="368" t="s">
        <v>1737</v>
      </c>
      <c r="I1129" s="368" t="s">
        <v>1738</v>
      </c>
      <c r="J1129" s="368" t="s">
        <v>1375</v>
      </c>
      <c r="K1129" s="368" t="s">
        <v>1738</v>
      </c>
      <c r="L1129" s="368" t="s">
        <v>1375</v>
      </c>
      <c r="M1129" s="368" t="s">
        <v>1384</v>
      </c>
      <c r="N1129" s="368" t="s">
        <v>867</v>
      </c>
      <c r="O1129" s="376">
        <v>58475</v>
      </c>
      <c r="P1129" s="368" t="s">
        <v>1385</v>
      </c>
      <c r="Q1129" s="368" t="s">
        <v>1386</v>
      </c>
      <c r="R1129" s="368" t="s">
        <v>867</v>
      </c>
      <c r="S1129" s="368" t="s">
        <v>864</v>
      </c>
      <c r="T1129" s="368" t="s">
        <v>362</v>
      </c>
      <c r="U1129" s="368" t="s">
        <v>867</v>
      </c>
      <c r="V1129" s="368" t="s">
        <v>867</v>
      </c>
      <c r="W1129" s="368" t="s">
        <v>1378</v>
      </c>
      <c r="X1129" s="368">
        <v>300</v>
      </c>
      <c r="Y1129" s="368">
        <v>99</v>
      </c>
      <c r="Z1129" s="368"/>
      <c r="AA1129" s="368"/>
      <c r="AB1129" s="368"/>
      <c r="AC1129" s="368"/>
      <c r="AD1129" s="368"/>
      <c r="AE1129" s="368"/>
      <c r="AF1129" s="377"/>
      <c r="AJ1129" s="337">
        <v>109</v>
      </c>
    </row>
    <row r="1130" spans="1:36">
      <c r="A1130" s="332">
        <f t="shared" si="43"/>
        <v>110</v>
      </c>
      <c r="G1130" s="349" t="s">
        <v>1739</v>
      </c>
      <c r="H1130" s="368" t="s">
        <v>1740</v>
      </c>
      <c r="I1130" s="368" t="s">
        <v>1741</v>
      </c>
      <c r="J1130" s="368" t="s">
        <v>1375</v>
      </c>
      <c r="K1130" s="368" t="s">
        <v>1741</v>
      </c>
      <c r="L1130" s="368" t="s">
        <v>1375</v>
      </c>
      <c r="M1130" s="368" t="s">
        <v>1384</v>
      </c>
      <c r="N1130" s="368" t="s">
        <v>867</v>
      </c>
      <c r="O1130" s="376">
        <v>95050</v>
      </c>
      <c r="P1130" s="368" t="s">
        <v>1385</v>
      </c>
      <c r="Q1130" s="368" t="s">
        <v>1386</v>
      </c>
      <c r="R1130" s="368" t="s">
        <v>867</v>
      </c>
      <c r="S1130" s="368" t="s">
        <v>864</v>
      </c>
      <c r="T1130" s="368" t="s">
        <v>362</v>
      </c>
      <c r="U1130" s="368" t="s">
        <v>867</v>
      </c>
      <c r="V1130" s="368" t="s">
        <v>867</v>
      </c>
      <c r="W1130" s="368" t="s">
        <v>1378</v>
      </c>
      <c r="X1130" s="368">
        <v>0</v>
      </c>
      <c r="Y1130" s="368">
        <v>99</v>
      </c>
      <c r="Z1130" s="368"/>
      <c r="AA1130" s="368"/>
      <c r="AB1130" s="368"/>
      <c r="AC1130" s="368"/>
      <c r="AD1130" s="368"/>
      <c r="AE1130" s="368"/>
      <c r="AF1130" s="377"/>
      <c r="AJ1130" s="337">
        <v>110</v>
      </c>
    </row>
    <row r="1131" spans="1:36">
      <c r="A1131" s="332">
        <f t="shared" si="43"/>
        <v>111</v>
      </c>
      <c r="G1131" s="349" t="s">
        <v>1742</v>
      </c>
      <c r="H1131" s="368" t="s">
        <v>1743</v>
      </c>
      <c r="I1131" s="368" t="s">
        <v>1744</v>
      </c>
      <c r="J1131" s="368" t="s">
        <v>1375</v>
      </c>
      <c r="K1131" s="368" t="s">
        <v>1744</v>
      </c>
      <c r="L1131" s="368" t="s">
        <v>1375</v>
      </c>
      <c r="M1131" s="368" t="s">
        <v>1384</v>
      </c>
      <c r="N1131" s="368" t="s">
        <v>867</v>
      </c>
      <c r="O1131" s="376">
        <v>14590</v>
      </c>
      <c r="P1131" s="368" t="s">
        <v>1385</v>
      </c>
      <c r="Q1131" s="368" t="s">
        <v>1443</v>
      </c>
      <c r="R1131" s="368" t="s">
        <v>867</v>
      </c>
      <c r="S1131" s="368" t="s">
        <v>867</v>
      </c>
      <c r="T1131" s="368" t="s">
        <v>362</v>
      </c>
      <c r="U1131" s="368" t="s">
        <v>867</v>
      </c>
      <c r="V1131" s="368" t="s">
        <v>867</v>
      </c>
      <c r="W1131" s="368" t="s">
        <v>1378</v>
      </c>
      <c r="X1131" s="368">
        <v>2200</v>
      </c>
      <c r="Y1131" s="368">
        <v>99</v>
      </c>
      <c r="Z1131" s="368"/>
      <c r="AA1131" s="368"/>
      <c r="AB1131" s="368"/>
      <c r="AC1131" s="368"/>
      <c r="AD1131" s="368"/>
      <c r="AE1131" s="368"/>
      <c r="AF1131" s="377"/>
      <c r="AJ1131" s="337">
        <v>111</v>
      </c>
    </row>
    <row r="1132" spans="1:36">
      <c r="A1132" s="332">
        <f t="shared" si="43"/>
        <v>112</v>
      </c>
      <c r="G1132" s="349" t="s">
        <v>1745</v>
      </c>
      <c r="H1132" s="368" t="s">
        <v>1746</v>
      </c>
      <c r="I1132" s="368" t="s">
        <v>1747</v>
      </c>
      <c r="J1132" s="368" t="s">
        <v>1375</v>
      </c>
      <c r="K1132" s="368" t="s">
        <v>1747</v>
      </c>
      <c r="L1132" s="368" t="s">
        <v>1375</v>
      </c>
      <c r="M1132" s="368" t="s">
        <v>1384</v>
      </c>
      <c r="N1132" s="368" t="s">
        <v>867</v>
      </c>
      <c r="O1132" s="376">
        <v>5111</v>
      </c>
      <c r="P1132" s="368" t="s">
        <v>1385</v>
      </c>
      <c r="Q1132" s="368" t="s">
        <v>1386</v>
      </c>
      <c r="R1132" s="368" t="s">
        <v>867</v>
      </c>
      <c r="S1132" s="368" t="s">
        <v>864</v>
      </c>
      <c r="T1132" s="368" t="s">
        <v>362</v>
      </c>
      <c r="U1132" s="368" t="s">
        <v>867</v>
      </c>
      <c r="V1132" s="368" t="s">
        <v>867</v>
      </c>
      <c r="W1132" s="368" t="s">
        <v>1378</v>
      </c>
      <c r="X1132" s="368">
        <v>400</v>
      </c>
      <c r="Y1132" s="368">
        <v>99</v>
      </c>
      <c r="Z1132" s="368"/>
      <c r="AA1132" s="368"/>
      <c r="AB1132" s="368"/>
      <c r="AC1132" s="368"/>
      <c r="AD1132" s="368"/>
      <c r="AE1132" s="368"/>
      <c r="AF1132" s="377"/>
      <c r="AJ1132" s="337">
        <v>112</v>
      </c>
    </row>
    <row r="1133" spans="1:36">
      <c r="A1133" s="332">
        <f t="shared" si="43"/>
        <v>113</v>
      </c>
      <c r="G1133" s="349" t="s">
        <v>1748</v>
      </c>
      <c r="H1133" s="368" t="s">
        <v>1749</v>
      </c>
      <c r="I1133" s="368" t="s">
        <v>1750</v>
      </c>
      <c r="J1133" s="368" t="s">
        <v>1375</v>
      </c>
      <c r="K1133" s="368" t="s">
        <v>1750</v>
      </c>
      <c r="L1133" s="368" t="s">
        <v>1375</v>
      </c>
      <c r="M1133" s="368" t="s">
        <v>1384</v>
      </c>
      <c r="N1133" s="368" t="s">
        <v>867</v>
      </c>
      <c r="O1133" s="376">
        <v>16310</v>
      </c>
      <c r="P1133" s="368" t="s">
        <v>1385</v>
      </c>
      <c r="Q1133" s="368" t="s">
        <v>1443</v>
      </c>
      <c r="R1133" s="368" t="s">
        <v>867</v>
      </c>
      <c r="S1133" s="368" t="s">
        <v>864</v>
      </c>
      <c r="T1133" s="368" t="s">
        <v>362</v>
      </c>
      <c r="U1133" s="368" t="s">
        <v>867</v>
      </c>
      <c r="V1133" s="368" t="s">
        <v>867</v>
      </c>
      <c r="W1133" s="368" t="s">
        <v>1378</v>
      </c>
      <c r="X1133" s="368">
        <v>1860</v>
      </c>
      <c r="Y1133" s="368">
        <v>99</v>
      </c>
      <c r="Z1133" s="368"/>
      <c r="AA1133" s="368"/>
      <c r="AB1133" s="368"/>
      <c r="AC1133" s="368"/>
      <c r="AD1133" s="368"/>
      <c r="AE1133" s="368"/>
      <c r="AF1133" s="377"/>
      <c r="AJ1133" s="337">
        <v>113</v>
      </c>
    </row>
    <row r="1134" spans="1:36">
      <c r="A1134" s="332">
        <f t="shared" si="43"/>
        <v>114</v>
      </c>
      <c r="G1134" s="349" t="s">
        <v>1751</v>
      </c>
      <c r="H1134" s="368" t="s">
        <v>1752</v>
      </c>
      <c r="I1134" s="368" t="s">
        <v>1753</v>
      </c>
      <c r="J1134" s="368" t="s">
        <v>1375</v>
      </c>
      <c r="K1134" s="368" t="s">
        <v>1753</v>
      </c>
      <c r="L1134" s="368" t="s">
        <v>1375</v>
      </c>
      <c r="M1134" s="368" t="s">
        <v>1384</v>
      </c>
      <c r="N1134" s="368" t="s">
        <v>867</v>
      </c>
      <c r="O1134" s="376">
        <v>49494</v>
      </c>
      <c r="P1134" s="368" t="s">
        <v>1385</v>
      </c>
      <c r="Q1134" s="368" t="s">
        <v>1443</v>
      </c>
      <c r="R1134" s="368" t="s">
        <v>867</v>
      </c>
      <c r="S1134" s="368" t="s">
        <v>864</v>
      </c>
      <c r="T1134" s="368" t="s">
        <v>362</v>
      </c>
      <c r="U1134" s="368" t="s">
        <v>867</v>
      </c>
      <c r="V1134" s="368" t="s">
        <v>867</v>
      </c>
      <c r="W1134" s="368" t="s">
        <v>1378</v>
      </c>
      <c r="X1134" s="368">
        <v>0</v>
      </c>
      <c r="Y1134" s="368">
        <v>99</v>
      </c>
      <c r="Z1134" s="368"/>
      <c r="AA1134" s="368"/>
      <c r="AB1134" s="368"/>
      <c r="AC1134" s="368"/>
      <c r="AD1134" s="368"/>
      <c r="AE1134" s="368"/>
      <c r="AF1134" s="377"/>
      <c r="AJ1134" s="337">
        <v>114</v>
      </c>
    </row>
    <row r="1135" spans="1:36">
      <c r="A1135" s="332">
        <f t="shared" si="43"/>
        <v>115</v>
      </c>
      <c r="G1135" s="349" t="s">
        <v>1754</v>
      </c>
      <c r="H1135" s="368" t="s">
        <v>1755</v>
      </c>
      <c r="I1135" s="368" t="s">
        <v>1756</v>
      </c>
      <c r="J1135" s="368" t="s">
        <v>1399</v>
      </c>
      <c r="K1135" s="368" t="s">
        <v>1756</v>
      </c>
      <c r="L1135" s="368" t="s">
        <v>1399</v>
      </c>
      <c r="M1135" s="368" t="s">
        <v>1384</v>
      </c>
      <c r="N1135" s="368" t="s">
        <v>867</v>
      </c>
      <c r="O1135" s="376">
        <v>82250</v>
      </c>
      <c r="P1135" s="368" t="s">
        <v>1385</v>
      </c>
      <c r="Q1135" s="368" t="s">
        <v>1386</v>
      </c>
      <c r="R1135" s="368" t="s">
        <v>867</v>
      </c>
      <c r="S1135" s="368" t="s">
        <v>864</v>
      </c>
      <c r="T1135" s="368" t="s">
        <v>362</v>
      </c>
      <c r="U1135" s="368" t="s">
        <v>867</v>
      </c>
      <c r="V1135" s="368" t="s">
        <v>867</v>
      </c>
      <c r="W1135" s="368" t="s">
        <v>1378</v>
      </c>
      <c r="X1135" s="368">
        <v>400</v>
      </c>
      <c r="Y1135" s="368">
        <v>99</v>
      </c>
      <c r="Z1135" s="368"/>
      <c r="AA1135" s="368"/>
      <c r="AB1135" s="368"/>
      <c r="AC1135" s="368"/>
      <c r="AD1135" s="368"/>
      <c r="AE1135" s="368"/>
      <c r="AF1135" s="377"/>
      <c r="AJ1135" s="337">
        <v>115</v>
      </c>
    </row>
    <row r="1136" spans="1:36">
      <c r="A1136" s="332">
        <f t="shared" si="43"/>
        <v>116</v>
      </c>
      <c r="G1136" s="349" t="s">
        <v>1757</v>
      </c>
      <c r="H1136" s="368" t="s">
        <v>1758</v>
      </c>
      <c r="I1136" s="368" t="s">
        <v>1759</v>
      </c>
      <c r="J1136" s="368" t="s">
        <v>1375</v>
      </c>
      <c r="K1136" s="368" t="s">
        <v>1759</v>
      </c>
      <c r="L1136" s="368" t="s">
        <v>1375</v>
      </c>
      <c r="M1136" s="368" t="s">
        <v>1376</v>
      </c>
      <c r="N1136" s="368" t="s">
        <v>867</v>
      </c>
      <c r="O1136" s="376">
        <v>62526</v>
      </c>
      <c r="P1136" s="368" t="s">
        <v>1385</v>
      </c>
      <c r="Q1136" s="368" t="s">
        <v>1386</v>
      </c>
      <c r="R1136" s="368" t="s">
        <v>867</v>
      </c>
      <c r="S1136" s="368" t="s">
        <v>864</v>
      </c>
      <c r="T1136" s="368" t="s">
        <v>362</v>
      </c>
      <c r="U1136" s="368" t="s">
        <v>867</v>
      </c>
      <c r="V1136" s="368" t="s">
        <v>867</v>
      </c>
      <c r="W1136" s="368" t="s">
        <v>1378</v>
      </c>
      <c r="X1136" s="368">
        <v>0</v>
      </c>
      <c r="Y1136" s="368">
        <v>99</v>
      </c>
      <c r="Z1136" s="368"/>
      <c r="AA1136" s="368"/>
      <c r="AB1136" s="368"/>
      <c r="AC1136" s="368"/>
      <c r="AD1136" s="368"/>
      <c r="AE1136" s="368"/>
      <c r="AF1136" s="377"/>
      <c r="AJ1136" s="337">
        <v>116</v>
      </c>
    </row>
    <row r="1137" spans="1:36">
      <c r="A1137" s="332">
        <f t="shared" si="43"/>
        <v>117</v>
      </c>
      <c r="G1137" s="349" t="s">
        <v>1760</v>
      </c>
      <c r="H1137" s="368" t="s">
        <v>1761</v>
      </c>
      <c r="I1137" s="368" t="s">
        <v>1750</v>
      </c>
      <c r="J1137" s="368" t="s">
        <v>1375</v>
      </c>
      <c r="K1137" s="368" t="s">
        <v>1750</v>
      </c>
      <c r="L1137" s="368" t="s">
        <v>1375</v>
      </c>
      <c r="M1137" s="368" t="s">
        <v>1384</v>
      </c>
      <c r="N1137" s="368" t="s">
        <v>867</v>
      </c>
      <c r="O1137" s="376">
        <v>87224</v>
      </c>
      <c r="P1137" s="368" t="s">
        <v>1385</v>
      </c>
      <c r="Q1137" s="368" t="s">
        <v>1386</v>
      </c>
      <c r="R1137" s="368" t="s">
        <v>867</v>
      </c>
      <c r="S1137" s="368" t="s">
        <v>864</v>
      </c>
      <c r="T1137" s="368" t="s">
        <v>362</v>
      </c>
      <c r="U1137" s="368" t="s">
        <v>867</v>
      </c>
      <c r="V1137" s="368" t="s">
        <v>867</v>
      </c>
      <c r="W1137" s="368" t="s">
        <v>1378</v>
      </c>
      <c r="X1137" s="368">
        <v>0</v>
      </c>
      <c r="Y1137" s="368">
        <v>99</v>
      </c>
      <c r="Z1137" s="368"/>
      <c r="AA1137" s="368"/>
      <c r="AB1137" s="368"/>
      <c r="AC1137" s="368"/>
      <c r="AD1137" s="368"/>
      <c r="AE1137" s="368"/>
      <c r="AF1137" s="377"/>
      <c r="AJ1137" s="337">
        <v>117</v>
      </c>
    </row>
    <row r="1138" spans="1:36">
      <c r="A1138" s="332">
        <f t="shared" si="43"/>
        <v>118</v>
      </c>
      <c r="G1138" s="349" t="s">
        <v>1762</v>
      </c>
      <c r="H1138" s="368" t="s">
        <v>1763</v>
      </c>
      <c r="I1138" s="368" t="s">
        <v>1543</v>
      </c>
      <c r="J1138" s="368" t="s">
        <v>1375</v>
      </c>
      <c r="K1138" s="368" t="s">
        <v>1543</v>
      </c>
      <c r="L1138" s="368" t="s">
        <v>1375</v>
      </c>
      <c r="M1138" s="368" t="s">
        <v>1384</v>
      </c>
      <c r="N1138" s="368" t="s">
        <v>867</v>
      </c>
      <c r="O1138" s="376">
        <v>52689</v>
      </c>
      <c r="P1138" s="368" t="s">
        <v>1385</v>
      </c>
      <c r="Q1138" s="368" t="s">
        <v>1386</v>
      </c>
      <c r="R1138" s="368" t="s">
        <v>867</v>
      </c>
      <c r="S1138" s="368" t="s">
        <v>864</v>
      </c>
      <c r="T1138" s="368" t="s">
        <v>362</v>
      </c>
      <c r="U1138" s="368" t="s">
        <v>867</v>
      </c>
      <c r="V1138" s="368" t="s">
        <v>867</v>
      </c>
      <c r="W1138" s="368" t="s">
        <v>1378</v>
      </c>
      <c r="X1138" s="368">
        <v>1900</v>
      </c>
      <c r="Y1138" s="368">
        <v>99</v>
      </c>
      <c r="Z1138" s="368"/>
      <c r="AA1138" s="368"/>
      <c r="AB1138" s="368"/>
      <c r="AC1138" s="368"/>
      <c r="AD1138" s="368"/>
      <c r="AE1138" s="368"/>
      <c r="AF1138" s="377"/>
      <c r="AJ1138" s="337">
        <v>118</v>
      </c>
    </row>
    <row r="1139" spans="1:36">
      <c r="A1139" s="332">
        <f t="shared" si="43"/>
        <v>119</v>
      </c>
      <c r="G1139" s="349" t="s">
        <v>1764</v>
      </c>
      <c r="H1139" s="368" t="s">
        <v>1765</v>
      </c>
      <c r="I1139" s="368" t="s">
        <v>1766</v>
      </c>
      <c r="J1139" s="368" t="s">
        <v>1442</v>
      </c>
      <c r="K1139" s="368" t="s">
        <v>1766</v>
      </c>
      <c r="L1139" s="368" t="s">
        <v>1442</v>
      </c>
      <c r="M1139" s="368" t="s">
        <v>1376</v>
      </c>
      <c r="N1139" s="368" t="s">
        <v>867</v>
      </c>
      <c r="O1139" s="376">
        <v>92551</v>
      </c>
      <c r="P1139" s="368" t="s">
        <v>339</v>
      </c>
      <c r="Q1139" s="368" t="s">
        <v>1462</v>
      </c>
      <c r="R1139" s="368" t="s">
        <v>867</v>
      </c>
      <c r="S1139" s="368" t="s">
        <v>864</v>
      </c>
      <c r="T1139" s="368" t="s">
        <v>362</v>
      </c>
      <c r="U1139" s="368" t="s">
        <v>867</v>
      </c>
      <c r="V1139" s="368" t="s">
        <v>867</v>
      </c>
      <c r="W1139" s="368" t="s">
        <v>1378</v>
      </c>
      <c r="X1139" s="368">
        <v>0</v>
      </c>
      <c r="Y1139" s="368">
        <v>99</v>
      </c>
      <c r="Z1139" s="368"/>
      <c r="AA1139" s="368"/>
      <c r="AB1139" s="368"/>
      <c r="AC1139" s="368"/>
      <c r="AD1139" s="368"/>
      <c r="AE1139" s="368"/>
      <c r="AF1139" s="377"/>
      <c r="AJ1139" s="337">
        <v>119</v>
      </c>
    </row>
    <row r="1140" spans="1:36">
      <c r="A1140" s="332">
        <f t="shared" si="43"/>
        <v>120</v>
      </c>
      <c r="G1140" s="349" t="s">
        <v>1767</v>
      </c>
      <c r="H1140" s="368" t="s">
        <v>1768</v>
      </c>
      <c r="I1140" s="368" t="s">
        <v>1769</v>
      </c>
      <c r="J1140" s="368" t="s">
        <v>1375</v>
      </c>
      <c r="K1140" s="368" t="s">
        <v>1769</v>
      </c>
      <c r="L1140" s="368" t="s">
        <v>1375</v>
      </c>
      <c r="M1140" s="368" t="s">
        <v>1384</v>
      </c>
      <c r="N1140" s="368" t="s">
        <v>867</v>
      </c>
      <c r="O1140" s="376">
        <v>22502</v>
      </c>
      <c r="P1140" s="368" t="s">
        <v>1385</v>
      </c>
      <c r="Q1140" s="368" t="s">
        <v>1386</v>
      </c>
      <c r="R1140" s="368" t="s">
        <v>867</v>
      </c>
      <c r="S1140" s="368" t="s">
        <v>864</v>
      </c>
      <c r="T1140" s="368" t="s">
        <v>362</v>
      </c>
      <c r="U1140" s="368" t="s">
        <v>867</v>
      </c>
      <c r="V1140" s="368" t="s">
        <v>867</v>
      </c>
      <c r="W1140" s="368" t="s">
        <v>1378</v>
      </c>
      <c r="X1140" s="368">
        <v>0</v>
      </c>
      <c r="Y1140" s="368">
        <v>99</v>
      </c>
      <c r="Z1140" s="368"/>
      <c r="AA1140" s="368"/>
      <c r="AB1140" s="368"/>
      <c r="AC1140" s="368"/>
      <c r="AD1140" s="368"/>
      <c r="AE1140" s="368"/>
      <c r="AF1140" s="377"/>
      <c r="AJ1140" s="337">
        <v>120</v>
      </c>
    </row>
    <row r="1141" spans="1:36">
      <c r="A1141" s="332">
        <f t="shared" si="43"/>
        <v>121</v>
      </c>
      <c r="G1141" s="349" t="s">
        <v>1770</v>
      </c>
      <c r="H1141" s="368" t="s">
        <v>1771</v>
      </c>
      <c r="I1141" s="368" t="s">
        <v>1772</v>
      </c>
      <c r="J1141" s="368" t="s">
        <v>1375</v>
      </c>
      <c r="K1141" s="368" t="s">
        <v>1772</v>
      </c>
      <c r="L1141" s="368" t="s">
        <v>1375</v>
      </c>
      <c r="M1141" s="368" t="s">
        <v>1384</v>
      </c>
      <c r="N1141" s="368" t="s">
        <v>867</v>
      </c>
      <c r="O1141" s="376">
        <v>63378</v>
      </c>
      <c r="P1141" s="368" t="s">
        <v>1385</v>
      </c>
      <c r="Q1141" s="368" t="s">
        <v>1386</v>
      </c>
      <c r="R1141" s="368" t="s">
        <v>867</v>
      </c>
      <c r="S1141" s="368" t="s">
        <v>864</v>
      </c>
      <c r="T1141" s="368" t="s">
        <v>362</v>
      </c>
      <c r="U1141" s="368" t="s">
        <v>867</v>
      </c>
      <c r="V1141" s="368" t="s">
        <v>867</v>
      </c>
      <c r="W1141" s="368" t="s">
        <v>1378</v>
      </c>
      <c r="X1141" s="368">
        <v>0</v>
      </c>
      <c r="Y1141" s="368">
        <v>99</v>
      </c>
      <c r="Z1141" s="368"/>
      <c r="AA1141" s="368"/>
      <c r="AB1141" s="368"/>
      <c r="AC1141" s="368"/>
      <c r="AD1141" s="368"/>
      <c r="AE1141" s="368"/>
      <c r="AF1141" s="377"/>
      <c r="AJ1141" s="337">
        <v>121</v>
      </c>
    </row>
    <row r="1142" spans="1:36">
      <c r="A1142" s="332">
        <f t="shared" si="43"/>
        <v>122</v>
      </c>
      <c r="G1142" s="349" t="s">
        <v>1773</v>
      </c>
      <c r="H1142" s="368" t="s">
        <v>1774</v>
      </c>
      <c r="I1142" s="368" t="s">
        <v>1450</v>
      </c>
      <c r="J1142" s="368" t="s">
        <v>1375</v>
      </c>
      <c r="K1142" s="368" t="s">
        <v>1450</v>
      </c>
      <c r="L1142" s="368" t="s">
        <v>1375</v>
      </c>
      <c r="M1142" s="368" t="s">
        <v>1376</v>
      </c>
      <c r="N1142" s="368" t="s">
        <v>867</v>
      </c>
      <c r="O1142" s="376">
        <v>20678</v>
      </c>
      <c r="P1142" s="368" t="s">
        <v>1447</v>
      </c>
      <c r="Q1142" s="368" t="s">
        <v>1688</v>
      </c>
      <c r="R1142" s="368" t="s">
        <v>867</v>
      </c>
      <c r="S1142" s="368" t="s">
        <v>864</v>
      </c>
      <c r="T1142" s="368" t="s">
        <v>362</v>
      </c>
      <c r="U1142" s="368" t="s">
        <v>867</v>
      </c>
      <c r="V1142" s="368" t="s">
        <v>867</v>
      </c>
      <c r="W1142" s="368" t="s">
        <v>1378</v>
      </c>
      <c r="X1142" s="368">
        <v>0</v>
      </c>
      <c r="Y1142" s="368">
        <v>99</v>
      </c>
      <c r="Z1142" s="368"/>
      <c r="AA1142" s="368"/>
      <c r="AB1142" s="368"/>
      <c r="AC1142" s="368"/>
      <c r="AD1142" s="368"/>
      <c r="AE1142" s="368"/>
      <c r="AF1142" s="377"/>
      <c r="AJ1142" s="337">
        <v>122</v>
      </c>
    </row>
    <row r="1143" spans="1:36">
      <c r="A1143" s="332">
        <f t="shared" si="43"/>
        <v>123</v>
      </c>
      <c r="G1143" s="349" t="s">
        <v>1775</v>
      </c>
      <c r="H1143" s="368" t="s">
        <v>1776</v>
      </c>
      <c r="I1143" s="368" t="s">
        <v>1777</v>
      </c>
      <c r="J1143" s="368" t="s">
        <v>1375</v>
      </c>
      <c r="K1143" s="368" t="s">
        <v>1777</v>
      </c>
      <c r="L1143" s="368" t="s">
        <v>1375</v>
      </c>
      <c r="M1143" s="368" t="s">
        <v>1376</v>
      </c>
      <c r="N1143" s="368" t="s">
        <v>867</v>
      </c>
      <c r="O1143" s="376">
        <v>67064</v>
      </c>
      <c r="P1143" s="368" t="s">
        <v>1385</v>
      </c>
      <c r="Q1143" s="368" t="s">
        <v>1443</v>
      </c>
      <c r="R1143" s="368" t="s">
        <v>867</v>
      </c>
      <c r="S1143" s="368" t="s">
        <v>864</v>
      </c>
      <c r="T1143" s="368" t="s">
        <v>362</v>
      </c>
      <c r="U1143" s="368" t="s">
        <v>867</v>
      </c>
      <c r="V1143" s="368" t="s">
        <v>867</v>
      </c>
      <c r="W1143" s="368" t="s">
        <v>1378</v>
      </c>
      <c r="X1143" s="368">
        <v>2000</v>
      </c>
      <c r="Y1143" s="368">
        <v>99</v>
      </c>
      <c r="Z1143" s="368"/>
      <c r="AA1143" s="368"/>
      <c r="AB1143" s="368"/>
      <c r="AC1143" s="368"/>
      <c r="AD1143" s="368"/>
      <c r="AE1143" s="368"/>
      <c r="AF1143" s="377"/>
      <c r="AJ1143" s="337">
        <v>123</v>
      </c>
    </row>
    <row r="1144" spans="1:36">
      <c r="A1144" s="332">
        <f t="shared" si="43"/>
        <v>124</v>
      </c>
      <c r="G1144" s="349" t="s">
        <v>1778</v>
      </c>
      <c r="H1144" s="368" t="s">
        <v>1779</v>
      </c>
      <c r="I1144" s="368" t="s">
        <v>1780</v>
      </c>
      <c r="J1144" s="368" t="s">
        <v>1399</v>
      </c>
      <c r="K1144" s="368" t="s">
        <v>1780</v>
      </c>
      <c r="L1144" s="368" t="s">
        <v>1399</v>
      </c>
      <c r="M1144" s="368" t="s">
        <v>1384</v>
      </c>
      <c r="N1144" s="368" t="s">
        <v>867</v>
      </c>
      <c r="O1144" s="376">
        <v>56047</v>
      </c>
      <c r="P1144" s="368" t="s">
        <v>1385</v>
      </c>
      <c r="Q1144" s="368" t="s">
        <v>1386</v>
      </c>
      <c r="R1144" s="368" t="s">
        <v>867</v>
      </c>
      <c r="S1144" s="368" t="s">
        <v>864</v>
      </c>
      <c r="T1144" s="368" t="s">
        <v>362</v>
      </c>
      <c r="U1144" s="368" t="s">
        <v>867</v>
      </c>
      <c r="V1144" s="368" t="s">
        <v>867</v>
      </c>
      <c r="W1144" s="368" t="s">
        <v>1378</v>
      </c>
      <c r="X1144" s="368">
        <v>0</v>
      </c>
      <c r="Y1144" s="368">
        <v>99</v>
      </c>
      <c r="Z1144" s="368"/>
      <c r="AA1144" s="368"/>
      <c r="AB1144" s="368"/>
      <c r="AC1144" s="368"/>
      <c r="AD1144" s="368"/>
      <c r="AE1144" s="368"/>
      <c r="AF1144" s="377"/>
      <c r="AJ1144" s="337">
        <v>124</v>
      </c>
    </row>
    <row r="1145" spans="1:36">
      <c r="A1145" s="332">
        <f t="shared" si="43"/>
        <v>125</v>
      </c>
      <c r="G1145" s="349" t="s">
        <v>1781</v>
      </c>
      <c r="H1145" s="368" t="s">
        <v>1782</v>
      </c>
      <c r="I1145" s="368" t="s">
        <v>1783</v>
      </c>
      <c r="J1145" s="368" t="s">
        <v>1375</v>
      </c>
      <c r="K1145" s="368" t="s">
        <v>1783</v>
      </c>
      <c r="L1145" s="368" t="s">
        <v>1375</v>
      </c>
      <c r="M1145" s="368" t="s">
        <v>1376</v>
      </c>
      <c r="N1145" s="368" t="s">
        <v>867</v>
      </c>
      <c r="O1145" s="376">
        <v>80966</v>
      </c>
      <c r="P1145" s="368" t="s">
        <v>1447</v>
      </c>
      <c r="Q1145" s="368" t="s">
        <v>1386</v>
      </c>
      <c r="R1145" s="368" t="s">
        <v>867</v>
      </c>
      <c r="S1145" s="368" t="s">
        <v>864</v>
      </c>
      <c r="T1145" s="368" t="s">
        <v>1387</v>
      </c>
      <c r="U1145" s="368" t="s">
        <v>867</v>
      </c>
      <c r="V1145" s="368" t="s">
        <v>867</v>
      </c>
      <c r="W1145" s="368" t="s">
        <v>1378</v>
      </c>
      <c r="X1145" s="368">
        <v>0</v>
      </c>
      <c r="Y1145" s="368">
        <v>99</v>
      </c>
      <c r="Z1145" s="368"/>
      <c r="AA1145" s="368"/>
      <c r="AB1145" s="368"/>
      <c r="AC1145" s="368"/>
      <c r="AD1145" s="368"/>
      <c r="AE1145" s="368"/>
      <c r="AF1145" s="377"/>
      <c r="AJ1145" s="337">
        <v>125</v>
      </c>
    </row>
    <row r="1146" spans="1:36">
      <c r="A1146" s="332">
        <f t="shared" si="43"/>
        <v>126</v>
      </c>
      <c r="G1146" s="349" t="s">
        <v>1784</v>
      </c>
      <c r="H1146" s="368" t="s">
        <v>1785</v>
      </c>
      <c r="I1146" s="368" t="s">
        <v>1786</v>
      </c>
      <c r="J1146" s="368" t="s">
        <v>1375</v>
      </c>
      <c r="K1146" s="368" t="s">
        <v>1786</v>
      </c>
      <c r="L1146" s="368" t="s">
        <v>1375</v>
      </c>
      <c r="M1146" s="368" t="s">
        <v>1384</v>
      </c>
      <c r="N1146" s="368" t="s">
        <v>867</v>
      </c>
      <c r="O1146" s="376">
        <v>90968</v>
      </c>
      <c r="P1146" s="368" t="s">
        <v>1385</v>
      </c>
      <c r="Q1146" s="368" t="s">
        <v>1443</v>
      </c>
      <c r="R1146" s="368" t="s">
        <v>867</v>
      </c>
      <c r="S1146" s="368" t="s">
        <v>864</v>
      </c>
      <c r="T1146" s="368" t="s">
        <v>362</v>
      </c>
      <c r="U1146" s="368" t="s">
        <v>867</v>
      </c>
      <c r="V1146" s="368" t="s">
        <v>867</v>
      </c>
      <c r="W1146" s="368" t="s">
        <v>1378</v>
      </c>
      <c r="X1146" s="368">
        <v>500</v>
      </c>
      <c r="Y1146" s="368">
        <v>99</v>
      </c>
      <c r="Z1146" s="368"/>
      <c r="AA1146" s="368"/>
      <c r="AB1146" s="368"/>
      <c r="AC1146" s="368"/>
      <c r="AD1146" s="368"/>
      <c r="AE1146" s="368"/>
      <c r="AF1146" s="377"/>
      <c r="AJ1146" s="337">
        <v>126</v>
      </c>
    </row>
    <row r="1147" spans="1:36">
      <c r="A1147" s="332">
        <f t="shared" si="43"/>
        <v>127</v>
      </c>
      <c r="G1147" s="349" t="s">
        <v>1787</v>
      </c>
      <c r="H1147" s="368" t="s">
        <v>1788</v>
      </c>
      <c r="I1147" s="368" t="s">
        <v>1546</v>
      </c>
      <c r="J1147" s="368" t="s">
        <v>1375</v>
      </c>
      <c r="K1147" s="368" t="s">
        <v>1546</v>
      </c>
      <c r="L1147" s="368" t="s">
        <v>1375</v>
      </c>
      <c r="M1147" s="368" t="s">
        <v>1384</v>
      </c>
      <c r="N1147" s="368" t="s">
        <v>867</v>
      </c>
      <c r="O1147" s="376">
        <v>90938</v>
      </c>
      <c r="P1147" s="368" t="s">
        <v>1385</v>
      </c>
      <c r="Q1147" s="368" t="s">
        <v>1386</v>
      </c>
      <c r="R1147" s="368" t="s">
        <v>867</v>
      </c>
      <c r="S1147" s="368" t="s">
        <v>864</v>
      </c>
      <c r="T1147" s="368" t="s">
        <v>362</v>
      </c>
      <c r="U1147" s="368" t="s">
        <v>867</v>
      </c>
      <c r="V1147" s="368" t="s">
        <v>867</v>
      </c>
      <c r="W1147" s="368" t="s">
        <v>1378</v>
      </c>
      <c r="X1147" s="368">
        <v>900</v>
      </c>
      <c r="Y1147" s="368">
        <v>99</v>
      </c>
      <c r="Z1147" s="368"/>
      <c r="AA1147" s="368"/>
      <c r="AB1147" s="368"/>
      <c r="AC1147" s="368"/>
      <c r="AD1147" s="368"/>
      <c r="AE1147" s="368"/>
      <c r="AF1147" s="377"/>
      <c r="AJ1147" s="337">
        <v>127</v>
      </c>
    </row>
    <row r="1148" spans="1:36">
      <c r="A1148" s="332">
        <f t="shared" si="43"/>
        <v>128</v>
      </c>
      <c r="G1148" s="349" t="s">
        <v>1789</v>
      </c>
      <c r="H1148" s="368" t="s">
        <v>1790</v>
      </c>
      <c r="I1148" s="368" t="s">
        <v>1791</v>
      </c>
      <c r="J1148" s="368" t="s">
        <v>1375</v>
      </c>
      <c r="K1148" s="368" t="s">
        <v>1791</v>
      </c>
      <c r="L1148" s="368" t="s">
        <v>1375</v>
      </c>
      <c r="M1148" s="368" t="s">
        <v>1376</v>
      </c>
      <c r="N1148" s="368" t="s">
        <v>867</v>
      </c>
      <c r="O1148" s="376">
        <v>53472</v>
      </c>
      <c r="P1148" s="368" t="s">
        <v>1385</v>
      </c>
      <c r="Q1148" s="368" t="s">
        <v>1443</v>
      </c>
      <c r="R1148" s="368" t="s">
        <v>867</v>
      </c>
      <c r="S1148" s="368" t="s">
        <v>864</v>
      </c>
      <c r="T1148" s="368" t="s">
        <v>362</v>
      </c>
      <c r="U1148" s="368" t="s">
        <v>867</v>
      </c>
      <c r="V1148" s="368" t="s">
        <v>867</v>
      </c>
      <c r="W1148" s="368" t="s">
        <v>1378</v>
      </c>
      <c r="X1148" s="368">
        <v>0</v>
      </c>
      <c r="Y1148" s="368">
        <v>99</v>
      </c>
      <c r="Z1148" s="368"/>
      <c r="AA1148" s="368"/>
      <c r="AB1148" s="368"/>
      <c r="AC1148" s="368"/>
      <c r="AD1148" s="368"/>
      <c r="AE1148" s="368"/>
      <c r="AF1148" s="377"/>
      <c r="AJ1148" s="337">
        <v>128</v>
      </c>
    </row>
    <row r="1149" spans="1:36">
      <c r="A1149" s="332">
        <f t="shared" si="43"/>
        <v>129</v>
      </c>
      <c r="G1149" s="349" t="s">
        <v>1792</v>
      </c>
      <c r="H1149" s="368" t="s">
        <v>1793</v>
      </c>
      <c r="I1149" s="368" t="s">
        <v>1794</v>
      </c>
      <c r="J1149" s="368" t="s">
        <v>1375</v>
      </c>
      <c r="K1149" s="368" t="s">
        <v>1794</v>
      </c>
      <c r="L1149" s="368" t="s">
        <v>1375</v>
      </c>
      <c r="M1149" s="368" t="s">
        <v>1376</v>
      </c>
      <c r="N1149" s="368" t="s">
        <v>867</v>
      </c>
      <c r="O1149" s="376">
        <v>29688</v>
      </c>
      <c r="P1149" s="368" t="s">
        <v>339</v>
      </c>
      <c r="Q1149" s="368" t="s">
        <v>1386</v>
      </c>
      <c r="R1149" s="368" t="s">
        <v>867</v>
      </c>
      <c r="S1149" s="368" t="s">
        <v>864</v>
      </c>
      <c r="T1149" s="368" t="s">
        <v>1387</v>
      </c>
      <c r="U1149" s="368" t="s">
        <v>867</v>
      </c>
      <c r="V1149" s="368" t="s">
        <v>867</v>
      </c>
      <c r="W1149" s="368" t="s">
        <v>1378</v>
      </c>
      <c r="X1149" s="368">
        <v>0</v>
      </c>
      <c r="Y1149" s="368">
        <v>99</v>
      </c>
      <c r="Z1149" s="368"/>
      <c r="AA1149" s="368"/>
      <c r="AB1149" s="368"/>
      <c r="AC1149" s="368"/>
      <c r="AD1149" s="368"/>
      <c r="AE1149" s="368"/>
      <c r="AF1149" s="377"/>
      <c r="AJ1149" s="337">
        <v>129</v>
      </c>
    </row>
    <row r="1150" spans="1:36">
      <c r="A1150" s="332">
        <f t="shared" si="43"/>
        <v>130</v>
      </c>
      <c r="G1150" s="349" t="s">
        <v>1795</v>
      </c>
      <c r="H1150" s="368" t="s">
        <v>1796</v>
      </c>
      <c r="I1150" s="368" t="s">
        <v>1797</v>
      </c>
      <c r="J1150" s="368" t="s">
        <v>1375</v>
      </c>
      <c r="K1150" s="368" t="s">
        <v>1797</v>
      </c>
      <c r="L1150" s="368" t="s">
        <v>1375</v>
      </c>
      <c r="M1150" s="368" t="s">
        <v>1384</v>
      </c>
      <c r="N1150" s="368" t="s">
        <v>867</v>
      </c>
      <c r="O1150" s="376">
        <v>17266</v>
      </c>
      <c r="P1150" s="368" t="s">
        <v>1385</v>
      </c>
      <c r="Q1150" s="368" t="s">
        <v>1443</v>
      </c>
      <c r="R1150" s="368" t="s">
        <v>867</v>
      </c>
      <c r="S1150" s="368" t="s">
        <v>864</v>
      </c>
      <c r="T1150" s="368" t="s">
        <v>362</v>
      </c>
      <c r="U1150" s="368" t="s">
        <v>867</v>
      </c>
      <c r="V1150" s="368" t="s">
        <v>867</v>
      </c>
      <c r="W1150" s="368" t="s">
        <v>1378</v>
      </c>
      <c r="X1150" s="368">
        <v>0</v>
      </c>
      <c r="Y1150" s="368">
        <v>99</v>
      </c>
      <c r="Z1150" s="368"/>
      <c r="AA1150" s="368"/>
      <c r="AB1150" s="368"/>
      <c r="AC1150" s="368"/>
      <c r="AD1150" s="368"/>
      <c r="AE1150" s="368"/>
      <c r="AF1150" s="377"/>
      <c r="AJ1150" s="337">
        <v>130</v>
      </c>
    </row>
    <row r="1151" spans="1:36">
      <c r="A1151" s="332">
        <f t="shared" ref="A1151:A1214" si="44">1+A1150</f>
        <v>131</v>
      </c>
      <c r="G1151" s="349" t="s">
        <v>1798</v>
      </c>
      <c r="H1151" s="368" t="s">
        <v>1799</v>
      </c>
      <c r="I1151" s="368" t="s">
        <v>1800</v>
      </c>
      <c r="J1151" s="368" t="s">
        <v>1375</v>
      </c>
      <c r="K1151" s="368" t="s">
        <v>1800</v>
      </c>
      <c r="L1151" s="368" t="s">
        <v>1375</v>
      </c>
      <c r="M1151" s="368" t="s">
        <v>1376</v>
      </c>
      <c r="N1151" s="368" t="s">
        <v>867</v>
      </c>
      <c r="O1151" s="376">
        <v>49343</v>
      </c>
      <c r="P1151" s="368" t="s">
        <v>1385</v>
      </c>
      <c r="Q1151" s="368" t="s">
        <v>1553</v>
      </c>
      <c r="R1151" s="368" t="s">
        <v>867</v>
      </c>
      <c r="S1151" s="368" t="s">
        <v>864</v>
      </c>
      <c r="T1151" s="368" t="s">
        <v>362</v>
      </c>
      <c r="U1151" s="368" t="s">
        <v>867</v>
      </c>
      <c r="V1151" s="368" t="s">
        <v>867</v>
      </c>
      <c r="W1151" s="368" t="s">
        <v>1378</v>
      </c>
      <c r="X1151" s="368">
        <v>0</v>
      </c>
      <c r="Y1151" s="368">
        <v>99</v>
      </c>
      <c r="Z1151" s="368"/>
      <c r="AA1151" s="368"/>
      <c r="AB1151" s="368"/>
      <c r="AC1151" s="368"/>
      <c r="AD1151" s="368"/>
      <c r="AE1151" s="368"/>
      <c r="AF1151" s="377"/>
      <c r="AJ1151" s="337">
        <v>131</v>
      </c>
    </row>
    <row r="1152" spans="1:36">
      <c r="A1152" s="332">
        <f t="shared" si="44"/>
        <v>132</v>
      </c>
      <c r="G1152" s="349" t="s">
        <v>1801</v>
      </c>
      <c r="H1152" s="368" t="s">
        <v>1802</v>
      </c>
      <c r="I1152" s="368" t="s">
        <v>1803</v>
      </c>
      <c r="J1152" s="368" t="s">
        <v>1382</v>
      </c>
      <c r="K1152" s="368" t="s">
        <v>1803</v>
      </c>
      <c r="L1152" s="368" t="s">
        <v>1375</v>
      </c>
      <c r="M1152" s="368" t="s">
        <v>1384</v>
      </c>
      <c r="N1152" s="368" t="s">
        <v>867</v>
      </c>
      <c r="O1152" s="376">
        <v>96058</v>
      </c>
      <c r="P1152" s="368" t="s">
        <v>1385</v>
      </c>
      <c r="Q1152" s="368" t="s">
        <v>1386</v>
      </c>
      <c r="R1152" s="368" t="s">
        <v>867</v>
      </c>
      <c r="S1152" s="368" t="s">
        <v>864</v>
      </c>
      <c r="T1152" s="368" t="s">
        <v>362</v>
      </c>
      <c r="U1152" s="368" t="s">
        <v>867</v>
      </c>
      <c r="V1152" s="368" t="s">
        <v>867</v>
      </c>
      <c r="W1152" s="368" t="s">
        <v>1378</v>
      </c>
      <c r="X1152" s="368">
        <v>300</v>
      </c>
      <c r="Y1152" s="368">
        <v>99</v>
      </c>
      <c r="Z1152" s="368"/>
      <c r="AA1152" s="368"/>
      <c r="AB1152" s="368"/>
      <c r="AC1152" s="368"/>
      <c r="AD1152" s="368"/>
      <c r="AE1152" s="368"/>
      <c r="AF1152" s="377"/>
      <c r="AJ1152" s="337">
        <v>132</v>
      </c>
    </row>
    <row r="1153" spans="1:36">
      <c r="A1153" s="332">
        <f t="shared" si="44"/>
        <v>133</v>
      </c>
      <c r="G1153" s="349" t="s">
        <v>1804</v>
      </c>
      <c r="H1153" s="368" t="s">
        <v>1805</v>
      </c>
      <c r="I1153" s="368" t="s">
        <v>1806</v>
      </c>
      <c r="J1153" s="368" t="s">
        <v>1382</v>
      </c>
      <c r="K1153" s="368" t="s">
        <v>1807</v>
      </c>
      <c r="L1153" s="368" t="s">
        <v>1375</v>
      </c>
      <c r="M1153" s="368" t="s">
        <v>1422</v>
      </c>
      <c r="N1153" s="368" t="s">
        <v>867</v>
      </c>
      <c r="O1153" s="376">
        <v>21997</v>
      </c>
      <c r="P1153" s="368" t="s">
        <v>1385</v>
      </c>
      <c r="Q1153" s="368" t="s">
        <v>1553</v>
      </c>
      <c r="R1153" s="368" t="s">
        <v>867</v>
      </c>
      <c r="S1153" s="368" t="s">
        <v>864</v>
      </c>
      <c r="T1153" s="368" t="s">
        <v>1387</v>
      </c>
      <c r="U1153" s="368" t="s">
        <v>867</v>
      </c>
      <c r="V1153" s="368" t="s">
        <v>867</v>
      </c>
      <c r="W1153" s="368" t="s">
        <v>1378</v>
      </c>
      <c r="X1153" s="368">
        <v>10250</v>
      </c>
      <c r="Y1153" s="368">
        <v>99</v>
      </c>
      <c r="Z1153" s="368"/>
      <c r="AA1153" s="368"/>
      <c r="AB1153" s="368"/>
      <c r="AC1153" s="368"/>
      <c r="AD1153" s="368"/>
      <c r="AE1153" s="368"/>
      <c r="AF1153" s="377"/>
      <c r="AJ1153" s="337">
        <v>133</v>
      </c>
    </row>
    <row r="1154" spans="1:36">
      <c r="A1154" s="332">
        <f t="shared" si="44"/>
        <v>134</v>
      </c>
      <c r="G1154" s="349" t="s">
        <v>1808</v>
      </c>
      <c r="H1154" s="368" t="s">
        <v>1809</v>
      </c>
      <c r="I1154" s="368" t="s">
        <v>1810</v>
      </c>
      <c r="J1154" s="368" t="s">
        <v>1375</v>
      </c>
      <c r="K1154" s="368" t="s">
        <v>1810</v>
      </c>
      <c r="L1154" s="368" t="s">
        <v>1375</v>
      </c>
      <c r="M1154" s="368" t="s">
        <v>1376</v>
      </c>
      <c r="N1154" s="368" t="s">
        <v>867</v>
      </c>
      <c r="O1154" s="376">
        <v>63323</v>
      </c>
      <c r="P1154" s="368" t="s">
        <v>339</v>
      </c>
      <c r="Q1154" s="368" t="s">
        <v>1386</v>
      </c>
      <c r="R1154" s="368" t="s">
        <v>867</v>
      </c>
      <c r="S1154" s="368" t="s">
        <v>864</v>
      </c>
      <c r="T1154" s="368" t="s">
        <v>362</v>
      </c>
      <c r="U1154" s="368" t="s">
        <v>867</v>
      </c>
      <c r="V1154" s="368" t="s">
        <v>867</v>
      </c>
      <c r="W1154" s="368" t="s">
        <v>1378</v>
      </c>
      <c r="X1154" s="368">
        <v>0</v>
      </c>
      <c r="Y1154" s="368">
        <v>99</v>
      </c>
      <c r="Z1154" s="368"/>
      <c r="AA1154" s="368"/>
      <c r="AB1154" s="368"/>
      <c r="AC1154" s="368"/>
      <c r="AD1154" s="368"/>
      <c r="AE1154" s="368"/>
      <c r="AF1154" s="377"/>
      <c r="AJ1154" s="337">
        <v>134</v>
      </c>
    </row>
    <row r="1155" spans="1:36">
      <c r="A1155" s="332">
        <f t="shared" si="44"/>
        <v>135</v>
      </c>
      <c r="G1155" s="349" t="s">
        <v>1811</v>
      </c>
      <c r="H1155" s="368" t="s">
        <v>1812</v>
      </c>
      <c r="I1155" s="368" t="s">
        <v>1813</v>
      </c>
      <c r="J1155" s="368" t="s">
        <v>1442</v>
      </c>
      <c r="K1155" s="368" t="s">
        <v>1813</v>
      </c>
      <c r="L1155" s="368" t="s">
        <v>1442</v>
      </c>
      <c r="M1155" s="368" t="s">
        <v>1376</v>
      </c>
      <c r="N1155" s="368" t="s">
        <v>867</v>
      </c>
      <c r="O1155" s="376">
        <v>13883</v>
      </c>
      <c r="P1155" s="368" t="s">
        <v>1385</v>
      </c>
      <c r="Q1155" s="368" t="s">
        <v>1386</v>
      </c>
      <c r="R1155" s="368" t="s">
        <v>867</v>
      </c>
      <c r="S1155" s="368" t="s">
        <v>864</v>
      </c>
      <c r="T1155" s="368" t="s">
        <v>362</v>
      </c>
      <c r="U1155" s="368" t="s">
        <v>867</v>
      </c>
      <c r="V1155" s="368" t="s">
        <v>867</v>
      </c>
      <c r="W1155" s="368" t="s">
        <v>1378</v>
      </c>
      <c r="X1155" s="368">
        <v>150</v>
      </c>
      <c r="Y1155" s="368">
        <v>99</v>
      </c>
      <c r="Z1155" s="368"/>
      <c r="AA1155" s="368"/>
      <c r="AB1155" s="368"/>
      <c r="AC1155" s="368"/>
      <c r="AD1155" s="368"/>
      <c r="AE1155" s="368"/>
      <c r="AF1155" s="377"/>
      <c r="AJ1155" s="337">
        <v>135</v>
      </c>
    </row>
    <row r="1156" spans="1:36">
      <c r="A1156" s="332">
        <f t="shared" si="44"/>
        <v>136</v>
      </c>
      <c r="G1156" s="349" t="s">
        <v>1814</v>
      </c>
      <c r="H1156" s="368" t="s">
        <v>1815</v>
      </c>
      <c r="I1156" s="368" t="s">
        <v>1816</v>
      </c>
      <c r="J1156" s="368" t="s">
        <v>1442</v>
      </c>
      <c r="K1156" s="368" t="s">
        <v>1816</v>
      </c>
      <c r="L1156" s="368" t="s">
        <v>1442</v>
      </c>
      <c r="M1156" s="368" t="s">
        <v>1384</v>
      </c>
      <c r="N1156" s="368" t="s">
        <v>867</v>
      </c>
      <c r="O1156" s="376">
        <v>98958</v>
      </c>
      <c r="P1156" s="368" t="s">
        <v>1385</v>
      </c>
      <c r="Q1156" s="368" t="s">
        <v>1443</v>
      </c>
      <c r="R1156" s="368" t="s">
        <v>867</v>
      </c>
      <c r="S1156" s="368" t="s">
        <v>864</v>
      </c>
      <c r="T1156" s="368" t="s">
        <v>1387</v>
      </c>
      <c r="U1156" s="368" t="s">
        <v>867</v>
      </c>
      <c r="V1156" s="368" t="s">
        <v>867</v>
      </c>
      <c r="W1156" s="368" t="s">
        <v>1378</v>
      </c>
      <c r="X1156" s="368">
        <v>0</v>
      </c>
      <c r="Y1156" s="368">
        <v>99</v>
      </c>
      <c r="Z1156" s="368"/>
      <c r="AA1156" s="368"/>
      <c r="AB1156" s="368"/>
      <c r="AC1156" s="368"/>
      <c r="AD1156" s="368"/>
      <c r="AE1156" s="368"/>
      <c r="AF1156" s="377"/>
      <c r="AJ1156" s="337">
        <v>136</v>
      </c>
    </row>
    <row r="1157" spans="1:36">
      <c r="A1157" s="332">
        <f t="shared" si="44"/>
        <v>137</v>
      </c>
      <c r="G1157" s="349" t="s">
        <v>1817</v>
      </c>
      <c r="H1157" s="368" t="s">
        <v>1818</v>
      </c>
      <c r="I1157" s="368" t="s">
        <v>1819</v>
      </c>
      <c r="J1157" s="368" t="s">
        <v>1382</v>
      </c>
      <c r="K1157" s="368" t="s">
        <v>1820</v>
      </c>
      <c r="L1157" s="368" t="s">
        <v>1403</v>
      </c>
      <c r="M1157" s="368" t="s">
        <v>1384</v>
      </c>
      <c r="N1157" s="368" t="s">
        <v>867</v>
      </c>
      <c r="O1157" s="376">
        <v>16623</v>
      </c>
      <c r="P1157" s="368" t="s">
        <v>1385</v>
      </c>
      <c r="Q1157" s="368" t="s">
        <v>1386</v>
      </c>
      <c r="R1157" s="368" t="s">
        <v>867</v>
      </c>
      <c r="S1157" s="368" t="s">
        <v>864</v>
      </c>
      <c r="T1157" s="368" t="s">
        <v>362</v>
      </c>
      <c r="U1157" s="368" t="s">
        <v>867</v>
      </c>
      <c r="V1157" s="368" t="s">
        <v>867</v>
      </c>
      <c r="W1157" s="368" t="s">
        <v>1378</v>
      </c>
      <c r="X1157" s="368">
        <v>0</v>
      </c>
      <c r="Y1157" s="368">
        <v>99</v>
      </c>
      <c r="Z1157" s="368"/>
      <c r="AA1157" s="368"/>
      <c r="AB1157" s="368"/>
      <c r="AC1157" s="368"/>
      <c r="AD1157" s="368"/>
      <c r="AE1157" s="368"/>
      <c r="AF1157" s="377"/>
      <c r="AJ1157" s="337">
        <v>137</v>
      </c>
    </row>
    <row r="1158" spans="1:36">
      <c r="A1158" s="332">
        <f t="shared" si="44"/>
        <v>138</v>
      </c>
      <c r="G1158" s="349" t="s">
        <v>1821</v>
      </c>
      <c r="H1158" s="368" t="s">
        <v>1822</v>
      </c>
      <c r="I1158" s="368" t="s">
        <v>1823</v>
      </c>
      <c r="J1158" s="368" t="s">
        <v>1375</v>
      </c>
      <c r="K1158" s="368" t="s">
        <v>1823</v>
      </c>
      <c r="L1158" s="368" t="s">
        <v>1375</v>
      </c>
      <c r="M1158" s="368" t="s">
        <v>1376</v>
      </c>
      <c r="N1158" s="368" t="s">
        <v>867</v>
      </c>
      <c r="O1158" s="376">
        <v>50951</v>
      </c>
      <c r="P1158" s="368" t="s">
        <v>1447</v>
      </c>
      <c r="Q1158" s="368" t="s">
        <v>1688</v>
      </c>
      <c r="R1158" s="368" t="s">
        <v>867</v>
      </c>
      <c r="S1158" s="368" t="s">
        <v>864</v>
      </c>
      <c r="T1158" s="368" t="s">
        <v>362</v>
      </c>
      <c r="U1158" s="368" t="s">
        <v>867</v>
      </c>
      <c r="V1158" s="368" t="s">
        <v>867</v>
      </c>
      <c r="W1158" s="368" t="s">
        <v>1378</v>
      </c>
      <c r="X1158" s="368">
        <v>0</v>
      </c>
      <c r="Y1158" s="368">
        <v>99</v>
      </c>
      <c r="Z1158" s="368"/>
      <c r="AA1158" s="368"/>
      <c r="AB1158" s="368"/>
      <c r="AC1158" s="368"/>
      <c r="AD1158" s="368"/>
      <c r="AE1158" s="368"/>
      <c r="AF1158" s="377"/>
      <c r="AJ1158" s="337">
        <v>138</v>
      </c>
    </row>
    <row r="1159" spans="1:36">
      <c r="A1159" s="332">
        <f t="shared" si="44"/>
        <v>139</v>
      </c>
      <c r="G1159" s="349" t="s">
        <v>1824</v>
      </c>
      <c r="H1159" s="368" t="s">
        <v>1825</v>
      </c>
      <c r="I1159" s="368" t="s">
        <v>1826</v>
      </c>
      <c r="J1159" s="368" t="s">
        <v>1442</v>
      </c>
      <c r="K1159" s="368" t="s">
        <v>1826</v>
      </c>
      <c r="L1159" s="368" t="s">
        <v>1442</v>
      </c>
      <c r="M1159" s="368" t="s">
        <v>1384</v>
      </c>
      <c r="N1159" s="368" t="s">
        <v>867</v>
      </c>
      <c r="O1159" s="376">
        <v>50916</v>
      </c>
      <c r="P1159" s="368" t="s">
        <v>1385</v>
      </c>
      <c r="Q1159" s="368" t="s">
        <v>1386</v>
      </c>
      <c r="R1159" s="368" t="s">
        <v>867</v>
      </c>
      <c r="S1159" s="368" t="s">
        <v>864</v>
      </c>
      <c r="T1159" s="368" t="s">
        <v>362</v>
      </c>
      <c r="U1159" s="368" t="s">
        <v>867</v>
      </c>
      <c r="V1159" s="368" t="s">
        <v>867</v>
      </c>
      <c r="W1159" s="368" t="s">
        <v>1378</v>
      </c>
      <c r="X1159" s="368">
        <v>0</v>
      </c>
      <c r="Y1159" s="368">
        <v>99</v>
      </c>
      <c r="Z1159" s="368"/>
      <c r="AA1159" s="368"/>
      <c r="AB1159" s="368"/>
      <c r="AC1159" s="368"/>
      <c r="AD1159" s="368"/>
      <c r="AE1159" s="368"/>
      <c r="AF1159" s="377"/>
      <c r="AJ1159" s="337">
        <v>139</v>
      </c>
    </row>
    <row r="1160" spans="1:36">
      <c r="A1160" s="332">
        <f t="shared" si="44"/>
        <v>140</v>
      </c>
      <c r="G1160" s="349" t="s">
        <v>1827</v>
      </c>
      <c r="H1160" s="368" t="s">
        <v>1828</v>
      </c>
      <c r="I1160" s="368" t="s">
        <v>1829</v>
      </c>
      <c r="J1160" s="368" t="s">
        <v>1522</v>
      </c>
      <c r="K1160" s="368" t="s">
        <v>1829</v>
      </c>
      <c r="L1160" s="368" t="s">
        <v>1522</v>
      </c>
      <c r="M1160" s="368" t="s">
        <v>1376</v>
      </c>
      <c r="N1160" s="368" t="s">
        <v>867</v>
      </c>
      <c r="O1160" s="376">
        <v>59076</v>
      </c>
      <c r="P1160" s="368" t="s">
        <v>339</v>
      </c>
      <c r="Q1160" s="368" t="s">
        <v>1688</v>
      </c>
      <c r="R1160" s="368" t="s">
        <v>867</v>
      </c>
      <c r="S1160" s="368" t="s">
        <v>864</v>
      </c>
      <c r="T1160" s="368" t="s">
        <v>362</v>
      </c>
      <c r="U1160" s="368" t="s">
        <v>867</v>
      </c>
      <c r="V1160" s="368" t="s">
        <v>867</v>
      </c>
      <c r="W1160" s="368" t="s">
        <v>1378</v>
      </c>
      <c r="X1160" s="368">
        <v>1400</v>
      </c>
      <c r="Y1160" s="368">
        <v>99</v>
      </c>
      <c r="Z1160" s="368"/>
      <c r="AA1160" s="368"/>
      <c r="AB1160" s="368"/>
      <c r="AC1160" s="368"/>
      <c r="AD1160" s="368"/>
      <c r="AE1160" s="368"/>
      <c r="AF1160" s="377"/>
      <c r="AJ1160" s="337">
        <v>140</v>
      </c>
    </row>
    <row r="1161" spans="1:36">
      <c r="A1161" s="332">
        <f t="shared" si="44"/>
        <v>141</v>
      </c>
      <c r="G1161" s="349" t="s">
        <v>1830</v>
      </c>
      <c r="H1161" s="368" t="s">
        <v>1831</v>
      </c>
      <c r="I1161" s="368" t="s">
        <v>1832</v>
      </c>
      <c r="J1161" s="368" t="s">
        <v>1433</v>
      </c>
      <c r="K1161" s="368" t="s">
        <v>1832</v>
      </c>
      <c r="L1161" s="368" t="s">
        <v>1433</v>
      </c>
      <c r="M1161" s="368" t="s">
        <v>1384</v>
      </c>
      <c r="N1161" s="368" t="s">
        <v>867</v>
      </c>
      <c r="O1161" s="376">
        <v>86758</v>
      </c>
      <c r="P1161" s="368" t="s">
        <v>1447</v>
      </c>
      <c r="Q1161" s="368" t="s">
        <v>1443</v>
      </c>
      <c r="R1161" s="368" t="s">
        <v>867</v>
      </c>
      <c r="S1161" s="368" t="s">
        <v>864</v>
      </c>
      <c r="T1161" s="368" t="s">
        <v>362</v>
      </c>
      <c r="U1161" s="368" t="s">
        <v>867</v>
      </c>
      <c r="V1161" s="368" t="s">
        <v>867</v>
      </c>
      <c r="W1161" s="368" t="s">
        <v>1378</v>
      </c>
      <c r="X1161" s="368">
        <v>0</v>
      </c>
      <c r="Y1161" s="368">
        <v>99</v>
      </c>
      <c r="Z1161" s="368"/>
      <c r="AA1161" s="368"/>
      <c r="AB1161" s="368"/>
      <c r="AC1161" s="368"/>
      <c r="AD1161" s="368"/>
      <c r="AE1161" s="368"/>
      <c r="AF1161" s="377"/>
      <c r="AJ1161" s="337">
        <v>141</v>
      </c>
    </row>
    <row r="1162" spans="1:36">
      <c r="A1162" s="332">
        <f t="shared" si="44"/>
        <v>142</v>
      </c>
      <c r="G1162" s="349" t="s">
        <v>1833</v>
      </c>
      <c r="H1162" s="368" t="s">
        <v>1834</v>
      </c>
      <c r="I1162" s="368" t="s">
        <v>1835</v>
      </c>
      <c r="J1162" s="368" t="s">
        <v>1442</v>
      </c>
      <c r="K1162" s="368" t="s">
        <v>1835</v>
      </c>
      <c r="L1162" s="368" t="s">
        <v>1442</v>
      </c>
      <c r="M1162" s="368" t="s">
        <v>1376</v>
      </c>
      <c r="N1162" s="368" t="s">
        <v>867</v>
      </c>
      <c r="O1162" s="376">
        <v>6074</v>
      </c>
      <c r="P1162" s="368" t="s">
        <v>1385</v>
      </c>
      <c r="Q1162" s="368" t="s">
        <v>1386</v>
      </c>
      <c r="R1162" s="368" t="s">
        <v>867</v>
      </c>
      <c r="S1162" s="368" t="s">
        <v>864</v>
      </c>
      <c r="T1162" s="368" t="s">
        <v>362</v>
      </c>
      <c r="U1162" s="368" t="s">
        <v>867</v>
      </c>
      <c r="V1162" s="368" t="s">
        <v>867</v>
      </c>
      <c r="W1162" s="368" t="s">
        <v>1378</v>
      </c>
      <c r="X1162" s="368">
        <v>750</v>
      </c>
      <c r="Y1162" s="368">
        <v>99</v>
      </c>
      <c r="Z1162" s="368"/>
      <c r="AA1162" s="368"/>
      <c r="AB1162" s="368"/>
      <c r="AC1162" s="368"/>
      <c r="AD1162" s="368"/>
      <c r="AE1162" s="368"/>
      <c r="AF1162" s="377"/>
      <c r="AJ1162" s="337">
        <v>142</v>
      </c>
    </row>
    <row r="1163" spans="1:36">
      <c r="A1163" s="332">
        <f t="shared" si="44"/>
        <v>143</v>
      </c>
      <c r="G1163" s="349" t="s">
        <v>1836</v>
      </c>
      <c r="H1163" s="368" t="s">
        <v>1837</v>
      </c>
      <c r="I1163" s="368" t="s">
        <v>1838</v>
      </c>
      <c r="J1163" s="368" t="s">
        <v>1399</v>
      </c>
      <c r="K1163" s="368" t="s">
        <v>1839</v>
      </c>
      <c r="L1163" s="368" t="s">
        <v>1375</v>
      </c>
      <c r="M1163" s="368" t="s">
        <v>1384</v>
      </c>
      <c r="N1163" s="368" t="s">
        <v>867</v>
      </c>
      <c r="O1163" s="376">
        <v>76000</v>
      </c>
      <c r="P1163" s="368" t="s">
        <v>1385</v>
      </c>
      <c r="Q1163" s="368" t="s">
        <v>1386</v>
      </c>
      <c r="R1163" s="368" t="s">
        <v>867</v>
      </c>
      <c r="S1163" s="368" t="s">
        <v>864</v>
      </c>
      <c r="T1163" s="368" t="s">
        <v>362</v>
      </c>
      <c r="U1163" s="368" t="s">
        <v>867</v>
      </c>
      <c r="V1163" s="368" t="s">
        <v>867</v>
      </c>
      <c r="W1163" s="368" t="s">
        <v>1378</v>
      </c>
      <c r="X1163" s="368">
        <v>0</v>
      </c>
      <c r="Y1163" s="368">
        <v>99</v>
      </c>
      <c r="Z1163" s="368"/>
      <c r="AA1163" s="368"/>
      <c r="AB1163" s="368"/>
      <c r="AC1163" s="368"/>
      <c r="AD1163" s="368"/>
      <c r="AE1163" s="368"/>
      <c r="AF1163" s="377"/>
      <c r="AJ1163" s="337">
        <v>143</v>
      </c>
    </row>
    <row r="1164" spans="1:36">
      <c r="A1164" s="332">
        <f t="shared" si="44"/>
        <v>144</v>
      </c>
      <c r="G1164" s="349" t="s">
        <v>1840</v>
      </c>
      <c r="H1164" s="368" t="s">
        <v>1841</v>
      </c>
      <c r="I1164" s="368" t="s">
        <v>1842</v>
      </c>
      <c r="J1164" s="368" t="s">
        <v>1442</v>
      </c>
      <c r="K1164" s="368" t="s">
        <v>1842</v>
      </c>
      <c r="L1164" s="368" t="s">
        <v>1442</v>
      </c>
      <c r="M1164" s="368" t="s">
        <v>1384</v>
      </c>
      <c r="N1164" s="368" t="s">
        <v>867</v>
      </c>
      <c r="O1164" s="376">
        <v>29357</v>
      </c>
      <c r="P1164" s="368" t="s">
        <v>1385</v>
      </c>
      <c r="Q1164" s="368" t="s">
        <v>1386</v>
      </c>
      <c r="R1164" s="368" t="s">
        <v>867</v>
      </c>
      <c r="S1164" s="368" t="s">
        <v>864</v>
      </c>
      <c r="T1164" s="368" t="s">
        <v>362</v>
      </c>
      <c r="U1164" s="368" t="s">
        <v>867</v>
      </c>
      <c r="V1164" s="368" t="s">
        <v>867</v>
      </c>
      <c r="W1164" s="368" t="s">
        <v>1378</v>
      </c>
      <c r="X1164" s="368">
        <v>1150</v>
      </c>
      <c r="Y1164" s="368">
        <v>99</v>
      </c>
      <c r="Z1164" s="368"/>
      <c r="AA1164" s="368"/>
      <c r="AB1164" s="368"/>
      <c r="AC1164" s="368"/>
      <c r="AD1164" s="368"/>
      <c r="AE1164" s="368"/>
      <c r="AF1164" s="377"/>
      <c r="AJ1164" s="337">
        <v>144</v>
      </c>
    </row>
    <row r="1165" spans="1:36">
      <c r="A1165" s="332">
        <f t="shared" si="44"/>
        <v>145</v>
      </c>
      <c r="G1165" s="349" t="s">
        <v>1843</v>
      </c>
      <c r="H1165" s="368" t="s">
        <v>1844</v>
      </c>
      <c r="I1165" s="368" t="s">
        <v>1845</v>
      </c>
      <c r="J1165" s="368" t="s">
        <v>1375</v>
      </c>
      <c r="K1165" s="368" t="s">
        <v>1845</v>
      </c>
      <c r="L1165" s="368" t="s">
        <v>1375</v>
      </c>
      <c r="M1165" s="368" t="s">
        <v>1422</v>
      </c>
      <c r="N1165" s="368" t="s">
        <v>867</v>
      </c>
      <c r="O1165" s="376">
        <v>15969</v>
      </c>
      <c r="P1165" s="368" t="s">
        <v>1385</v>
      </c>
      <c r="Q1165" s="368" t="s">
        <v>1386</v>
      </c>
      <c r="R1165" s="368" t="s">
        <v>867</v>
      </c>
      <c r="S1165" s="368" t="s">
        <v>864</v>
      </c>
      <c r="T1165" s="368" t="s">
        <v>362</v>
      </c>
      <c r="U1165" s="368" t="s">
        <v>867</v>
      </c>
      <c r="V1165" s="368" t="s">
        <v>867</v>
      </c>
      <c r="W1165" s="368" t="s">
        <v>1378</v>
      </c>
      <c r="X1165" s="368">
        <v>0</v>
      </c>
      <c r="Y1165" s="368">
        <v>99</v>
      </c>
      <c r="Z1165" s="368"/>
      <c r="AA1165" s="368"/>
      <c r="AB1165" s="368"/>
      <c r="AC1165" s="368"/>
      <c r="AD1165" s="368"/>
      <c r="AE1165" s="368"/>
      <c r="AF1165" s="377"/>
      <c r="AJ1165" s="337">
        <v>145</v>
      </c>
    </row>
    <row r="1166" spans="1:36">
      <c r="A1166" s="332">
        <f t="shared" si="44"/>
        <v>146</v>
      </c>
      <c r="G1166" s="349" t="s">
        <v>1846</v>
      </c>
      <c r="H1166" s="368" t="s">
        <v>1771</v>
      </c>
      <c r="I1166" s="368" t="s">
        <v>1398</v>
      </c>
      <c r="J1166" s="368" t="s">
        <v>1433</v>
      </c>
      <c r="K1166" s="368" t="s">
        <v>1398</v>
      </c>
      <c r="L1166" s="368" t="s">
        <v>1433</v>
      </c>
      <c r="M1166" s="368" t="s">
        <v>1384</v>
      </c>
      <c r="N1166" s="368" t="s">
        <v>867</v>
      </c>
      <c r="O1166" s="376">
        <v>26869</v>
      </c>
      <c r="P1166" s="368" t="s">
        <v>1385</v>
      </c>
      <c r="Q1166" s="368" t="s">
        <v>1386</v>
      </c>
      <c r="R1166" s="368" t="s">
        <v>867</v>
      </c>
      <c r="S1166" s="368" t="s">
        <v>864</v>
      </c>
      <c r="T1166" s="368" t="s">
        <v>362</v>
      </c>
      <c r="U1166" s="368" t="s">
        <v>867</v>
      </c>
      <c r="V1166" s="368" t="s">
        <v>867</v>
      </c>
      <c r="W1166" s="368" t="s">
        <v>1378</v>
      </c>
      <c r="X1166" s="368">
        <v>0</v>
      </c>
      <c r="Y1166" s="368">
        <v>99</v>
      </c>
      <c r="Z1166" s="368"/>
      <c r="AA1166" s="368"/>
      <c r="AB1166" s="368"/>
      <c r="AC1166" s="368"/>
      <c r="AD1166" s="368"/>
      <c r="AE1166" s="368"/>
      <c r="AF1166" s="377"/>
      <c r="AJ1166" s="337">
        <v>146</v>
      </c>
    </row>
    <row r="1167" spans="1:36">
      <c r="A1167" s="332">
        <f t="shared" si="44"/>
        <v>147</v>
      </c>
      <c r="G1167" s="349" t="s">
        <v>1847</v>
      </c>
      <c r="H1167" s="368" t="s">
        <v>1848</v>
      </c>
      <c r="I1167" s="368" t="s">
        <v>1849</v>
      </c>
      <c r="J1167" s="368" t="s">
        <v>1375</v>
      </c>
      <c r="K1167" s="368" t="s">
        <v>1849</v>
      </c>
      <c r="L1167" s="368" t="s">
        <v>1375</v>
      </c>
      <c r="M1167" s="368" t="s">
        <v>1384</v>
      </c>
      <c r="N1167" s="368" t="s">
        <v>867</v>
      </c>
      <c r="O1167" s="376">
        <v>75624</v>
      </c>
      <c r="P1167" s="368" t="s">
        <v>1385</v>
      </c>
      <c r="Q1167" s="368" t="s">
        <v>1386</v>
      </c>
      <c r="R1167" s="368" t="s">
        <v>867</v>
      </c>
      <c r="S1167" s="368" t="s">
        <v>864</v>
      </c>
      <c r="T1167" s="368" t="s">
        <v>362</v>
      </c>
      <c r="U1167" s="368" t="s">
        <v>867</v>
      </c>
      <c r="V1167" s="368" t="s">
        <v>867</v>
      </c>
      <c r="W1167" s="368" t="s">
        <v>1378</v>
      </c>
      <c r="X1167" s="368">
        <v>0</v>
      </c>
      <c r="Y1167" s="368">
        <v>99</v>
      </c>
      <c r="Z1167" s="368"/>
      <c r="AA1167" s="368"/>
      <c r="AB1167" s="368"/>
      <c r="AC1167" s="368"/>
      <c r="AD1167" s="368"/>
      <c r="AE1167" s="368"/>
      <c r="AF1167" s="377"/>
      <c r="AJ1167" s="337">
        <v>147</v>
      </c>
    </row>
    <row r="1168" spans="1:36">
      <c r="A1168" s="332">
        <f t="shared" si="44"/>
        <v>148</v>
      </c>
      <c r="G1168" s="349" t="s">
        <v>1850</v>
      </c>
      <c r="H1168" s="368" t="s">
        <v>1851</v>
      </c>
      <c r="I1168" s="368" t="s">
        <v>1852</v>
      </c>
      <c r="J1168" s="368" t="s">
        <v>1375</v>
      </c>
      <c r="K1168" s="368" t="s">
        <v>1852</v>
      </c>
      <c r="L1168" s="368" t="s">
        <v>1375</v>
      </c>
      <c r="M1168" s="368" t="s">
        <v>1384</v>
      </c>
      <c r="N1168" s="368" t="s">
        <v>867</v>
      </c>
      <c r="O1168" s="376">
        <v>47911</v>
      </c>
      <c r="P1168" s="368" t="s">
        <v>1385</v>
      </c>
      <c r="Q1168" s="368" t="s">
        <v>1386</v>
      </c>
      <c r="R1168" s="368" t="s">
        <v>867</v>
      </c>
      <c r="S1168" s="368" t="s">
        <v>864</v>
      </c>
      <c r="T1168" s="368" t="s">
        <v>362</v>
      </c>
      <c r="U1168" s="368" t="s">
        <v>867</v>
      </c>
      <c r="V1168" s="368" t="s">
        <v>867</v>
      </c>
      <c r="W1168" s="368" t="s">
        <v>1378</v>
      </c>
      <c r="X1168" s="368">
        <v>0</v>
      </c>
      <c r="Y1168" s="368">
        <v>99</v>
      </c>
      <c r="Z1168" s="368"/>
      <c r="AA1168" s="368"/>
      <c r="AB1168" s="368"/>
      <c r="AC1168" s="368"/>
      <c r="AD1168" s="368"/>
      <c r="AE1168" s="368"/>
      <c r="AF1168" s="377"/>
      <c r="AJ1168" s="337">
        <v>148</v>
      </c>
    </row>
    <row r="1169" spans="1:36">
      <c r="A1169" s="332">
        <f t="shared" si="44"/>
        <v>149</v>
      </c>
      <c r="G1169" s="349" t="s">
        <v>1853</v>
      </c>
      <c r="H1169" s="368" t="s">
        <v>1854</v>
      </c>
      <c r="I1169" s="368" t="s">
        <v>1855</v>
      </c>
      <c r="J1169" s="368" t="s">
        <v>1375</v>
      </c>
      <c r="K1169" s="368" t="s">
        <v>1855</v>
      </c>
      <c r="L1169" s="368" t="s">
        <v>1375</v>
      </c>
      <c r="M1169" s="368" t="s">
        <v>1384</v>
      </c>
      <c r="N1169" s="368" t="s">
        <v>867</v>
      </c>
      <c r="O1169" s="376">
        <v>19657</v>
      </c>
      <c r="P1169" s="368" t="s">
        <v>1385</v>
      </c>
      <c r="Q1169" s="368" t="s">
        <v>1386</v>
      </c>
      <c r="R1169" s="368" t="s">
        <v>867</v>
      </c>
      <c r="S1169" s="368" t="s">
        <v>864</v>
      </c>
      <c r="T1169" s="368" t="s">
        <v>362</v>
      </c>
      <c r="U1169" s="368" t="s">
        <v>867</v>
      </c>
      <c r="V1169" s="368" t="s">
        <v>867</v>
      </c>
      <c r="W1169" s="368" t="s">
        <v>1378</v>
      </c>
      <c r="X1169" s="368">
        <v>1700</v>
      </c>
      <c r="Y1169" s="368">
        <v>99</v>
      </c>
      <c r="Z1169" s="368"/>
      <c r="AA1169" s="368"/>
      <c r="AB1169" s="368"/>
      <c r="AC1169" s="368"/>
      <c r="AD1169" s="368"/>
      <c r="AE1169" s="368"/>
      <c r="AF1169" s="377"/>
      <c r="AJ1169" s="337">
        <v>149</v>
      </c>
    </row>
    <row r="1170" spans="1:36">
      <c r="A1170" s="332">
        <f t="shared" si="44"/>
        <v>150</v>
      </c>
      <c r="G1170" s="349" t="s">
        <v>1856</v>
      </c>
      <c r="H1170" s="368" t="s">
        <v>1857</v>
      </c>
      <c r="I1170" s="368" t="s">
        <v>1858</v>
      </c>
      <c r="J1170" s="368" t="s">
        <v>1375</v>
      </c>
      <c r="K1170" s="368" t="s">
        <v>1858</v>
      </c>
      <c r="L1170" s="368" t="s">
        <v>1375</v>
      </c>
      <c r="M1170" s="368" t="s">
        <v>1384</v>
      </c>
      <c r="N1170" s="368" t="s">
        <v>867</v>
      </c>
      <c r="O1170" s="376">
        <v>17340</v>
      </c>
      <c r="P1170" s="368" t="s">
        <v>1385</v>
      </c>
      <c r="Q1170" s="368" t="s">
        <v>1688</v>
      </c>
      <c r="R1170" s="368" t="s">
        <v>867</v>
      </c>
      <c r="S1170" s="368" t="s">
        <v>864</v>
      </c>
      <c r="T1170" s="368" t="s">
        <v>362</v>
      </c>
      <c r="U1170" s="368" t="s">
        <v>867</v>
      </c>
      <c r="V1170" s="368" t="s">
        <v>867</v>
      </c>
      <c r="W1170" s="368" t="s">
        <v>1378</v>
      </c>
      <c r="X1170" s="368">
        <v>0</v>
      </c>
      <c r="Y1170" s="368">
        <v>99</v>
      </c>
      <c r="Z1170" s="368"/>
      <c r="AA1170" s="368"/>
      <c r="AB1170" s="368"/>
      <c r="AC1170" s="368"/>
      <c r="AD1170" s="368"/>
      <c r="AE1170" s="368"/>
      <c r="AF1170" s="377"/>
      <c r="AJ1170" s="337">
        <v>150</v>
      </c>
    </row>
    <row r="1171" spans="1:36">
      <c r="A1171" s="332">
        <f t="shared" si="44"/>
        <v>151</v>
      </c>
      <c r="G1171" s="349" t="s">
        <v>1859</v>
      </c>
      <c r="H1171" s="368" t="s">
        <v>1860</v>
      </c>
      <c r="I1171" s="368" t="s">
        <v>1861</v>
      </c>
      <c r="J1171" s="368" t="s">
        <v>1442</v>
      </c>
      <c r="K1171" s="368" t="s">
        <v>1861</v>
      </c>
      <c r="L1171" s="368" t="s">
        <v>1442</v>
      </c>
      <c r="M1171" s="368" t="s">
        <v>1384</v>
      </c>
      <c r="N1171" s="368" t="s">
        <v>867</v>
      </c>
      <c r="O1171" s="376">
        <v>16543</v>
      </c>
      <c r="P1171" s="368" t="s">
        <v>1385</v>
      </c>
      <c r="Q1171" s="368" t="s">
        <v>1386</v>
      </c>
      <c r="R1171" s="368" t="s">
        <v>867</v>
      </c>
      <c r="S1171" s="368" t="s">
        <v>864</v>
      </c>
      <c r="T1171" s="368" t="s">
        <v>362</v>
      </c>
      <c r="U1171" s="368" t="s">
        <v>867</v>
      </c>
      <c r="V1171" s="368" t="s">
        <v>867</v>
      </c>
      <c r="W1171" s="368" t="s">
        <v>1378</v>
      </c>
      <c r="X1171" s="368">
        <v>0</v>
      </c>
      <c r="Y1171" s="368">
        <v>99</v>
      </c>
      <c r="Z1171" s="368"/>
      <c r="AA1171" s="368"/>
      <c r="AB1171" s="368"/>
      <c r="AC1171" s="368"/>
      <c r="AD1171" s="368"/>
      <c r="AE1171" s="368"/>
      <c r="AF1171" s="377"/>
      <c r="AJ1171" s="337">
        <v>151</v>
      </c>
    </row>
    <row r="1172" spans="1:36">
      <c r="A1172" s="332">
        <f t="shared" si="44"/>
        <v>152</v>
      </c>
      <c r="G1172" s="349" t="s">
        <v>1862</v>
      </c>
      <c r="H1172" s="368" t="s">
        <v>1863</v>
      </c>
      <c r="I1172" s="368" t="s">
        <v>1864</v>
      </c>
      <c r="J1172" s="368" t="s">
        <v>1399</v>
      </c>
      <c r="K1172" s="368" t="s">
        <v>1864</v>
      </c>
      <c r="L1172" s="368" t="s">
        <v>1399</v>
      </c>
      <c r="M1172" s="368" t="s">
        <v>1384</v>
      </c>
      <c r="N1172" s="368" t="s">
        <v>867</v>
      </c>
      <c r="O1172" s="376">
        <v>82079</v>
      </c>
      <c r="P1172" s="368" t="s">
        <v>1385</v>
      </c>
      <c r="Q1172" s="368" t="s">
        <v>1386</v>
      </c>
      <c r="R1172" s="368" t="s">
        <v>867</v>
      </c>
      <c r="S1172" s="368" t="s">
        <v>864</v>
      </c>
      <c r="T1172" s="368" t="s">
        <v>362</v>
      </c>
      <c r="U1172" s="368" t="s">
        <v>867</v>
      </c>
      <c r="V1172" s="368" t="s">
        <v>867</v>
      </c>
      <c r="W1172" s="368" t="s">
        <v>1378</v>
      </c>
      <c r="X1172" s="368">
        <v>0</v>
      </c>
      <c r="Y1172" s="368">
        <v>99</v>
      </c>
      <c r="Z1172" s="368"/>
      <c r="AA1172" s="368"/>
      <c r="AB1172" s="368"/>
      <c r="AC1172" s="368"/>
      <c r="AD1172" s="368"/>
      <c r="AE1172" s="368"/>
      <c r="AF1172" s="377"/>
      <c r="AJ1172" s="337">
        <v>152</v>
      </c>
    </row>
    <row r="1173" spans="1:36">
      <c r="A1173" s="332">
        <f t="shared" si="44"/>
        <v>153</v>
      </c>
      <c r="G1173" s="349" t="s">
        <v>1865</v>
      </c>
      <c r="H1173" s="368" t="s">
        <v>1866</v>
      </c>
      <c r="I1173" s="368" t="s">
        <v>1867</v>
      </c>
      <c r="J1173" s="368" t="s">
        <v>1375</v>
      </c>
      <c r="K1173" s="368" t="s">
        <v>1867</v>
      </c>
      <c r="L1173" s="368" t="s">
        <v>1375</v>
      </c>
      <c r="M1173" s="368" t="s">
        <v>1376</v>
      </c>
      <c r="N1173" s="368" t="s">
        <v>867</v>
      </c>
      <c r="O1173" s="376">
        <v>9204</v>
      </c>
      <c r="P1173" s="368" t="s">
        <v>1385</v>
      </c>
      <c r="Q1173" s="368" t="s">
        <v>1526</v>
      </c>
      <c r="R1173" s="368" t="s">
        <v>867</v>
      </c>
      <c r="S1173" s="368" t="s">
        <v>864</v>
      </c>
      <c r="T1173" s="368" t="s">
        <v>362</v>
      </c>
      <c r="U1173" s="368" t="s">
        <v>867</v>
      </c>
      <c r="V1173" s="368" t="s">
        <v>867</v>
      </c>
      <c r="W1173" s="368" t="s">
        <v>1378</v>
      </c>
      <c r="X1173" s="368">
        <v>0</v>
      </c>
      <c r="Y1173" s="368">
        <v>99</v>
      </c>
      <c r="Z1173" s="368"/>
      <c r="AA1173" s="368"/>
      <c r="AB1173" s="368"/>
      <c r="AC1173" s="368"/>
      <c r="AD1173" s="368"/>
      <c r="AE1173" s="368"/>
      <c r="AF1173" s="377"/>
      <c r="AJ1173" s="337">
        <v>153</v>
      </c>
    </row>
    <row r="1174" spans="1:36">
      <c r="A1174" s="332">
        <f t="shared" si="44"/>
        <v>154</v>
      </c>
      <c r="G1174" s="349" t="s">
        <v>1868</v>
      </c>
      <c r="H1174" s="368" t="s">
        <v>1869</v>
      </c>
      <c r="I1174" s="368" t="s">
        <v>1398</v>
      </c>
      <c r="J1174" s="368" t="s">
        <v>1399</v>
      </c>
      <c r="K1174" s="368" t="s">
        <v>1398</v>
      </c>
      <c r="L1174" s="368" t="s">
        <v>1399</v>
      </c>
      <c r="M1174" s="368" t="s">
        <v>1384</v>
      </c>
      <c r="N1174" s="368" t="s">
        <v>867</v>
      </c>
      <c r="O1174" s="376">
        <v>81989</v>
      </c>
      <c r="P1174" s="368" t="s">
        <v>1385</v>
      </c>
      <c r="Q1174" s="368" t="s">
        <v>1688</v>
      </c>
      <c r="R1174" s="368" t="s">
        <v>867</v>
      </c>
      <c r="S1174" s="368" t="s">
        <v>864</v>
      </c>
      <c r="T1174" s="368" t="s">
        <v>362</v>
      </c>
      <c r="U1174" s="368" t="s">
        <v>867</v>
      </c>
      <c r="V1174" s="368" t="s">
        <v>867</v>
      </c>
      <c r="W1174" s="368" t="s">
        <v>1378</v>
      </c>
      <c r="X1174" s="368">
        <v>300</v>
      </c>
      <c r="Y1174" s="368">
        <v>99</v>
      </c>
      <c r="Z1174" s="368"/>
      <c r="AA1174" s="368"/>
      <c r="AB1174" s="368"/>
      <c r="AC1174" s="368"/>
      <c r="AD1174" s="368"/>
      <c r="AE1174" s="368"/>
      <c r="AF1174" s="377"/>
      <c r="AJ1174" s="337">
        <v>154</v>
      </c>
    </row>
    <row r="1175" spans="1:36">
      <c r="A1175" s="332">
        <f t="shared" si="44"/>
        <v>155</v>
      </c>
      <c r="G1175" s="349" t="s">
        <v>1870</v>
      </c>
      <c r="H1175" s="368" t="s">
        <v>1871</v>
      </c>
      <c r="I1175" s="368" t="s">
        <v>1872</v>
      </c>
      <c r="J1175" s="368" t="s">
        <v>1375</v>
      </c>
      <c r="K1175" s="368" t="s">
        <v>1872</v>
      </c>
      <c r="L1175" s="368" t="s">
        <v>1375</v>
      </c>
      <c r="M1175" s="368" t="s">
        <v>1384</v>
      </c>
      <c r="N1175" s="368" t="s">
        <v>867</v>
      </c>
      <c r="O1175" s="376">
        <v>71020</v>
      </c>
      <c r="P1175" s="368" t="s">
        <v>1385</v>
      </c>
      <c r="Q1175" s="368" t="s">
        <v>1386</v>
      </c>
      <c r="R1175" s="368" t="s">
        <v>867</v>
      </c>
      <c r="S1175" s="368" t="s">
        <v>864</v>
      </c>
      <c r="T1175" s="368" t="s">
        <v>362</v>
      </c>
      <c r="U1175" s="368" t="s">
        <v>867</v>
      </c>
      <c r="V1175" s="368" t="s">
        <v>867</v>
      </c>
      <c r="W1175" s="368" t="s">
        <v>1378</v>
      </c>
      <c r="X1175" s="368">
        <v>500</v>
      </c>
      <c r="Y1175" s="368">
        <v>99</v>
      </c>
      <c r="Z1175" s="368"/>
      <c r="AA1175" s="368"/>
      <c r="AB1175" s="368"/>
      <c r="AC1175" s="368"/>
      <c r="AD1175" s="368"/>
      <c r="AE1175" s="368"/>
      <c r="AF1175" s="377"/>
      <c r="AJ1175" s="337">
        <v>155</v>
      </c>
    </row>
    <row r="1176" spans="1:36">
      <c r="A1176" s="332">
        <f t="shared" si="44"/>
        <v>156</v>
      </c>
      <c r="G1176" s="349" t="s">
        <v>1873</v>
      </c>
      <c r="H1176" s="368" t="s">
        <v>1874</v>
      </c>
      <c r="I1176" s="368" t="s">
        <v>1398</v>
      </c>
      <c r="J1176" s="368" t="s">
        <v>1399</v>
      </c>
      <c r="K1176" s="368" t="s">
        <v>1398</v>
      </c>
      <c r="L1176" s="368" t="s">
        <v>1399</v>
      </c>
      <c r="M1176" s="368" t="s">
        <v>1384</v>
      </c>
      <c r="N1176" s="368" t="s">
        <v>867</v>
      </c>
      <c r="O1176" s="376">
        <v>81209</v>
      </c>
      <c r="P1176" s="368" t="s">
        <v>1385</v>
      </c>
      <c r="Q1176" s="368" t="s">
        <v>1386</v>
      </c>
      <c r="R1176" s="368" t="s">
        <v>867</v>
      </c>
      <c r="S1176" s="368" t="s">
        <v>864</v>
      </c>
      <c r="T1176" s="368" t="s">
        <v>362</v>
      </c>
      <c r="U1176" s="368" t="s">
        <v>867</v>
      </c>
      <c r="V1176" s="368" t="s">
        <v>867</v>
      </c>
      <c r="W1176" s="368" t="s">
        <v>1378</v>
      </c>
      <c r="X1176" s="368">
        <v>0</v>
      </c>
      <c r="Y1176" s="368">
        <v>99</v>
      </c>
      <c r="Z1176" s="368"/>
      <c r="AA1176" s="368"/>
      <c r="AB1176" s="368"/>
      <c r="AC1176" s="368"/>
      <c r="AD1176" s="368"/>
      <c r="AE1176" s="368"/>
      <c r="AF1176" s="377"/>
      <c r="AJ1176" s="337">
        <v>156</v>
      </c>
    </row>
    <row r="1177" spans="1:36">
      <c r="A1177" s="332">
        <f t="shared" si="44"/>
        <v>157</v>
      </c>
      <c r="G1177" s="349" t="s">
        <v>1875</v>
      </c>
      <c r="H1177" s="368" t="s">
        <v>1876</v>
      </c>
      <c r="I1177" s="368" t="s">
        <v>1877</v>
      </c>
      <c r="J1177" s="368" t="s">
        <v>1375</v>
      </c>
      <c r="K1177" s="368" t="s">
        <v>1877</v>
      </c>
      <c r="L1177" s="368" t="s">
        <v>1375</v>
      </c>
      <c r="M1177" s="368" t="s">
        <v>1384</v>
      </c>
      <c r="N1177" s="368" t="s">
        <v>867</v>
      </c>
      <c r="O1177" s="376">
        <v>40822</v>
      </c>
      <c r="P1177" s="368" t="s">
        <v>1385</v>
      </c>
      <c r="Q1177" s="368" t="s">
        <v>1386</v>
      </c>
      <c r="R1177" s="368" t="s">
        <v>867</v>
      </c>
      <c r="S1177" s="368" t="s">
        <v>867</v>
      </c>
      <c r="T1177" s="368" t="s">
        <v>362</v>
      </c>
      <c r="U1177" s="368" t="s">
        <v>867</v>
      </c>
      <c r="V1177" s="368" t="s">
        <v>867</v>
      </c>
      <c r="W1177" s="368" t="s">
        <v>1378</v>
      </c>
      <c r="X1177" s="368">
        <v>1100</v>
      </c>
      <c r="Y1177" s="368">
        <v>99</v>
      </c>
      <c r="Z1177" s="368"/>
      <c r="AA1177" s="368"/>
      <c r="AB1177" s="368"/>
      <c r="AC1177" s="368"/>
      <c r="AD1177" s="368"/>
      <c r="AE1177" s="368"/>
      <c r="AF1177" s="377"/>
      <c r="AJ1177" s="337">
        <v>157</v>
      </c>
    </row>
    <row r="1178" spans="1:36">
      <c r="A1178" s="332">
        <f t="shared" si="44"/>
        <v>158</v>
      </c>
      <c r="G1178" s="349" t="s">
        <v>1878</v>
      </c>
      <c r="H1178" s="368" t="s">
        <v>1539</v>
      </c>
      <c r="I1178" s="368" t="s">
        <v>1879</v>
      </c>
      <c r="J1178" s="368" t="s">
        <v>1433</v>
      </c>
      <c r="K1178" s="368" t="s">
        <v>1879</v>
      </c>
      <c r="L1178" s="368" t="s">
        <v>1382</v>
      </c>
      <c r="M1178" s="368" t="s">
        <v>1376</v>
      </c>
      <c r="N1178" s="368" t="s">
        <v>867</v>
      </c>
      <c r="O1178" s="376">
        <v>39357</v>
      </c>
      <c r="P1178" s="368" t="s">
        <v>1385</v>
      </c>
      <c r="Q1178" s="368" t="s">
        <v>1462</v>
      </c>
      <c r="R1178" s="368" t="s">
        <v>867</v>
      </c>
      <c r="S1178" s="368" t="s">
        <v>864</v>
      </c>
      <c r="T1178" s="368" t="s">
        <v>1387</v>
      </c>
      <c r="U1178" s="368" t="s">
        <v>867</v>
      </c>
      <c r="V1178" s="368" t="s">
        <v>867</v>
      </c>
      <c r="W1178" s="368" t="s">
        <v>1378</v>
      </c>
      <c r="X1178" s="368">
        <v>0</v>
      </c>
      <c r="Y1178" s="368">
        <v>99</v>
      </c>
      <c r="Z1178" s="368"/>
      <c r="AA1178" s="368"/>
      <c r="AB1178" s="368"/>
      <c r="AC1178" s="368"/>
      <c r="AD1178" s="368"/>
      <c r="AE1178" s="368"/>
      <c r="AF1178" s="377"/>
      <c r="AJ1178" s="337">
        <v>158</v>
      </c>
    </row>
    <row r="1179" spans="1:36">
      <c r="A1179" s="332">
        <f t="shared" si="44"/>
        <v>159</v>
      </c>
      <c r="G1179" s="349" t="s">
        <v>1880</v>
      </c>
      <c r="H1179" s="368" t="s">
        <v>1881</v>
      </c>
      <c r="I1179" s="368" t="s">
        <v>1882</v>
      </c>
      <c r="J1179" s="368" t="s">
        <v>1403</v>
      </c>
      <c r="K1179" s="368" t="s">
        <v>1882</v>
      </c>
      <c r="L1179" s="368" t="s">
        <v>1403</v>
      </c>
      <c r="M1179" s="368" t="s">
        <v>1384</v>
      </c>
      <c r="N1179" s="368" t="s">
        <v>867</v>
      </c>
      <c r="O1179" s="376">
        <v>40304</v>
      </c>
      <c r="P1179" s="368" t="s">
        <v>1447</v>
      </c>
      <c r="Q1179" s="368" t="s">
        <v>1386</v>
      </c>
      <c r="R1179" s="368" t="s">
        <v>867</v>
      </c>
      <c r="S1179" s="368" t="s">
        <v>864</v>
      </c>
      <c r="T1179" s="368" t="s">
        <v>362</v>
      </c>
      <c r="U1179" s="368" t="s">
        <v>867</v>
      </c>
      <c r="V1179" s="368" t="s">
        <v>867</v>
      </c>
      <c r="W1179" s="368" t="s">
        <v>1378</v>
      </c>
      <c r="X1179" s="368">
        <v>0</v>
      </c>
      <c r="Y1179" s="368">
        <v>99</v>
      </c>
      <c r="Z1179" s="368"/>
      <c r="AA1179" s="368"/>
      <c r="AB1179" s="368"/>
      <c r="AC1179" s="368"/>
      <c r="AD1179" s="368"/>
      <c r="AE1179" s="368"/>
      <c r="AF1179" s="377"/>
      <c r="AJ1179" s="337">
        <v>159</v>
      </c>
    </row>
    <row r="1180" spans="1:36">
      <c r="A1180" s="332">
        <f t="shared" si="44"/>
        <v>160</v>
      </c>
      <c r="G1180" s="349" t="s">
        <v>1883</v>
      </c>
      <c r="H1180" s="368" t="s">
        <v>1884</v>
      </c>
      <c r="I1180" s="368" t="s">
        <v>1885</v>
      </c>
      <c r="J1180" s="368" t="s">
        <v>1399</v>
      </c>
      <c r="K1180" s="368" t="s">
        <v>1885</v>
      </c>
      <c r="L1180" s="368" t="s">
        <v>1399</v>
      </c>
      <c r="M1180" s="368" t="s">
        <v>1384</v>
      </c>
      <c r="N1180" s="368" t="s">
        <v>867</v>
      </c>
      <c r="O1180" s="376">
        <v>39747</v>
      </c>
      <c r="P1180" s="368" t="s">
        <v>1385</v>
      </c>
      <c r="Q1180" s="368" t="s">
        <v>1386</v>
      </c>
      <c r="R1180" s="368" t="s">
        <v>867</v>
      </c>
      <c r="S1180" s="368" t="s">
        <v>864</v>
      </c>
      <c r="T1180" s="368" t="s">
        <v>362</v>
      </c>
      <c r="U1180" s="368" t="s">
        <v>867</v>
      </c>
      <c r="V1180" s="368" t="s">
        <v>867</v>
      </c>
      <c r="W1180" s="368" t="s">
        <v>1378</v>
      </c>
      <c r="X1180" s="368">
        <v>1250</v>
      </c>
      <c r="Y1180" s="368">
        <v>99</v>
      </c>
      <c r="Z1180" s="368"/>
      <c r="AA1180" s="368"/>
      <c r="AB1180" s="368"/>
      <c r="AC1180" s="368"/>
      <c r="AD1180" s="368"/>
      <c r="AE1180" s="368"/>
      <c r="AF1180" s="377"/>
      <c r="AJ1180" s="337">
        <v>160</v>
      </c>
    </row>
    <row r="1181" spans="1:36">
      <c r="A1181" s="332">
        <f t="shared" si="44"/>
        <v>161</v>
      </c>
      <c r="G1181" s="349" t="s">
        <v>1886</v>
      </c>
      <c r="H1181" s="368" t="s">
        <v>1887</v>
      </c>
      <c r="I1181" s="368" t="s">
        <v>1888</v>
      </c>
      <c r="J1181" s="368" t="s">
        <v>1375</v>
      </c>
      <c r="K1181" s="368" t="s">
        <v>1888</v>
      </c>
      <c r="L1181" s="368" t="s">
        <v>1375</v>
      </c>
      <c r="M1181" s="368" t="s">
        <v>1376</v>
      </c>
      <c r="N1181" s="368" t="s">
        <v>867</v>
      </c>
      <c r="O1181" s="376">
        <v>72754</v>
      </c>
      <c r="P1181" s="368" t="s">
        <v>339</v>
      </c>
      <c r="Q1181" s="368" t="s">
        <v>1443</v>
      </c>
      <c r="R1181" s="368" t="s">
        <v>867</v>
      </c>
      <c r="S1181" s="368" t="s">
        <v>864</v>
      </c>
      <c r="T1181" s="368" t="s">
        <v>362</v>
      </c>
      <c r="U1181" s="368" t="s">
        <v>867</v>
      </c>
      <c r="V1181" s="368" t="s">
        <v>867</v>
      </c>
      <c r="W1181" s="368" t="s">
        <v>1378</v>
      </c>
      <c r="X1181" s="368">
        <v>0</v>
      </c>
      <c r="Y1181" s="368">
        <v>99</v>
      </c>
      <c r="Z1181" s="368"/>
      <c r="AA1181" s="368"/>
      <c r="AB1181" s="368"/>
      <c r="AC1181" s="368"/>
      <c r="AD1181" s="368"/>
      <c r="AE1181" s="368"/>
      <c r="AF1181" s="377"/>
      <c r="AJ1181" s="337">
        <v>161</v>
      </c>
    </row>
    <row r="1182" spans="1:36">
      <c r="A1182" s="332">
        <f t="shared" si="44"/>
        <v>162</v>
      </c>
      <c r="G1182" s="349" t="s">
        <v>1889</v>
      </c>
      <c r="H1182" s="368" t="s">
        <v>1890</v>
      </c>
      <c r="I1182" s="368" t="s">
        <v>1891</v>
      </c>
      <c r="J1182" s="368" t="s">
        <v>1403</v>
      </c>
      <c r="K1182" s="368" t="s">
        <v>1891</v>
      </c>
      <c r="L1182" s="368" t="s">
        <v>1403</v>
      </c>
      <c r="M1182" s="368" t="s">
        <v>1376</v>
      </c>
      <c r="N1182" s="368" t="s">
        <v>867</v>
      </c>
      <c r="O1182" s="376">
        <v>22871</v>
      </c>
      <c r="P1182" s="368" t="s">
        <v>1385</v>
      </c>
      <c r="Q1182" s="368" t="s">
        <v>1386</v>
      </c>
      <c r="R1182" s="368" t="s">
        <v>867</v>
      </c>
      <c r="S1182" s="368" t="s">
        <v>864</v>
      </c>
      <c r="T1182" s="368" t="s">
        <v>362</v>
      </c>
      <c r="U1182" s="368" t="s">
        <v>867</v>
      </c>
      <c r="V1182" s="368" t="s">
        <v>867</v>
      </c>
      <c r="W1182" s="368" t="s">
        <v>1378</v>
      </c>
      <c r="X1182" s="368">
        <v>0</v>
      </c>
      <c r="Y1182" s="368">
        <v>99</v>
      </c>
      <c r="Z1182" s="368"/>
      <c r="AA1182" s="368"/>
      <c r="AB1182" s="368"/>
      <c r="AC1182" s="368"/>
      <c r="AD1182" s="368"/>
      <c r="AE1182" s="368"/>
      <c r="AF1182" s="377"/>
      <c r="AJ1182" s="337">
        <v>162</v>
      </c>
    </row>
    <row r="1183" spans="1:36">
      <c r="A1183" s="332">
        <f t="shared" si="44"/>
        <v>163</v>
      </c>
      <c r="G1183" s="349" t="s">
        <v>1892</v>
      </c>
      <c r="H1183" s="368" t="s">
        <v>1893</v>
      </c>
      <c r="I1183" s="368" t="s">
        <v>1894</v>
      </c>
      <c r="J1183" s="368" t="s">
        <v>1375</v>
      </c>
      <c r="K1183" s="368" t="s">
        <v>1894</v>
      </c>
      <c r="L1183" s="368" t="s">
        <v>1375</v>
      </c>
      <c r="M1183" s="368" t="s">
        <v>1384</v>
      </c>
      <c r="N1183" s="368" t="s">
        <v>867</v>
      </c>
      <c r="O1183" s="376">
        <v>35672</v>
      </c>
      <c r="P1183" s="368" t="s">
        <v>1385</v>
      </c>
      <c r="Q1183" s="368" t="s">
        <v>1386</v>
      </c>
      <c r="R1183" s="368" t="s">
        <v>867</v>
      </c>
      <c r="S1183" s="368" t="s">
        <v>864</v>
      </c>
      <c r="T1183" s="368" t="s">
        <v>362</v>
      </c>
      <c r="U1183" s="368" t="s">
        <v>867</v>
      </c>
      <c r="V1183" s="368" t="s">
        <v>867</v>
      </c>
      <c r="W1183" s="368" t="s">
        <v>1378</v>
      </c>
      <c r="X1183" s="368">
        <v>1990</v>
      </c>
      <c r="Y1183" s="368">
        <v>99</v>
      </c>
      <c r="Z1183" s="368"/>
      <c r="AA1183" s="368"/>
      <c r="AB1183" s="368"/>
      <c r="AC1183" s="368"/>
      <c r="AD1183" s="368"/>
      <c r="AE1183" s="368"/>
      <c r="AF1183" s="377"/>
      <c r="AJ1183" s="337">
        <v>163</v>
      </c>
    </row>
    <row r="1184" spans="1:36">
      <c r="A1184" s="332">
        <f t="shared" si="44"/>
        <v>164</v>
      </c>
      <c r="G1184" s="349" t="s">
        <v>1895</v>
      </c>
      <c r="H1184" s="368" t="s">
        <v>1896</v>
      </c>
      <c r="I1184" s="368" t="s">
        <v>1897</v>
      </c>
      <c r="J1184" s="368" t="s">
        <v>1433</v>
      </c>
      <c r="K1184" s="368" t="s">
        <v>1897</v>
      </c>
      <c r="L1184" s="368" t="s">
        <v>1433</v>
      </c>
      <c r="M1184" s="368" t="s">
        <v>1384</v>
      </c>
      <c r="N1184" s="368" t="s">
        <v>867</v>
      </c>
      <c r="O1184" s="376">
        <v>5089</v>
      </c>
      <c r="P1184" s="368" t="s">
        <v>1385</v>
      </c>
      <c r="Q1184" s="368" t="s">
        <v>1386</v>
      </c>
      <c r="R1184" s="368" t="s">
        <v>867</v>
      </c>
      <c r="S1184" s="368" t="s">
        <v>864</v>
      </c>
      <c r="T1184" s="368" t="s">
        <v>362</v>
      </c>
      <c r="U1184" s="368" t="s">
        <v>867</v>
      </c>
      <c r="V1184" s="368" t="s">
        <v>867</v>
      </c>
      <c r="W1184" s="368" t="s">
        <v>1378</v>
      </c>
      <c r="X1184" s="368">
        <v>0</v>
      </c>
      <c r="Y1184" s="368">
        <v>99</v>
      </c>
      <c r="Z1184" s="368"/>
      <c r="AA1184" s="368"/>
      <c r="AB1184" s="368"/>
      <c r="AC1184" s="368"/>
      <c r="AD1184" s="368"/>
      <c r="AE1184" s="368"/>
      <c r="AF1184" s="377"/>
      <c r="AJ1184" s="337">
        <v>164</v>
      </c>
    </row>
    <row r="1185" spans="1:36">
      <c r="A1185" s="332">
        <f t="shared" si="44"/>
        <v>165</v>
      </c>
      <c r="G1185" s="349" t="s">
        <v>1898</v>
      </c>
      <c r="H1185" s="368" t="s">
        <v>1899</v>
      </c>
      <c r="I1185" s="368" t="s">
        <v>1900</v>
      </c>
      <c r="J1185" s="368" t="s">
        <v>1433</v>
      </c>
      <c r="K1185" s="368" t="s">
        <v>1901</v>
      </c>
      <c r="L1185" s="368" t="s">
        <v>1433</v>
      </c>
      <c r="M1185" s="368" t="s">
        <v>1384</v>
      </c>
      <c r="N1185" s="368" t="s">
        <v>867</v>
      </c>
      <c r="O1185" s="376">
        <v>56899</v>
      </c>
      <c r="P1185" s="368" t="s">
        <v>1447</v>
      </c>
      <c r="Q1185" s="368" t="s">
        <v>1386</v>
      </c>
      <c r="R1185" s="368" t="s">
        <v>867</v>
      </c>
      <c r="S1185" s="368" t="s">
        <v>864</v>
      </c>
      <c r="T1185" s="368" t="s">
        <v>362</v>
      </c>
      <c r="U1185" s="368" t="s">
        <v>867</v>
      </c>
      <c r="V1185" s="368" t="s">
        <v>867</v>
      </c>
      <c r="W1185" s="368" t="s">
        <v>1378</v>
      </c>
      <c r="X1185" s="368">
        <v>0</v>
      </c>
      <c r="Y1185" s="368">
        <v>99</v>
      </c>
      <c r="Z1185" s="368"/>
      <c r="AA1185" s="368"/>
      <c r="AB1185" s="368"/>
      <c r="AC1185" s="368"/>
      <c r="AD1185" s="368"/>
      <c r="AE1185" s="368"/>
      <c r="AF1185" s="377"/>
      <c r="AJ1185" s="337">
        <v>165</v>
      </c>
    </row>
    <row r="1186" spans="1:36">
      <c r="A1186" s="332">
        <f t="shared" si="44"/>
        <v>166</v>
      </c>
      <c r="G1186" s="349" t="s">
        <v>1902</v>
      </c>
      <c r="H1186" s="368" t="s">
        <v>1903</v>
      </c>
      <c r="I1186" s="368" t="s">
        <v>1904</v>
      </c>
      <c r="J1186" s="368" t="s">
        <v>1375</v>
      </c>
      <c r="K1186" s="368" t="s">
        <v>1904</v>
      </c>
      <c r="L1186" s="368" t="s">
        <v>1375</v>
      </c>
      <c r="M1186" s="368" t="s">
        <v>1384</v>
      </c>
      <c r="N1186" s="368" t="s">
        <v>867</v>
      </c>
      <c r="O1186" s="376">
        <v>4462</v>
      </c>
      <c r="P1186" s="368" t="s">
        <v>1385</v>
      </c>
      <c r="Q1186" s="368" t="s">
        <v>1386</v>
      </c>
      <c r="R1186" s="368" t="s">
        <v>867</v>
      </c>
      <c r="S1186" s="368" t="s">
        <v>864</v>
      </c>
      <c r="T1186" s="368" t="s">
        <v>362</v>
      </c>
      <c r="U1186" s="368" t="s">
        <v>867</v>
      </c>
      <c r="V1186" s="368" t="s">
        <v>867</v>
      </c>
      <c r="W1186" s="368" t="s">
        <v>1378</v>
      </c>
      <c r="X1186" s="368">
        <v>0</v>
      </c>
      <c r="Y1186" s="368">
        <v>99</v>
      </c>
      <c r="Z1186" s="368"/>
      <c r="AA1186" s="368"/>
      <c r="AB1186" s="368"/>
      <c r="AC1186" s="368"/>
      <c r="AD1186" s="368"/>
      <c r="AE1186" s="368"/>
      <c r="AF1186" s="377"/>
      <c r="AJ1186" s="337">
        <v>166</v>
      </c>
    </row>
    <row r="1187" spans="1:36">
      <c r="A1187" s="332">
        <f t="shared" si="44"/>
        <v>167</v>
      </c>
      <c r="G1187" s="349" t="s">
        <v>1905</v>
      </c>
      <c r="H1187" s="368" t="s">
        <v>1906</v>
      </c>
      <c r="I1187" s="368" t="s">
        <v>1907</v>
      </c>
      <c r="J1187" s="368" t="s">
        <v>1399</v>
      </c>
      <c r="K1187" s="368" t="s">
        <v>1907</v>
      </c>
      <c r="L1187" s="368" t="s">
        <v>1399</v>
      </c>
      <c r="M1187" s="368" t="s">
        <v>1384</v>
      </c>
      <c r="N1187" s="368" t="s">
        <v>867</v>
      </c>
      <c r="O1187" s="376">
        <v>88962</v>
      </c>
      <c r="P1187" s="368" t="s">
        <v>1385</v>
      </c>
      <c r="Q1187" s="368" t="s">
        <v>1386</v>
      </c>
      <c r="R1187" s="368" t="s">
        <v>867</v>
      </c>
      <c r="S1187" s="368" t="s">
        <v>864</v>
      </c>
      <c r="T1187" s="368" t="s">
        <v>1387</v>
      </c>
      <c r="U1187" s="368" t="s">
        <v>867</v>
      </c>
      <c r="V1187" s="368" t="s">
        <v>867</v>
      </c>
      <c r="W1187" s="368" t="s">
        <v>1378</v>
      </c>
      <c r="X1187" s="368">
        <v>650</v>
      </c>
      <c r="Y1187" s="368">
        <v>99</v>
      </c>
      <c r="Z1187" s="368"/>
      <c r="AA1187" s="368"/>
      <c r="AB1187" s="368"/>
      <c r="AC1187" s="368"/>
      <c r="AD1187" s="368"/>
      <c r="AE1187" s="368"/>
      <c r="AF1187" s="377"/>
      <c r="AJ1187" s="337">
        <v>167</v>
      </c>
    </row>
    <row r="1188" spans="1:36">
      <c r="A1188" s="332">
        <f t="shared" si="44"/>
        <v>168</v>
      </c>
      <c r="G1188" s="349" t="s">
        <v>1908</v>
      </c>
      <c r="H1188" s="368" t="s">
        <v>1909</v>
      </c>
      <c r="I1188" s="368" t="s">
        <v>1910</v>
      </c>
      <c r="J1188" s="368" t="s">
        <v>1382</v>
      </c>
      <c r="K1188" s="368" t="s">
        <v>1910</v>
      </c>
      <c r="L1188" s="368" t="s">
        <v>1382</v>
      </c>
      <c r="M1188" s="368" t="s">
        <v>1384</v>
      </c>
      <c r="N1188" s="368" t="s">
        <v>867</v>
      </c>
      <c r="O1188" s="376">
        <v>39969</v>
      </c>
      <c r="P1188" s="368" t="s">
        <v>1385</v>
      </c>
      <c r="Q1188" s="368" t="s">
        <v>1443</v>
      </c>
      <c r="R1188" s="368" t="s">
        <v>867</v>
      </c>
      <c r="S1188" s="368" t="s">
        <v>864</v>
      </c>
      <c r="T1188" s="368" t="s">
        <v>362</v>
      </c>
      <c r="U1188" s="368" t="s">
        <v>867</v>
      </c>
      <c r="V1188" s="368" t="s">
        <v>867</v>
      </c>
      <c r="W1188" s="368" t="s">
        <v>1378</v>
      </c>
      <c r="X1188" s="368">
        <v>0</v>
      </c>
      <c r="Y1188" s="368">
        <v>99</v>
      </c>
      <c r="Z1188" s="368"/>
      <c r="AA1188" s="368"/>
      <c r="AB1188" s="368"/>
      <c r="AC1188" s="368"/>
      <c r="AD1188" s="368"/>
      <c r="AE1188" s="368"/>
      <c r="AF1188" s="377"/>
      <c r="AJ1188" s="337">
        <v>168</v>
      </c>
    </row>
    <row r="1189" spans="1:36">
      <c r="A1189" s="332">
        <f t="shared" si="44"/>
        <v>169</v>
      </c>
      <c r="G1189" s="349" t="s">
        <v>1911</v>
      </c>
      <c r="H1189" s="368" t="s">
        <v>1912</v>
      </c>
      <c r="I1189" s="368" t="s">
        <v>1913</v>
      </c>
      <c r="J1189" s="368" t="s">
        <v>1399</v>
      </c>
      <c r="K1189" s="368" t="s">
        <v>1913</v>
      </c>
      <c r="L1189" s="368" t="s">
        <v>1399</v>
      </c>
      <c r="M1189" s="368" t="s">
        <v>1384</v>
      </c>
      <c r="N1189" s="368" t="s">
        <v>867</v>
      </c>
      <c r="O1189" s="376">
        <v>8311</v>
      </c>
      <c r="P1189" s="368" t="s">
        <v>1385</v>
      </c>
      <c r="Q1189" s="368" t="s">
        <v>1386</v>
      </c>
      <c r="R1189" s="368" t="s">
        <v>867</v>
      </c>
      <c r="S1189" s="368" t="s">
        <v>864</v>
      </c>
      <c r="T1189" s="368" t="s">
        <v>362</v>
      </c>
      <c r="U1189" s="368" t="s">
        <v>867</v>
      </c>
      <c r="V1189" s="368" t="s">
        <v>867</v>
      </c>
      <c r="W1189" s="368" t="s">
        <v>1378</v>
      </c>
      <c r="X1189" s="368">
        <v>3485</v>
      </c>
      <c r="Y1189" s="368">
        <v>99</v>
      </c>
      <c r="Z1189" s="368"/>
      <c r="AA1189" s="368"/>
      <c r="AB1189" s="368"/>
      <c r="AC1189" s="368"/>
      <c r="AD1189" s="368"/>
      <c r="AE1189" s="368"/>
      <c r="AF1189" s="377"/>
      <c r="AJ1189" s="337">
        <v>169</v>
      </c>
    </row>
    <row r="1190" spans="1:36">
      <c r="A1190" s="332">
        <f t="shared" si="44"/>
        <v>170</v>
      </c>
      <c r="G1190" s="349" t="s">
        <v>1914</v>
      </c>
      <c r="H1190" s="368" t="s">
        <v>1915</v>
      </c>
      <c r="I1190" s="368" t="s">
        <v>1916</v>
      </c>
      <c r="J1190" s="368" t="s">
        <v>1375</v>
      </c>
      <c r="K1190" s="368" t="s">
        <v>1916</v>
      </c>
      <c r="L1190" s="368" t="s">
        <v>1375</v>
      </c>
      <c r="M1190" s="368" t="s">
        <v>1384</v>
      </c>
      <c r="N1190" s="368" t="s">
        <v>867</v>
      </c>
      <c r="O1190" s="376">
        <v>99504</v>
      </c>
      <c r="P1190" s="368" t="s">
        <v>1385</v>
      </c>
      <c r="Q1190" s="368" t="s">
        <v>1386</v>
      </c>
      <c r="R1190" s="368" t="s">
        <v>867</v>
      </c>
      <c r="S1190" s="368" t="s">
        <v>864</v>
      </c>
      <c r="T1190" s="368" t="s">
        <v>362</v>
      </c>
      <c r="U1190" s="368" t="s">
        <v>867</v>
      </c>
      <c r="V1190" s="368" t="s">
        <v>867</v>
      </c>
      <c r="W1190" s="368" t="s">
        <v>1378</v>
      </c>
      <c r="X1190" s="368">
        <v>1050</v>
      </c>
      <c r="Y1190" s="368">
        <v>99</v>
      </c>
      <c r="Z1190" s="368"/>
      <c r="AA1190" s="368"/>
      <c r="AB1190" s="368"/>
      <c r="AC1190" s="368"/>
      <c r="AD1190" s="368"/>
      <c r="AE1190" s="368"/>
      <c r="AF1190" s="377"/>
      <c r="AJ1190" s="337">
        <v>170</v>
      </c>
    </row>
    <row r="1191" spans="1:36">
      <c r="A1191" s="332">
        <f t="shared" si="44"/>
        <v>171</v>
      </c>
      <c r="G1191" s="349" t="s">
        <v>1917</v>
      </c>
      <c r="H1191" s="368" t="s">
        <v>1918</v>
      </c>
      <c r="I1191" s="368" t="s">
        <v>1919</v>
      </c>
      <c r="J1191" s="368" t="s">
        <v>1375</v>
      </c>
      <c r="K1191" s="368" t="s">
        <v>1919</v>
      </c>
      <c r="L1191" s="368" t="s">
        <v>1375</v>
      </c>
      <c r="M1191" s="368" t="s">
        <v>1422</v>
      </c>
      <c r="N1191" s="368" t="s">
        <v>867</v>
      </c>
      <c r="O1191" s="376">
        <v>67505</v>
      </c>
      <c r="P1191" s="368" t="s">
        <v>1385</v>
      </c>
      <c r="Q1191" s="368" t="s">
        <v>1386</v>
      </c>
      <c r="R1191" s="368" t="s">
        <v>867</v>
      </c>
      <c r="S1191" s="368" t="s">
        <v>864</v>
      </c>
      <c r="T1191" s="368" t="s">
        <v>362</v>
      </c>
      <c r="U1191" s="368" t="s">
        <v>867</v>
      </c>
      <c r="V1191" s="368" t="s">
        <v>867</v>
      </c>
      <c r="W1191" s="368" t="s">
        <v>1378</v>
      </c>
      <c r="X1191" s="368">
        <v>0</v>
      </c>
      <c r="Y1191" s="368">
        <v>99</v>
      </c>
      <c r="Z1191" s="368"/>
      <c r="AA1191" s="368"/>
      <c r="AB1191" s="368"/>
      <c r="AC1191" s="368"/>
      <c r="AD1191" s="368"/>
      <c r="AE1191" s="368"/>
      <c r="AF1191" s="377"/>
      <c r="AJ1191" s="337">
        <v>171</v>
      </c>
    </row>
    <row r="1192" spans="1:36">
      <c r="A1192" s="332">
        <f t="shared" si="44"/>
        <v>172</v>
      </c>
      <c r="G1192" s="349" t="s">
        <v>1920</v>
      </c>
      <c r="H1192" s="368" t="s">
        <v>1921</v>
      </c>
      <c r="I1192" s="368" t="s">
        <v>1922</v>
      </c>
      <c r="J1192" s="368" t="s">
        <v>1375</v>
      </c>
      <c r="K1192" s="368" t="s">
        <v>1922</v>
      </c>
      <c r="L1192" s="368" t="s">
        <v>1375</v>
      </c>
      <c r="M1192" s="368" t="s">
        <v>1422</v>
      </c>
      <c r="N1192" s="368" t="s">
        <v>867</v>
      </c>
      <c r="O1192" s="376">
        <v>2142</v>
      </c>
      <c r="P1192" s="368" t="s">
        <v>1385</v>
      </c>
      <c r="Q1192" s="368" t="s">
        <v>1386</v>
      </c>
      <c r="R1192" s="368" t="s">
        <v>867</v>
      </c>
      <c r="S1192" s="368" t="s">
        <v>864</v>
      </c>
      <c r="T1192" s="368" t="s">
        <v>362</v>
      </c>
      <c r="U1192" s="368" t="s">
        <v>867</v>
      </c>
      <c r="V1192" s="368" t="s">
        <v>867</v>
      </c>
      <c r="W1192" s="368" t="s">
        <v>1378</v>
      </c>
      <c r="X1192" s="368">
        <v>2800</v>
      </c>
      <c r="Y1192" s="368">
        <v>99</v>
      </c>
      <c r="Z1192" s="368"/>
      <c r="AA1192" s="368"/>
      <c r="AB1192" s="368"/>
      <c r="AC1192" s="368"/>
      <c r="AD1192" s="368"/>
      <c r="AE1192" s="368"/>
      <c r="AF1192" s="377"/>
      <c r="AJ1192" s="337">
        <v>172</v>
      </c>
    </row>
    <row r="1193" spans="1:36">
      <c r="A1193" s="332">
        <f t="shared" si="44"/>
        <v>173</v>
      </c>
      <c r="G1193" s="349" t="s">
        <v>1923</v>
      </c>
      <c r="H1193" s="368" t="s">
        <v>1924</v>
      </c>
      <c r="I1193" s="368" t="s">
        <v>1925</v>
      </c>
      <c r="J1193" s="368" t="s">
        <v>1375</v>
      </c>
      <c r="K1193" s="368" t="s">
        <v>1925</v>
      </c>
      <c r="L1193" s="368" t="s">
        <v>1375</v>
      </c>
      <c r="M1193" s="368" t="s">
        <v>1376</v>
      </c>
      <c r="N1193" s="368" t="s">
        <v>867</v>
      </c>
      <c r="O1193" s="376">
        <v>40710</v>
      </c>
      <c r="P1193" s="368" t="s">
        <v>1447</v>
      </c>
      <c r="Q1193" s="368" t="s">
        <v>1443</v>
      </c>
      <c r="R1193" s="368" t="s">
        <v>867</v>
      </c>
      <c r="S1193" s="368" t="s">
        <v>864</v>
      </c>
      <c r="T1193" s="368" t="s">
        <v>362</v>
      </c>
      <c r="U1193" s="368" t="s">
        <v>867</v>
      </c>
      <c r="V1193" s="368" t="s">
        <v>867</v>
      </c>
      <c r="W1193" s="368" t="s">
        <v>1378</v>
      </c>
      <c r="X1193" s="368">
        <v>200</v>
      </c>
      <c r="Y1193" s="368">
        <v>99</v>
      </c>
      <c r="Z1193" s="368"/>
      <c r="AA1193" s="368"/>
      <c r="AB1193" s="368"/>
      <c r="AC1193" s="368"/>
      <c r="AD1193" s="368"/>
      <c r="AE1193" s="368"/>
      <c r="AF1193" s="377"/>
      <c r="AJ1193" s="337">
        <v>173</v>
      </c>
    </row>
    <row r="1194" spans="1:36">
      <c r="A1194" s="332">
        <f t="shared" si="44"/>
        <v>174</v>
      </c>
      <c r="G1194" s="349" t="s">
        <v>1926</v>
      </c>
      <c r="H1194" s="368" t="s">
        <v>1927</v>
      </c>
      <c r="I1194" s="368" t="s">
        <v>1928</v>
      </c>
      <c r="J1194" s="368" t="s">
        <v>1442</v>
      </c>
      <c r="K1194" s="368" t="s">
        <v>1928</v>
      </c>
      <c r="L1194" s="368" t="s">
        <v>1442</v>
      </c>
      <c r="M1194" s="368" t="s">
        <v>1376</v>
      </c>
      <c r="N1194" s="368" t="s">
        <v>867</v>
      </c>
      <c r="O1194" s="376">
        <v>33997</v>
      </c>
      <c r="P1194" s="368" t="s">
        <v>1447</v>
      </c>
      <c r="Q1194" s="368" t="s">
        <v>1443</v>
      </c>
      <c r="R1194" s="368" t="s">
        <v>867</v>
      </c>
      <c r="S1194" s="368" t="s">
        <v>864</v>
      </c>
      <c r="T1194" s="368" t="s">
        <v>362</v>
      </c>
      <c r="U1194" s="368" t="s">
        <v>867</v>
      </c>
      <c r="V1194" s="368" t="s">
        <v>867</v>
      </c>
      <c r="W1194" s="368" t="s">
        <v>1378</v>
      </c>
      <c r="X1194" s="368">
        <v>0</v>
      </c>
      <c r="Y1194" s="368">
        <v>99</v>
      </c>
      <c r="Z1194" s="368"/>
      <c r="AA1194" s="368"/>
      <c r="AB1194" s="368"/>
      <c r="AC1194" s="368"/>
      <c r="AD1194" s="368"/>
      <c r="AE1194" s="368"/>
      <c r="AF1194" s="377"/>
      <c r="AJ1194" s="337">
        <v>174</v>
      </c>
    </row>
    <row r="1195" spans="1:36">
      <c r="A1195" s="332">
        <f t="shared" si="44"/>
        <v>175</v>
      </c>
      <c r="G1195" s="349" t="s">
        <v>1929</v>
      </c>
      <c r="H1195" s="368" t="s">
        <v>1930</v>
      </c>
      <c r="I1195" s="368" t="s">
        <v>1931</v>
      </c>
      <c r="J1195" s="368" t="s">
        <v>1375</v>
      </c>
      <c r="K1195" s="368" t="s">
        <v>1931</v>
      </c>
      <c r="L1195" s="368" t="s">
        <v>1375</v>
      </c>
      <c r="M1195" s="368" t="s">
        <v>1376</v>
      </c>
      <c r="N1195" s="368" t="s">
        <v>867</v>
      </c>
      <c r="O1195" s="376">
        <v>94890</v>
      </c>
      <c r="P1195" s="368" t="s">
        <v>1385</v>
      </c>
      <c r="Q1195" s="368" t="s">
        <v>1386</v>
      </c>
      <c r="R1195" s="368" t="s">
        <v>867</v>
      </c>
      <c r="S1195" s="368" t="s">
        <v>864</v>
      </c>
      <c r="T1195" s="368" t="s">
        <v>362</v>
      </c>
      <c r="U1195" s="368" t="s">
        <v>867</v>
      </c>
      <c r="V1195" s="368" t="s">
        <v>867</v>
      </c>
      <c r="W1195" s="368" t="s">
        <v>1378</v>
      </c>
      <c r="X1195" s="368">
        <v>0</v>
      </c>
      <c r="Y1195" s="368">
        <v>99</v>
      </c>
      <c r="Z1195" s="368"/>
      <c r="AA1195" s="368"/>
      <c r="AB1195" s="368"/>
      <c r="AC1195" s="368"/>
      <c r="AD1195" s="368"/>
      <c r="AE1195" s="368"/>
      <c r="AF1195" s="377"/>
      <c r="AJ1195" s="337">
        <v>175</v>
      </c>
    </row>
    <row r="1196" spans="1:36">
      <c r="A1196" s="332">
        <f t="shared" si="44"/>
        <v>176</v>
      </c>
      <c r="G1196" s="349" t="s">
        <v>1932</v>
      </c>
      <c r="H1196" s="368" t="s">
        <v>1933</v>
      </c>
      <c r="I1196" s="368" t="s">
        <v>1934</v>
      </c>
      <c r="J1196" s="368" t="s">
        <v>1375</v>
      </c>
      <c r="K1196" s="368" t="s">
        <v>1934</v>
      </c>
      <c r="L1196" s="368" t="s">
        <v>1375</v>
      </c>
      <c r="M1196" s="368" t="s">
        <v>1384</v>
      </c>
      <c r="N1196" s="368" t="s">
        <v>867</v>
      </c>
      <c r="O1196" s="376">
        <v>4436</v>
      </c>
      <c r="P1196" s="368" t="s">
        <v>1385</v>
      </c>
      <c r="Q1196" s="368" t="s">
        <v>1386</v>
      </c>
      <c r="R1196" s="368" t="s">
        <v>867</v>
      </c>
      <c r="S1196" s="368" t="s">
        <v>864</v>
      </c>
      <c r="T1196" s="368" t="s">
        <v>362</v>
      </c>
      <c r="U1196" s="368" t="s">
        <v>867</v>
      </c>
      <c r="V1196" s="368" t="s">
        <v>867</v>
      </c>
      <c r="W1196" s="368" t="s">
        <v>1378</v>
      </c>
      <c r="X1196" s="368">
        <v>0</v>
      </c>
      <c r="Y1196" s="368">
        <v>99</v>
      </c>
      <c r="Z1196" s="368"/>
      <c r="AA1196" s="368"/>
      <c r="AB1196" s="368"/>
      <c r="AC1196" s="368"/>
      <c r="AD1196" s="368"/>
      <c r="AE1196" s="368"/>
      <c r="AF1196" s="377"/>
      <c r="AJ1196" s="337">
        <v>176</v>
      </c>
    </row>
    <row r="1197" spans="1:36">
      <c r="A1197" s="332">
        <f t="shared" si="44"/>
        <v>177</v>
      </c>
      <c r="G1197" s="349" t="s">
        <v>1935</v>
      </c>
      <c r="H1197" s="368" t="s">
        <v>1936</v>
      </c>
      <c r="I1197" s="368" t="s">
        <v>1937</v>
      </c>
      <c r="J1197" s="368" t="s">
        <v>1399</v>
      </c>
      <c r="K1197" s="368" t="s">
        <v>1937</v>
      </c>
      <c r="L1197" s="368" t="s">
        <v>1399</v>
      </c>
      <c r="M1197" s="368" t="s">
        <v>1376</v>
      </c>
      <c r="N1197" s="368" t="s">
        <v>867</v>
      </c>
      <c r="O1197" s="376">
        <v>93516</v>
      </c>
      <c r="P1197" s="368" t="s">
        <v>1385</v>
      </c>
      <c r="Q1197" s="368" t="s">
        <v>1386</v>
      </c>
      <c r="R1197" s="368" t="s">
        <v>867</v>
      </c>
      <c r="S1197" s="368" t="s">
        <v>864</v>
      </c>
      <c r="T1197" s="368" t="s">
        <v>362</v>
      </c>
      <c r="U1197" s="368" t="s">
        <v>867</v>
      </c>
      <c r="V1197" s="368" t="s">
        <v>867</v>
      </c>
      <c r="W1197" s="368" t="s">
        <v>1378</v>
      </c>
      <c r="X1197" s="368">
        <v>300</v>
      </c>
      <c r="Y1197" s="368">
        <v>99</v>
      </c>
      <c r="Z1197" s="368"/>
      <c r="AA1197" s="368"/>
      <c r="AB1197" s="368"/>
      <c r="AC1197" s="368"/>
      <c r="AD1197" s="368"/>
      <c r="AE1197" s="368"/>
      <c r="AF1197" s="377"/>
      <c r="AJ1197" s="337">
        <v>177</v>
      </c>
    </row>
    <row r="1198" spans="1:36">
      <c r="A1198" s="332">
        <f t="shared" si="44"/>
        <v>178</v>
      </c>
      <c r="G1198" s="349" t="s">
        <v>1938</v>
      </c>
      <c r="H1198" s="368" t="s">
        <v>1939</v>
      </c>
      <c r="I1198" s="368" t="s">
        <v>1940</v>
      </c>
      <c r="J1198" s="368" t="s">
        <v>1433</v>
      </c>
      <c r="K1198" s="368" t="s">
        <v>1940</v>
      </c>
      <c r="L1198" s="368" t="s">
        <v>1433</v>
      </c>
      <c r="M1198" s="368" t="s">
        <v>1384</v>
      </c>
      <c r="N1198" s="368" t="s">
        <v>867</v>
      </c>
      <c r="O1198" s="376">
        <v>41532</v>
      </c>
      <c r="P1198" s="368" t="s">
        <v>1385</v>
      </c>
      <c r="Q1198" s="368" t="s">
        <v>1386</v>
      </c>
      <c r="R1198" s="368" t="s">
        <v>867</v>
      </c>
      <c r="S1198" s="368" t="s">
        <v>864</v>
      </c>
      <c r="T1198" s="368" t="s">
        <v>362</v>
      </c>
      <c r="U1198" s="368" t="s">
        <v>867</v>
      </c>
      <c r="V1198" s="368" t="s">
        <v>867</v>
      </c>
      <c r="W1198" s="368" t="s">
        <v>1378</v>
      </c>
      <c r="X1198" s="368">
        <v>0</v>
      </c>
      <c r="Y1198" s="368">
        <v>99</v>
      </c>
      <c r="Z1198" s="368"/>
      <c r="AA1198" s="368"/>
      <c r="AB1198" s="368"/>
      <c r="AC1198" s="368"/>
      <c r="AD1198" s="368"/>
      <c r="AE1198" s="368"/>
      <c r="AF1198" s="377"/>
      <c r="AJ1198" s="337">
        <v>178</v>
      </c>
    </row>
    <row r="1199" spans="1:36">
      <c r="A1199" s="332">
        <f t="shared" si="44"/>
        <v>179</v>
      </c>
      <c r="G1199" s="349" t="s">
        <v>1941</v>
      </c>
      <c r="H1199" s="368" t="s">
        <v>1942</v>
      </c>
      <c r="I1199" s="368" t="s">
        <v>1943</v>
      </c>
      <c r="J1199" s="368" t="s">
        <v>1403</v>
      </c>
      <c r="K1199" s="368" t="s">
        <v>1943</v>
      </c>
      <c r="L1199" s="368" t="s">
        <v>1403</v>
      </c>
      <c r="M1199" s="368" t="s">
        <v>1384</v>
      </c>
      <c r="N1199" s="368" t="s">
        <v>867</v>
      </c>
      <c r="O1199" s="376">
        <v>57689</v>
      </c>
      <c r="P1199" s="368" t="s">
        <v>1447</v>
      </c>
      <c r="Q1199" s="368" t="s">
        <v>1443</v>
      </c>
      <c r="R1199" s="368" t="s">
        <v>867</v>
      </c>
      <c r="S1199" s="368" t="s">
        <v>864</v>
      </c>
      <c r="T1199" s="368" t="s">
        <v>362</v>
      </c>
      <c r="U1199" s="368" t="s">
        <v>867</v>
      </c>
      <c r="V1199" s="368" t="s">
        <v>867</v>
      </c>
      <c r="W1199" s="368" t="s">
        <v>1378</v>
      </c>
      <c r="X1199" s="368">
        <v>0</v>
      </c>
      <c r="Y1199" s="368">
        <v>99</v>
      </c>
      <c r="Z1199" s="368"/>
      <c r="AA1199" s="368"/>
      <c r="AB1199" s="368"/>
      <c r="AC1199" s="368"/>
      <c r="AD1199" s="368"/>
      <c r="AE1199" s="368"/>
      <c r="AF1199" s="377"/>
      <c r="AJ1199" s="337">
        <v>179</v>
      </c>
    </row>
    <row r="1200" spans="1:36">
      <c r="A1200" s="332">
        <f t="shared" si="44"/>
        <v>180</v>
      </c>
      <c r="G1200" s="349" t="s">
        <v>1944</v>
      </c>
      <c r="H1200" s="368" t="s">
        <v>1945</v>
      </c>
      <c r="I1200" s="368" t="s">
        <v>1404</v>
      </c>
      <c r="J1200" s="368" t="s">
        <v>1403</v>
      </c>
      <c r="K1200" s="368" t="s">
        <v>1404</v>
      </c>
      <c r="L1200" s="368" t="s">
        <v>1403</v>
      </c>
      <c r="M1200" s="368" t="s">
        <v>1384</v>
      </c>
      <c r="N1200" s="368" t="s">
        <v>867</v>
      </c>
      <c r="O1200" s="376">
        <v>78170</v>
      </c>
      <c r="P1200" s="368" t="s">
        <v>1385</v>
      </c>
      <c r="Q1200" s="368" t="s">
        <v>1386</v>
      </c>
      <c r="R1200" s="368" t="s">
        <v>867</v>
      </c>
      <c r="S1200" s="368" t="s">
        <v>864</v>
      </c>
      <c r="T1200" s="368" t="s">
        <v>1387</v>
      </c>
      <c r="U1200" s="368" t="s">
        <v>867</v>
      </c>
      <c r="V1200" s="368" t="s">
        <v>867</v>
      </c>
      <c r="W1200" s="368" t="s">
        <v>1378</v>
      </c>
      <c r="X1200" s="368">
        <v>0</v>
      </c>
      <c r="Y1200" s="368">
        <v>99</v>
      </c>
      <c r="Z1200" s="368"/>
      <c r="AA1200" s="368"/>
      <c r="AB1200" s="368"/>
      <c r="AC1200" s="368"/>
      <c r="AD1200" s="368"/>
      <c r="AE1200" s="368"/>
      <c r="AF1200" s="377"/>
      <c r="AJ1200" s="337">
        <v>180</v>
      </c>
    </row>
    <row r="1201" spans="1:36">
      <c r="A1201" s="332">
        <f t="shared" si="44"/>
        <v>181</v>
      </c>
      <c r="G1201" s="349" t="s">
        <v>1946</v>
      </c>
      <c r="H1201" s="368" t="s">
        <v>1947</v>
      </c>
      <c r="I1201" s="368" t="s">
        <v>1948</v>
      </c>
      <c r="J1201" s="368" t="s">
        <v>1399</v>
      </c>
      <c r="K1201" s="368" t="s">
        <v>1948</v>
      </c>
      <c r="L1201" s="368" t="s">
        <v>1399</v>
      </c>
      <c r="M1201" s="368" t="s">
        <v>1422</v>
      </c>
      <c r="N1201" s="368" t="s">
        <v>867</v>
      </c>
      <c r="O1201" s="376">
        <v>56673</v>
      </c>
      <c r="P1201" s="368" t="s">
        <v>1385</v>
      </c>
      <c r="Q1201" s="368" t="s">
        <v>1386</v>
      </c>
      <c r="R1201" s="368" t="s">
        <v>867</v>
      </c>
      <c r="S1201" s="368" t="s">
        <v>864</v>
      </c>
      <c r="T1201" s="368" t="s">
        <v>362</v>
      </c>
      <c r="U1201" s="368" t="s">
        <v>867</v>
      </c>
      <c r="V1201" s="368" t="s">
        <v>867</v>
      </c>
      <c r="W1201" s="368" t="s">
        <v>1378</v>
      </c>
      <c r="X1201" s="368">
        <v>2150</v>
      </c>
      <c r="Y1201" s="368">
        <v>99</v>
      </c>
      <c r="Z1201" s="368"/>
      <c r="AA1201" s="368"/>
      <c r="AB1201" s="368"/>
      <c r="AC1201" s="368"/>
      <c r="AD1201" s="368"/>
      <c r="AE1201" s="368"/>
      <c r="AF1201" s="377"/>
      <c r="AJ1201" s="337">
        <v>181</v>
      </c>
    </row>
    <row r="1202" spans="1:36">
      <c r="A1202" s="332">
        <f t="shared" si="44"/>
        <v>182</v>
      </c>
      <c r="G1202" s="349" t="s">
        <v>1949</v>
      </c>
      <c r="H1202" s="368" t="s">
        <v>1950</v>
      </c>
      <c r="I1202" s="368" t="s">
        <v>1951</v>
      </c>
      <c r="J1202" s="368" t="s">
        <v>1375</v>
      </c>
      <c r="K1202" s="368" t="s">
        <v>1951</v>
      </c>
      <c r="L1202" s="368" t="s">
        <v>1375</v>
      </c>
      <c r="M1202" s="368" t="s">
        <v>1384</v>
      </c>
      <c r="N1202" s="368" t="s">
        <v>867</v>
      </c>
      <c r="O1202" s="376">
        <v>52251</v>
      </c>
      <c r="P1202" s="368" t="s">
        <v>1385</v>
      </c>
      <c r="Q1202" s="368" t="s">
        <v>1443</v>
      </c>
      <c r="R1202" s="368" t="s">
        <v>867</v>
      </c>
      <c r="S1202" s="368" t="s">
        <v>864</v>
      </c>
      <c r="T1202" s="368" t="s">
        <v>362</v>
      </c>
      <c r="U1202" s="368" t="s">
        <v>867</v>
      </c>
      <c r="V1202" s="368" t="s">
        <v>867</v>
      </c>
      <c r="W1202" s="368" t="s">
        <v>1378</v>
      </c>
      <c r="X1202" s="368">
        <v>0</v>
      </c>
      <c r="Y1202" s="368">
        <v>99</v>
      </c>
      <c r="Z1202" s="368"/>
      <c r="AA1202" s="368"/>
      <c r="AB1202" s="368"/>
      <c r="AC1202" s="368"/>
      <c r="AD1202" s="368"/>
      <c r="AE1202" s="368"/>
      <c r="AF1202" s="377"/>
      <c r="AJ1202" s="337">
        <v>182</v>
      </c>
    </row>
    <row r="1203" spans="1:36">
      <c r="A1203" s="332">
        <f t="shared" si="44"/>
        <v>183</v>
      </c>
      <c r="G1203" s="349" t="s">
        <v>1952</v>
      </c>
      <c r="H1203" s="368" t="s">
        <v>1953</v>
      </c>
      <c r="I1203" s="368" t="s">
        <v>1712</v>
      </c>
      <c r="J1203" s="368" t="s">
        <v>1375</v>
      </c>
      <c r="K1203" s="368" t="s">
        <v>1712</v>
      </c>
      <c r="L1203" s="368" t="s">
        <v>1375</v>
      </c>
      <c r="M1203" s="368" t="s">
        <v>1384</v>
      </c>
      <c r="N1203" s="368" t="s">
        <v>867</v>
      </c>
      <c r="O1203" s="376">
        <v>27956</v>
      </c>
      <c r="P1203" s="368" t="s">
        <v>1385</v>
      </c>
      <c r="Q1203" s="368" t="s">
        <v>1443</v>
      </c>
      <c r="R1203" s="368" t="s">
        <v>867</v>
      </c>
      <c r="S1203" s="368" t="s">
        <v>864</v>
      </c>
      <c r="T1203" s="368" t="s">
        <v>362</v>
      </c>
      <c r="U1203" s="368" t="s">
        <v>867</v>
      </c>
      <c r="V1203" s="368" t="s">
        <v>867</v>
      </c>
      <c r="W1203" s="368" t="s">
        <v>1378</v>
      </c>
      <c r="X1203" s="368">
        <v>0</v>
      </c>
      <c r="Y1203" s="368">
        <v>99</v>
      </c>
      <c r="Z1203" s="368"/>
      <c r="AA1203" s="368"/>
      <c r="AB1203" s="368"/>
      <c r="AC1203" s="368"/>
      <c r="AD1203" s="368"/>
      <c r="AE1203" s="368"/>
      <c r="AF1203" s="377"/>
      <c r="AJ1203" s="337">
        <v>183</v>
      </c>
    </row>
    <row r="1204" spans="1:36">
      <c r="A1204" s="332">
        <f t="shared" si="44"/>
        <v>184</v>
      </c>
      <c r="G1204" s="349" t="s">
        <v>1954</v>
      </c>
      <c r="H1204" s="368" t="s">
        <v>1955</v>
      </c>
      <c r="I1204" s="368" t="s">
        <v>1616</v>
      </c>
      <c r="J1204" s="368" t="s">
        <v>1382</v>
      </c>
      <c r="K1204" s="368" t="s">
        <v>1616</v>
      </c>
      <c r="L1204" s="368" t="s">
        <v>1382</v>
      </c>
      <c r="M1204" s="368" t="s">
        <v>1384</v>
      </c>
      <c r="N1204" s="368" t="s">
        <v>867</v>
      </c>
      <c r="O1204" s="376">
        <v>73265</v>
      </c>
      <c r="P1204" s="368" t="s">
        <v>1385</v>
      </c>
      <c r="Q1204" s="368" t="s">
        <v>1443</v>
      </c>
      <c r="R1204" s="368" t="s">
        <v>867</v>
      </c>
      <c r="S1204" s="368" t="s">
        <v>864</v>
      </c>
      <c r="T1204" s="368" t="s">
        <v>362</v>
      </c>
      <c r="U1204" s="368" t="s">
        <v>867</v>
      </c>
      <c r="V1204" s="368" t="s">
        <v>867</v>
      </c>
      <c r="W1204" s="368" t="s">
        <v>1378</v>
      </c>
      <c r="X1204" s="368">
        <v>2120</v>
      </c>
      <c r="Y1204" s="368">
        <v>99</v>
      </c>
      <c r="Z1204" s="368"/>
      <c r="AA1204" s="368"/>
      <c r="AB1204" s="368"/>
      <c r="AC1204" s="368"/>
      <c r="AD1204" s="368"/>
      <c r="AE1204" s="368"/>
      <c r="AF1204" s="377"/>
      <c r="AJ1204" s="337">
        <v>184</v>
      </c>
    </row>
    <row r="1205" spans="1:36">
      <c r="A1205" s="332">
        <f t="shared" si="44"/>
        <v>185</v>
      </c>
      <c r="G1205" s="349" t="s">
        <v>1956</v>
      </c>
      <c r="H1205" s="368" t="s">
        <v>1957</v>
      </c>
      <c r="I1205" s="368" t="s">
        <v>1958</v>
      </c>
      <c r="J1205" s="368" t="s">
        <v>1442</v>
      </c>
      <c r="K1205" s="368" t="s">
        <v>1958</v>
      </c>
      <c r="L1205" s="368" t="s">
        <v>1442</v>
      </c>
      <c r="M1205" s="368" t="s">
        <v>1376</v>
      </c>
      <c r="N1205" s="368" t="s">
        <v>867</v>
      </c>
      <c r="O1205" s="376">
        <v>37513</v>
      </c>
      <c r="P1205" s="368" t="s">
        <v>1385</v>
      </c>
      <c r="Q1205" s="368" t="s">
        <v>1386</v>
      </c>
      <c r="R1205" s="368" t="s">
        <v>867</v>
      </c>
      <c r="S1205" s="368" t="s">
        <v>864</v>
      </c>
      <c r="T1205" s="368" t="s">
        <v>362</v>
      </c>
      <c r="U1205" s="368" t="s">
        <v>867</v>
      </c>
      <c r="V1205" s="368" t="s">
        <v>867</v>
      </c>
      <c r="W1205" s="368" t="s">
        <v>1378</v>
      </c>
      <c r="X1205" s="368">
        <v>3750</v>
      </c>
      <c r="Y1205" s="368">
        <v>99</v>
      </c>
      <c r="Z1205" s="368"/>
      <c r="AA1205" s="368"/>
      <c r="AB1205" s="368"/>
      <c r="AC1205" s="368"/>
      <c r="AD1205" s="368"/>
      <c r="AE1205" s="368"/>
      <c r="AF1205" s="377"/>
      <c r="AJ1205" s="337">
        <v>185</v>
      </c>
    </row>
    <row r="1206" spans="1:36">
      <c r="A1206" s="332">
        <f t="shared" si="44"/>
        <v>186</v>
      </c>
      <c r="G1206" s="349" t="s">
        <v>1959</v>
      </c>
      <c r="H1206" s="368" t="s">
        <v>1960</v>
      </c>
      <c r="I1206" s="368" t="s">
        <v>1961</v>
      </c>
      <c r="J1206" s="368" t="s">
        <v>1399</v>
      </c>
      <c r="K1206" s="368" t="s">
        <v>1961</v>
      </c>
      <c r="L1206" s="368" t="s">
        <v>1399</v>
      </c>
      <c r="M1206" s="368" t="s">
        <v>1384</v>
      </c>
      <c r="N1206" s="368" t="s">
        <v>867</v>
      </c>
      <c r="O1206" s="376">
        <v>71660</v>
      </c>
      <c r="P1206" s="368" t="s">
        <v>1385</v>
      </c>
      <c r="Q1206" s="368" t="s">
        <v>1386</v>
      </c>
      <c r="R1206" s="368" t="s">
        <v>867</v>
      </c>
      <c r="S1206" s="368" t="s">
        <v>864</v>
      </c>
      <c r="T1206" s="368" t="s">
        <v>362</v>
      </c>
      <c r="U1206" s="368" t="s">
        <v>867</v>
      </c>
      <c r="V1206" s="368" t="s">
        <v>867</v>
      </c>
      <c r="W1206" s="368" t="s">
        <v>1378</v>
      </c>
      <c r="X1206" s="368">
        <v>600</v>
      </c>
      <c r="Y1206" s="368">
        <v>99</v>
      </c>
      <c r="Z1206" s="368"/>
      <c r="AA1206" s="368"/>
      <c r="AB1206" s="368"/>
      <c r="AC1206" s="368"/>
      <c r="AD1206" s="368"/>
      <c r="AE1206" s="368"/>
      <c r="AF1206" s="377"/>
      <c r="AJ1206" s="337">
        <v>186</v>
      </c>
    </row>
    <row r="1207" spans="1:36">
      <c r="A1207" s="332">
        <f t="shared" si="44"/>
        <v>187</v>
      </c>
      <c r="G1207" s="349" t="s">
        <v>1962</v>
      </c>
      <c r="H1207" s="368" t="s">
        <v>1963</v>
      </c>
      <c r="I1207" s="368" t="s">
        <v>1964</v>
      </c>
      <c r="J1207" s="368" t="s">
        <v>1442</v>
      </c>
      <c r="K1207" s="368" t="s">
        <v>1964</v>
      </c>
      <c r="L1207" s="368" t="s">
        <v>1442</v>
      </c>
      <c r="M1207" s="368" t="s">
        <v>1376</v>
      </c>
      <c r="N1207" s="368" t="s">
        <v>867</v>
      </c>
      <c r="O1207" s="376">
        <v>56908</v>
      </c>
      <c r="P1207" s="368" t="s">
        <v>1385</v>
      </c>
      <c r="Q1207" s="368" t="s">
        <v>1443</v>
      </c>
      <c r="R1207" s="368" t="s">
        <v>867</v>
      </c>
      <c r="S1207" s="368" t="s">
        <v>864</v>
      </c>
      <c r="T1207" s="368" t="s">
        <v>362</v>
      </c>
      <c r="U1207" s="368" t="s">
        <v>867</v>
      </c>
      <c r="V1207" s="368" t="s">
        <v>867</v>
      </c>
      <c r="W1207" s="368" t="s">
        <v>1378</v>
      </c>
      <c r="X1207" s="368">
        <v>0</v>
      </c>
      <c r="Y1207" s="368">
        <v>99</v>
      </c>
      <c r="Z1207" s="368"/>
      <c r="AA1207" s="368"/>
      <c r="AB1207" s="368"/>
      <c r="AC1207" s="368"/>
      <c r="AD1207" s="368"/>
      <c r="AE1207" s="368"/>
      <c r="AF1207" s="377"/>
      <c r="AJ1207" s="337">
        <v>187</v>
      </c>
    </row>
    <row r="1208" spans="1:36">
      <c r="A1208" s="332">
        <f t="shared" si="44"/>
        <v>188</v>
      </c>
      <c r="G1208" s="349" t="s">
        <v>1965</v>
      </c>
      <c r="H1208" s="368" t="s">
        <v>1966</v>
      </c>
      <c r="I1208" s="368" t="s">
        <v>1967</v>
      </c>
      <c r="J1208" s="368" t="s">
        <v>1442</v>
      </c>
      <c r="K1208" s="368" t="s">
        <v>1967</v>
      </c>
      <c r="L1208" s="368" t="s">
        <v>1442</v>
      </c>
      <c r="M1208" s="368" t="s">
        <v>1376</v>
      </c>
      <c r="N1208" s="368" t="s">
        <v>867</v>
      </c>
      <c r="O1208" s="376">
        <v>86159</v>
      </c>
      <c r="P1208" s="368" t="s">
        <v>1447</v>
      </c>
      <c r="Q1208" s="368" t="s">
        <v>1386</v>
      </c>
      <c r="R1208" s="368" t="s">
        <v>867</v>
      </c>
      <c r="S1208" s="368" t="s">
        <v>864</v>
      </c>
      <c r="T1208" s="368" t="s">
        <v>362</v>
      </c>
      <c r="U1208" s="368" t="s">
        <v>867</v>
      </c>
      <c r="V1208" s="368" t="s">
        <v>867</v>
      </c>
      <c r="W1208" s="368" t="s">
        <v>1378</v>
      </c>
      <c r="X1208" s="368">
        <v>0</v>
      </c>
      <c r="Y1208" s="368">
        <v>99</v>
      </c>
      <c r="Z1208" s="368"/>
      <c r="AA1208" s="368"/>
      <c r="AB1208" s="368"/>
      <c r="AC1208" s="368"/>
      <c r="AD1208" s="368"/>
      <c r="AE1208" s="368"/>
      <c r="AF1208" s="377"/>
      <c r="AJ1208" s="337">
        <v>188</v>
      </c>
    </row>
    <row r="1209" spans="1:36">
      <c r="A1209" s="332">
        <f t="shared" si="44"/>
        <v>189</v>
      </c>
      <c r="G1209" s="349" t="s">
        <v>1968</v>
      </c>
      <c r="H1209" s="368" t="s">
        <v>1969</v>
      </c>
      <c r="I1209" s="368" t="s">
        <v>1970</v>
      </c>
      <c r="J1209" s="368" t="s">
        <v>1375</v>
      </c>
      <c r="K1209" s="368" t="s">
        <v>1970</v>
      </c>
      <c r="L1209" s="368" t="s">
        <v>1375</v>
      </c>
      <c r="M1209" s="368" t="s">
        <v>1384</v>
      </c>
      <c r="N1209" s="368" t="s">
        <v>867</v>
      </c>
      <c r="O1209" s="376">
        <v>83896</v>
      </c>
      <c r="P1209" s="368" t="s">
        <v>1385</v>
      </c>
      <c r="Q1209" s="368" t="s">
        <v>1386</v>
      </c>
      <c r="R1209" s="368" t="s">
        <v>867</v>
      </c>
      <c r="S1209" s="368" t="s">
        <v>864</v>
      </c>
      <c r="T1209" s="368" t="s">
        <v>362</v>
      </c>
      <c r="U1209" s="368" t="s">
        <v>867</v>
      </c>
      <c r="V1209" s="368" t="s">
        <v>867</v>
      </c>
      <c r="W1209" s="368" t="s">
        <v>1378</v>
      </c>
      <c r="X1209" s="368">
        <v>1525</v>
      </c>
      <c r="Y1209" s="368">
        <v>99</v>
      </c>
      <c r="Z1209" s="368"/>
      <c r="AA1209" s="368"/>
      <c r="AB1209" s="368"/>
      <c r="AC1209" s="368"/>
      <c r="AD1209" s="368"/>
      <c r="AE1209" s="368"/>
      <c r="AF1209" s="377"/>
      <c r="AJ1209" s="337">
        <v>189</v>
      </c>
    </row>
    <row r="1210" spans="1:36">
      <c r="A1210" s="332">
        <f t="shared" si="44"/>
        <v>190</v>
      </c>
      <c r="G1210" s="349" t="s">
        <v>1971</v>
      </c>
      <c r="H1210" s="368" t="s">
        <v>1972</v>
      </c>
      <c r="I1210" s="368" t="s">
        <v>1973</v>
      </c>
      <c r="J1210" s="368" t="s">
        <v>1399</v>
      </c>
      <c r="K1210" s="368" t="s">
        <v>1973</v>
      </c>
      <c r="L1210" s="368" t="s">
        <v>1399</v>
      </c>
      <c r="M1210" s="368" t="s">
        <v>1700</v>
      </c>
      <c r="N1210" s="368" t="s">
        <v>867</v>
      </c>
      <c r="O1210" s="376">
        <v>41864</v>
      </c>
      <c r="P1210" s="368" t="s">
        <v>1385</v>
      </c>
      <c r="Q1210" s="368" t="s">
        <v>1443</v>
      </c>
      <c r="R1210" s="368" t="s">
        <v>867</v>
      </c>
      <c r="S1210" s="368" t="s">
        <v>864</v>
      </c>
      <c r="T1210" s="368" t="s">
        <v>362</v>
      </c>
      <c r="U1210" s="368" t="s">
        <v>867</v>
      </c>
      <c r="V1210" s="368" t="s">
        <v>867</v>
      </c>
      <c r="W1210" s="368" t="s">
        <v>1378</v>
      </c>
      <c r="X1210" s="368">
        <v>0</v>
      </c>
      <c r="Y1210" s="368">
        <v>99</v>
      </c>
      <c r="Z1210" s="368"/>
      <c r="AA1210" s="368"/>
      <c r="AB1210" s="368"/>
      <c r="AC1210" s="368"/>
      <c r="AD1210" s="368"/>
      <c r="AE1210" s="368"/>
      <c r="AF1210" s="377"/>
      <c r="AJ1210" s="337">
        <v>190</v>
      </c>
    </row>
    <row r="1211" spans="1:36">
      <c r="A1211" s="332">
        <f t="shared" si="44"/>
        <v>191</v>
      </c>
      <c r="G1211" s="349" t="s">
        <v>1974</v>
      </c>
      <c r="H1211" s="368" t="s">
        <v>1975</v>
      </c>
      <c r="I1211" s="368" t="s">
        <v>1759</v>
      </c>
      <c r="J1211" s="368" t="s">
        <v>1375</v>
      </c>
      <c r="K1211" s="368" t="s">
        <v>1759</v>
      </c>
      <c r="L1211" s="368" t="s">
        <v>1375</v>
      </c>
      <c r="M1211" s="368" t="s">
        <v>1376</v>
      </c>
      <c r="N1211" s="368" t="s">
        <v>867</v>
      </c>
      <c r="O1211" s="376">
        <v>16975</v>
      </c>
      <c r="P1211" s="368" t="s">
        <v>1385</v>
      </c>
      <c r="Q1211" s="368" t="s">
        <v>1443</v>
      </c>
      <c r="R1211" s="368" t="s">
        <v>867</v>
      </c>
      <c r="S1211" s="368" t="s">
        <v>864</v>
      </c>
      <c r="T1211" s="368" t="s">
        <v>362</v>
      </c>
      <c r="U1211" s="368" t="s">
        <v>867</v>
      </c>
      <c r="V1211" s="368" t="s">
        <v>867</v>
      </c>
      <c r="W1211" s="368" t="s">
        <v>1378</v>
      </c>
      <c r="X1211" s="368">
        <v>2750</v>
      </c>
      <c r="Y1211" s="368">
        <v>99</v>
      </c>
      <c r="Z1211" s="368"/>
      <c r="AA1211" s="368"/>
      <c r="AB1211" s="368"/>
      <c r="AC1211" s="368"/>
      <c r="AD1211" s="368"/>
      <c r="AE1211" s="368"/>
      <c r="AF1211" s="377"/>
      <c r="AJ1211" s="337">
        <v>191</v>
      </c>
    </row>
    <row r="1212" spans="1:36">
      <c r="A1212" s="332">
        <f t="shared" si="44"/>
        <v>192</v>
      </c>
      <c r="G1212" s="349" t="s">
        <v>1976</v>
      </c>
      <c r="H1212" s="368" t="s">
        <v>1977</v>
      </c>
      <c r="I1212" s="368" t="s">
        <v>1616</v>
      </c>
      <c r="J1212" s="368" t="s">
        <v>1522</v>
      </c>
      <c r="K1212" s="368" t="s">
        <v>1616</v>
      </c>
      <c r="L1212" s="368" t="s">
        <v>1522</v>
      </c>
      <c r="M1212" s="368" t="s">
        <v>1384</v>
      </c>
      <c r="N1212" s="368" t="s">
        <v>867</v>
      </c>
      <c r="O1212" s="376">
        <v>50118</v>
      </c>
      <c r="P1212" s="368" t="s">
        <v>1385</v>
      </c>
      <c r="Q1212" s="368" t="s">
        <v>1386</v>
      </c>
      <c r="R1212" s="368" t="s">
        <v>867</v>
      </c>
      <c r="S1212" s="368" t="s">
        <v>864</v>
      </c>
      <c r="T1212" s="368" t="s">
        <v>362</v>
      </c>
      <c r="U1212" s="368" t="s">
        <v>867</v>
      </c>
      <c r="V1212" s="368" t="s">
        <v>867</v>
      </c>
      <c r="W1212" s="368" t="s">
        <v>1378</v>
      </c>
      <c r="X1212" s="368">
        <v>0</v>
      </c>
      <c r="Y1212" s="368">
        <v>99</v>
      </c>
      <c r="Z1212" s="368"/>
      <c r="AA1212" s="368"/>
      <c r="AB1212" s="368"/>
      <c r="AC1212" s="368"/>
      <c r="AD1212" s="368"/>
      <c r="AE1212" s="368"/>
      <c r="AF1212" s="377"/>
      <c r="AJ1212" s="337">
        <v>192</v>
      </c>
    </row>
    <row r="1213" spans="1:36">
      <c r="A1213" s="332">
        <f t="shared" si="44"/>
        <v>193</v>
      </c>
      <c r="G1213" s="349" t="s">
        <v>1978</v>
      </c>
      <c r="H1213" s="368" t="s">
        <v>1979</v>
      </c>
      <c r="I1213" s="368" t="s">
        <v>1980</v>
      </c>
      <c r="J1213" s="368" t="s">
        <v>1399</v>
      </c>
      <c r="K1213" s="368" t="s">
        <v>1980</v>
      </c>
      <c r="L1213" s="368" t="s">
        <v>1399</v>
      </c>
      <c r="M1213" s="368" t="s">
        <v>1384</v>
      </c>
      <c r="N1213" s="368" t="s">
        <v>867</v>
      </c>
      <c r="O1213" s="376">
        <v>85484</v>
      </c>
      <c r="P1213" s="368" t="s">
        <v>1385</v>
      </c>
      <c r="Q1213" s="368" t="s">
        <v>1386</v>
      </c>
      <c r="R1213" s="368" t="s">
        <v>867</v>
      </c>
      <c r="S1213" s="368" t="s">
        <v>864</v>
      </c>
      <c r="T1213" s="368" t="s">
        <v>362</v>
      </c>
      <c r="U1213" s="368" t="s">
        <v>867</v>
      </c>
      <c r="V1213" s="368" t="s">
        <v>867</v>
      </c>
      <c r="W1213" s="368" t="s">
        <v>1378</v>
      </c>
      <c r="X1213" s="368">
        <v>225</v>
      </c>
      <c r="Y1213" s="368">
        <v>99</v>
      </c>
      <c r="Z1213" s="368"/>
      <c r="AA1213" s="368"/>
      <c r="AB1213" s="368"/>
      <c r="AC1213" s="368"/>
      <c r="AD1213" s="368"/>
      <c r="AE1213" s="368"/>
      <c r="AF1213" s="377"/>
      <c r="AJ1213" s="337">
        <v>193</v>
      </c>
    </row>
    <row r="1214" spans="1:36">
      <c r="A1214" s="332">
        <f t="shared" si="44"/>
        <v>194</v>
      </c>
      <c r="G1214" s="349" t="s">
        <v>1981</v>
      </c>
      <c r="H1214" s="368" t="s">
        <v>1982</v>
      </c>
      <c r="I1214" s="368" t="s">
        <v>1983</v>
      </c>
      <c r="J1214" s="368" t="s">
        <v>1375</v>
      </c>
      <c r="K1214" s="368" t="s">
        <v>1983</v>
      </c>
      <c r="L1214" s="368" t="s">
        <v>1375</v>
      </c>
      <c r="M1214" s="368" t="s">
        <v>1384</v>
      </c>
      <c r="N1214" s="368" t="s">
        <v>867</v>
      </c>
      <c r="O1214" s="376">
        <v>35120</v>
      </c>
      <c r="P1214" s="368" t="s">
        <v>1385</v>
      </c>
      <c r="Q1214" s="368" t="s">
        <v>1688</v>
      </c>
      <c r="R1214" s="368" t="s">
        <v>867</v>
      </c>
      <c r="S1214" s="368" t="s">
        <v>864</v>
      </c>
      <c r="T1214" s="368" t="s">
        <v>362</v>
      </c>
      <c r="U1214" s="368" t="s">
        <v>867</v>
      </c>
      <c r="V1214" s="368" t="s">
        <v>867</v>
      </c>
      <c r="W1214" s="368" t="s">
        <v>1378</v>
      </c>
      <c r="X1214" s="368">
        <v>600</v>
      </c>
      <c r="Y1214" s="368">
        <v>99</v>
      </c>
      <c r="Z1214" s="368"/>
      <c r="AA1214" s="368"/>
      <c r="AB1214" s="368"/>
      <c r="AC1214" s="368"/>
      <c r="AD1214" s="368"/>
      <c r="AE1214" s="368"/>
      <c r="AF1214" s="377"/>
      <c r="AJ1214" s="337">
        <v>194</v>
      </c>
    </row>
    <row r="1215" spans="1:36">
      <c r="A1215" s="332">
        <f t="shared" ref="A1215:A1278" si="45">1+A1214</f>
        <v>195</v>
      </c>
      <c r="G1215" s="349" t="s">
        <v>1984</v>
      </c>
      <c r="H1215" s="368" t="s">
        <v>1985</v>
      </c>
      <c r="I1215" s="368" t="s">
        <v>1777</v>
      </c>
      <c r="J1215" s="368" t="s">
        <v>1375</v>
      </c>
      <c r="K1215" s="368" t="s">
        <v>1777</v>
      </c>
      <c r="L1215" s="368" t="s">
        <v>1375</v>
      </c>
      <c r="M1215" s="368" t="s">
        <v>1384</v>
      </c>
      <c r="N1215" s="368" t="s">
        <v>867</v>
      </c>
      <c r="O1215" s="376">
        <v>90896</v>
      </c>
      <c r="P1215" s="368" t="s">
        <v>1385</v>
      </c>
      <c r="Q1215" s="368" t="s">
        <v>1386</v>
      </c>
      <c r="R1215" s="368" t="s">
        <v>867</v>
      </c>
      <c r="S1215" s="368" t="s">
        <v>864</v>
      </c>
      <c r="T1215" s="368" t="s">
        <v>362</v>
      </c>
      <c r="U1215" s="368" t="s">
        <v>867</v>
      </c>
      <c r="V1215" s="368" t="s">
        <v>867</v>
      </c>
      <c r="W1215" s="368" t="s">
        <v>1378</v>
      </c>
      <c r="X1215" s="368">
        <v>0</v>
      </c>
      <c r="Y1215" s="368">
        <v>99</v>
      </c>
      <c r="Z1215" s="368"/>
      <c r="AA1215" s="368"/>
      <c r="AB1215" s="368"/>
      <c r="AC1215" s="368"/>
      <c r="AD1215" s="368"/>
      <c r="AE1215" s="368"/>
      <c r="AF1215" s="377"/>
      <c r="AJ1215" s="337">
        <v>195</v>
      </c>
    </row>
    <row r="1216" spans="1:36">
      <c r="A1216" s="332">
        <f t="shared" si="45"/>
        <v>196</v>
      </c>
      <c r="G1216" s="349" t="s">
        <v>1986</v>
      </c>
      <c r="H1216" s="368" t="s">
        <v>1987</v>
      </c>
      <c r="I1216" s="368" t="s">
        <v>1988</v>
      </c>
      <c r="J1216" s="368" t="s">
        <v>1375</v>
      </c>
      <c r="K1216" s="368" t="s">
        <v>1988</v>
      </c>
      <c r="L1216" s="368" t="s">
        <v>1375</v>
      </c>
      <c r="M1216" s="368" t="s">
        <v>1384</v>
      </c>
      <c r="N1216" s="368" t="s">
        <v>867</v>
      </c>
      <c r="O1216" s="376">
        <v>87970</v>
      </c>
      <c r="P1216" s="368" t="s">
        <v>1385</v>
      </c>
      <c r="Q1216" s="368" t="s">
        <v>1386</v>
      </c>
      <c r="R1216" s="368" t="s">
        <v>867</v>
      </c>
      <c r="S1216" s="368" t="s">
        <v>864</v>
      </c>
      <c r="T1216" s="368" t="s">
        <v>362</v>
      </c>
      <c r="U1216" s="368" t="s">
        <v>867</v>
      </c>
      <c r="V1216" s="368" t="s">
        <v>867</v>
      </c>
      <c r="W1216" s="368" t="s">
        <v>1378</v>
      </c>
      <c r="X1216" s="368">
        <v>2600</v>
      </c>
      <c r="Y1216" s="368">
        <v>99</v>
      </c>
      <c r="Z1216" s="368"/>
      <c r="AA1216" s="368"/>
      <c r="AB1216" s="368"/>
      <c r="AC1216" s="368"/>
      <c r="AD1216" s="368"/>
      <c r="AE1216" s="368"/>
      <c r="AF1216" s="377"/>
      <c r="AJ1216" s="337">
        <v>196</v>
      </c>
    </row>
    <row r="1217" spans="1:36">
      <c r="A1217" s="332">
        <f t="shared" si="45"/>
        <v>197</v>
      </c>
      <c r="G1217" s="349" t="s">
        <v>1989</v>
      </c>
      <c r="H1217" s="368" t="s">
        <v>1990</v>
      </c>
      <c r="I1217" s="368" t="s">
        <v>1991</v>
      </c>
      <c r="J1217" s="368" t="s">
        <v>1399</v>
      </c>
      <c r="K1217" s="368" t="s">
        <v>1991</v>
      </c>
      <c r="L1217" s="368" t="s">
        <v>1399</v>
      </c>
      <c r="M1217" s="368" t="s">
        <v>1384</v>
      </c>
      <c r="N1217" s="368" t="s">
        <v>867</v>
      </c>
      <c r="O1217" s="376">
        <v>84079</v>
      </c>
      <c r="P1217" s="368" t="s">
        <v>1385</v>
      </c>
      <c r="Q1217" s="368" t="s">
        <v>1386</v>
      </c>
      <c r="R1217" s="368" t="s">
        <v>867</v>
      </c>
      <c r="S1217" s="368" t="s">
        <v>864</v>
      </c>
      <c r="T1217" s="368" t="s">
        <v>362</v>
      </c>
      <c r="U1217" s="368" t="s">
        <v>867</v>
      </c>
      <c r="V1217" s="368" t="s">
        <v>867</v>
      </c>
      <c r="W1217" s="368" t="s">
        <v>1378</v>
      </c>
      <c r="X1217" s="368">
        <v>0</v>
      </c>
      <c r="Y1217" s="368">
        <v>99</v>
      </c>
      <c r="Z1217" s="368"/>
      <c r="AA1217" s="368"/>
      <c r="AB1217" s="368"/>
      <c r="AC1217" s="368"/>
      <c r="AD1217" s="368"/>
      <c r="AE1217" s="368"/>
      <c r="AF1217" s="377"/>
      <c r="AJ1217" s="337">
        <v>197</v>
      </c>
    </row>
    <row r="1218" spans="1:36">
      <c r="A1218" s="332">
        <f t="shared" si="45"/>
        <v>198</v>
      </c>
      <c r="G1218" s="349" t="s">
        <v>1992</v>
      </c>
      <c r="H1218" s="368" t="s">
        <v>1993</v>
      </c>
      <c r="I1218" s="368" t="s">
        <v>1994</v>
      </c>
      <c r="J1218" s="368" t="s">
        <v>1403</v>
      </c>
      <c r="K1218" s="368" t="s">
        <v>1995</v>
      </c>
      <c r="L1218" s="368" t="s">
        <v>1399</v>
      </c>
      <c r="M1218" s="368" t="s">
        <v>1384</v>
      </c>
      <c r="N1218" s="368" t="s">
        <v>867</v>
      </c>
      <c r="O1218" s="376">
        <v>74887</v>
      </c>
      <c r="P1218" s="368" t="s">
        <v>1385</v>
      </c>
      <c r="Q1218" s="368" t="s">
        <v>1462</v>
      </c>
      <c r="R1218" s="368" t="s">
        <v>867</v>
      </c>
      <c r="S1218" s="368" t="s">
        <v>864</v>
      </c>
      <c r="T1218" s="368" t="s">
        <v>362</v>
      </c>
      <c r="U1218" s="368" t="s">
        <v>867</v>
      </c>
      <c r="V1218" s="368" t="s">
        <v>867</v>
      </c>
      <c r="W1218" s="368" t="s">
        <v>1378</v>
      </c>
      <c r="X1218" s="368">
        <v>1400</v>
      </c>
      <c r="Y1218" s="368">
        <v>99</v>
      </c>
      <c r="Z1218" s="368"/>
      <c r="AA1218" s="368"/>
      <c r="AB1218" s="368"/>
      <c r="AC1218" s="368"/>
      <c r="AD1218" s="368"/>
      <c r="AE1218" s="368"/>
      <c r="AF1218" s="377"/>
      <c r="AJ1218" s="337">
        <v>198</v>
      </c>
    </row>
    <row r="1219" spans="1:36">
      <c r="A1219" s="332">
        <f t="shared" si="45"/>
        <v>199</v>
      </c>
      <c r="G1219" s="349" t="s">
        <v>1996</v>
      </c>
      <c r="H1219" s="368" t="s">
        <v>1997</v>
      </c>
      <c r="I1219" s="368" t="s">
        <v>1998</v>
      </c>
      <c r="J1219" s="368" t="s">
        <v>1510</v>
      </c>
      <c r="K1219" s="368" t="s">
        <v>1998</v>
      </c>
      <c r="L1219" s="368" t="s">
        <v>1510</v>
      </c>
      <c r="M1219" s="368" t="s">
        <v>1376</v>
      </c>
      <c r="N1219" s="368" t="s">
        <v>867</v>
      </c>
      <c r="O1219" s="376">
        <v>14109</v>
      </c>
      <c r="P1219" s="368" t="s">
        <v>1447</v>
      </c>
      <c r="Q1219" s="368" t="s">
        <v>1443</v>
      </c>
      <c r="R1219" s="368" t="s">
        <v>867</v>
      </c>
      <c r="S1219" s="368" t="s">
        <v>864</v>
      </c>
      <c r="T1219" s="368" t="s">
        <v>362</v>
      </c>
      <c r="U1219" s="368" t="s">
        <v>867</v>
      </c>
      <c r="V1219" s="368" t="s">
        <v>867</v>
      </c>
      <c r="W1219" s="368" t="s">
        <v>1378</v>
      </c>
      <c r="X1219" s="368">
        <v>0</v>
      </c>
      <c r="Y1219" s="368">
        <v>99</v>
      </c>
      <c r="Z1219" s="368"/>
      <c r="AA1219" s="368"/>
      <c r="AB1219" s="368"/>
      <c r="AC1219" s="368"/>
      <c r="AD1219" s="368"/>
      <c r="AE1219" s="368"/>
      <c r="AF1219" s="377"/>
      <c r="AJ1219" s="337">
        <v>199</v>
      </c>
    </row>
    <row r="1220" spans="1:36">
      <c r="A1220" s="332">
        <f t="shared" si="45"/>
        <v>200</v>
      </c>
      <c r="G1220" s="349" t="s">
        <v>1999</v>
      </c>
      <c r="H1220" s="368" t="s">
        <v>2000</v>
      </c>
      <c r="I1220" s="368" t="s">
        <v>1786</v>
      </c>
      <c r="J1220" s="368" t="s">
        <v>1375</v>
      </c>
      <c r="K1220" s="368" t="s">
        <v>1786</v>
      </c>
      <c r="L1220" s="368" t="s">
        <v>1375</v>
      </c>
      <c r="M1220" s="368" t="s">
        <v>1384</v>
      </c>
      <c r="N1220" s="368" t="s">
        <v>867</v>
      </c>
      <c r="O1220" s="376">
        <v>95377</v>
      </c>
      <c r="P1220" s="368" t="s">
        <v>1385</v>
      </c>
      <c r="Q1220" s="368" t="s">
        <v>1688</v>
      </c>
      <c r="R1220" s="368" t="s">
        <v>867</v>
      </c>
      <c r="S1220" s="368" t="s">
        <v>864</v>
      </c>
      <c r="T1220" s="368" t="s">
        <v>362</v>
      </c>
      <c r="U1220" s="368" t="s">
        <v>867</v>
      </c>
      <c r="V1220" s="368" t="s">
        <v>867</v>
      </c>
      <c r="W1220" s="368" t="s">
        <v>1378</v>
      </c>
      <c r="X1220" s="368">
        <v>0</v>
      </c>
      <c r="Y1220" s="368">
        <v>99</v>
      </c>
      <c r="Z1220" s="368"/>
      <c r="AA1220" s="368"/>
      <c r="AB1220" s="368"/>
      <c r="AC1220" s="368"/>
      <c r="AD1220" s="368"/>
      <c r="AE1220" s="368"/>
      <c r="AF1220" s="377"/>
      <c r="AJ1220" s="337">
        <v>200</v>
      </c>
    </row>
    <row r="1221" spans="1:36">
      <c r="A1221" s="332">
        <f t="shared" si="45"/>
        <v>201</v>
      </c>
      <c r="G1221" s="349" t="s">
        <v>2001</v>
      </c>
      <c r="H1221" s="368" t="s">
        <v>1763</v>
      </c>
      <c r="I1221" s="368" t="s">
        <v>1630</v>
      </c>
      <c r="J1221" s="368" t="s">
        <v>1375</v>
      </c>
      <c r="K1221" s="368" t="s">
        <v>1630</v>
      </c>
      <c r="L1221" s="368" t="s">
        <v>1375</v>
      </c>
      <c r="M1221" s="368" t="s">
        <v>1384</v>
      </c>
      <c r="N1221" s="368" t="s">
        <v>867</v>
      </c>
      <c r="O1221" s="376">
        <v>18824</v>
      </c>
      <c r="P1221" s="368" t="s">
        <v>1385</v>
      </c>
      <c r="Q1221" s="368" t="s">
        <v>1386</v>
      </c>
      <c r="R1221" s="368" t="s">
        <v>867</v>
      </c>
      <c r="S1221" s="368" t="s">
        <v>864</v>
      </c>
      <c r="T1221" s="368" t="s">
        <v>362</v>
      </c>
      <c r="U1221" s="368" t="s">
        <v>867</v>
      </c>
      <c r="V1221" s="368" t="s">
        <v>867</v>
      </c>
      <c r="W1221" s="368" t="s">
        <v>1378</v>
      </c>
      <c r="X1221" s="368">
        <v>0</v>
      </c>
      <c r="Y1221" s="368">
        <v>99</v>
      </c>
      <c r="Z1221" s="368"/>
      <c r="AA1221" s="368"/>
      <c r="AB1221" s="368"/>
      <c r="AC1221" s="368"/>
      <c r="AD1221" s="368"/>
      <c r="AE1221" s="368"/>
      <c r="AF1221" s="377"/>
      <c r="AJ1221" s="337">
        <v>201</v>
      </c>
    </row>
    <row r="1222" spans="1:36">
      <c r="A1222" s="332">
        <f t="shared" si="45"/>
        <v>202</v>
      </c>
      <c r="G1222" s="349" t="s">
        <v>2002</v>
      </c>
      <c r="H1222" s="368" t="s">
        <v>1652</v>
      </c>
      <c r="I1222" s="368" t="s">
        <v>2003</v>
      </c>
      <c r="J1222" s="368" t="s">
        <v>1375</v>
      </c>
      <c r="K1222" s="368" t="s">
        <v>2003</v>
      </c>
      <c r="L1222" s="368" t="s">
        <v>1375</v>
      </c>
      <c r="M1222" s="368" t="s">
        <v>1384</v>
      </c>
      <c r="N1222" s="368" t="s">
        <v>867</v>
      </c>
      <c r="O1222" s="376">
        <v>49077</v>
      </c>
      <c r="P1222" s="368" t="s">
        <v>1385</v>
      </c>
      <c r="Q1222" s="368" t="s">
        <v>1386</v>
      </c>
      <c r="R1222" s="368" t="s">
        <v>867</v>
      </c>
      <c r="S1222" s="368" t="s">
        <v>864</v>
      </c>
      <c r="T1222" s="368" t="s">
        <v>362</v>
      </c>
      <c r="U1222" s="368" t="s">
        <v>867</v>
      </c>
      <c r="V1222" s="368" t="s">
        <v>867</v>
      </c>
      <c r="W1222" s="368" t="s">
        <v>1378</v>
      </c>
      <c r="X1222" s="368">
        <v>0</v>
      </c>
      <c r="Y1222" s="368">
        <v>99</v>
      </c>
      <c r="Z1222" s="368"/>
      <c r="AA1222" s="368"/>
      <c r="AB1222" s="368"/>
      <c r="AC1222" s="368"/>
      <c r="AD1222" s="368"/>
      <c r="AE1222" s="368"/>
      <c r="AF1222" s="377"/>
      <c r="AJ1222" s="337">
        <v>202</v>
      </c>
    </row>
    <row r="1223" spans="1:36">
      <c r="A1223" s="332">
        <f t="shared" si="45"/>
        <v>203</v>
      </c>
      <c r="G1223" s="349" t="s">
        <v>2004</v>
      </c>
      <c r="H1223" s="368" t="s">
        <v>2005</v>
      </c>
      <c r="I1223" s="368" t="s">
        <v>2006</v>
      </c>
      <c r="J1223" s="368" t="s">
        <v>1433</v>
      </c>
      <c r="K1223" s="368" t="s">
        <v>2006</v>
      </c>
      <c r="L1223" s="368" t="s">
        <v>1433</v>
      </c>
      <c r="M1223" s="368" t="s">
        <v>1384</v>
      </c>
      <c r="N1223" s="368" t="s">
        <v>867</v>
      </c>
      <c r="O1223" s="376">
        <v>8391</v>
      </c>
      <c r="P1223" s="368" t="s">
        <v>339</v>
      </c>
      <c r="Q1223" s="368" t="s">
        <v>1443</v>
      </c>
      <c r="R1223" s="368" t="s">
        <v>867</v>
      </c>
      <c r="S1223" s="368" t="s">
        <v>864</v>
      </c>
      <c r="T1223" s="368" t="s">
        <v>362</v>
      </c>
      <c r="U1223" s="368" t="s">
        <v>867</v>
      </c>
      <c r="V1223" s="368" t="s">
        <v>867</v>
      </c>
      <c r="W1223" s="368" t="s">
        <v>1378</v>
      </c>
      <c r="X1223" s="368">
        <v>0</v>
      </c>
      <c r="Y1223" s="368">
        <v>99</v>
      </c>
      <c r="Z1223" s="368"/>
      <c r="AA1223" s="368"/>
      <c r="AB1223" s="368"/>
      <c r="AC1223" s="368"/>
      <c r="AD1223" s="368"/>
      <c r="AE1223" s="368"/>
      <c r="AF1223" s="377"/>
      <c r="AJ1223" s="337">
        <v>203</v>
      </c>
    </row>
    <row r="1224" spans="1:36">
      <c r="A1224" s="332">
        <f t="shared" si="45"/>
        <v>204</v>
      </c>
      <c r="G1224" s="349" t="s">
        <v>2007</v>
      </c>
      <c r="H1224" s="368" t="s">
        <v>2008</v>
      </c>
      <c r="I1224" s="368" t="s">
        <v>2009</v>
      </c>
      <c r="J1224" s="368" t="s">
        <v>1375</v>
      </c>
      <c r="K1224" s="368" t="s">
        <v>2009</v>
      </c>
      <c r="L1224" s="368" t="s">
        <v>1375</v>
      </c>
      <c r="M1224" s="368" t="s">
        <v>1384</v>
      </c>
      <c r="N1224" s="368" t="s">
        <v>867</v>
      </c>
      <c r="O1224" s="376">
        <v>30235</v>
      </c>
      <c r="P1224" s="368" t="s">
        <v>1385</v>
      </c>
      <c r="Q1224" s="368" t="s">
        <v>1386</v>
      </c>
      <c r="R1224" s="368" t="s">
        <v>867</v>
      </c>
      <c r="S1224" s="368" t="s">
        <v>864</v>
      </c>
      <c r="T1224" s="368" t="s">
        <v>362</v>
      </c>
      <c r="U1224" s="368" t="s">
        <v>867</v>
      </c>
      <c r="V1224" s="368" t="s">
        <v>867</v>
      </c>
      <c r="W1224" s="368" t="s">
        <v>1378</v>
      </c>
      <c r="X1224" s="368">
        <v>0</v>
      </c>
      <c r="Y1224" s="368">
        <v>99</v>
      </c>
      <c r="Z1224" s="368"/>
      <c r="AA1224" s="368"/>
      <c r="AB1224" s="368"/>
      <c r="AC1224" s="368"/>
      <c r="AD1224" s="368"/>
      <c r="AE1224" s="368"/>
      <c r="AF1224" s="377"/>
      <c r="AJ1224" s="337">
        <v>204</v>
      </c>
    </row>
    <row r="1225" spans="1:36">
      <c r="A1225" s="332">
        <f t="shared" si="45"/>
        <v>205</v>
      </c>
      <c r="G1225" s="349" t="s">
        <v>2010</v>
      </c>
      <c r="H1225" s="368" t="s">
        <v>2011</v>
      </c>
      <c r="I1225" s="368" t="s">
        <v>2009</v>
      </c>
      <c r="J1225" s="368" t="s">
        <v>1399</v>
      </c>
      <c r="K1225" s="368" t="s">
        <v>2009</v>
      </c>
      <c r="L1225" s="368" t="s">
        <v>1399</v>
      </c>
      <c r="M1225" s="368" t="s">
        <v>1384</v>
      </c>
      <c r="N1225" s="368" t="s">
        <v>867</v>
      </c>
      <c r="O1225" s="376">
        <v>32231</v>
      </c>
      <c r="P1225" s="368" t="s">
        <v>1385</v>
      </c>
      <c r="Q1225" s="368" t="s">
        <v>1386</v>
      </c>
      <c r="R1225" s="368" t="s">
        <v>867</v>
      </c>
      <c r="S1225" s="368" t="s">
        <v>864</v>
      </c>
      <c r="T1225" s="368" t="s">
        <v>362</v>
      </c>
      <c r="U1225" s="368" t="s">
        <v>867</v>
      </c>
      <c r="V1225" s="368" t="s">
        <v>867</v>
      </c>
      <c r="W1225" s="368" t="s">
        <v>1378</v>
      </c>
      <c r="X1225" s="368">
        <v>0</v>
      </c>
      <c r="Y1225" s="368">
        <v>99</v>
      </c>
      <c r="Z1225" s="368"/>
      <c r="AA1225" s="368"/>
      <c r="AB1225" s="368"/>
      <c r="AC1225" s="368"/>
      <c r="AD1225" s="368"/>
      <c r="AE1225" s="368"/>
      <c r="AF1225" s="377"/>
      <c r="AJ1225" s="337">
        <v>205</v>
      </c>
    </row>
    <row r="1226" spans="1:36">
      <c r="A1226" s="332">
        <f t="shared" si="45"/>
        <v>206</v>
      </c>
      <c r="G1226" s="349" t="s">
        <v>2012</v>
      </c>
      <c r="H1226" s="368" t="s">
        <v>2013</v>
      </c>
      <c r="I1226" s="368" t="s">
        <v>2014</v>
      </c>
      <c r="J1226" s="368" t="s">
        <v>1375</v>
      </c>
      <c r="K1226" s="368" t="s">
        <v>2014</v>
      </c>
      <c r="L1226" s="368" t="s">
        <v>1375</v>
      </c>
      <c r="M1226" s="368" t="s">
        <v>1384</v>
      </c>
      <c r="N1226" s="368" t="s">
        <v>867</v>
      </c>
      <c r="O1226" s="376">
        <v>42684</v>
      </c>
      <c r="P1226" s="368" t="s">
        <v>1385</v>
      </c>
      <c r="Q1226" s="368" t="s">
        <v>1443</v>
      </c>
      <c r="R1226" s="368" t="s">
        <v>867</v>
      </c>
      <c r="S1226" s="368" t="s">
        <v>867</v>
      </c>
      <c r="T1226" s="368" t="s">
        <v>362</v>
      </c>
      <c r="U1226" s="368" t="s">
        <v>867</v>
      </c>
      <c r="V1226" s="368" t="s">
        <v>867</v>
      </c>
      <c r="W1226" s="368" t="s">
        <v>1378</v>
      </c>
      <c r="X1226" s="368">
        <v>0</v>
      </c>
      <c r="Y1226" s="368">
        <v>99</v>
      </c>
      <c r="Z1226" s="368"/>
      <c r="AA1226" s="368"/>
      <c r="AB1226" s="368"/>
      <c r="AC1226" s="368"/>
      <c r="AD1226" s="368"/>
      <c r="AE1226" s="368"/>
      <c r="AF1226" s="377"/>
      <c r="AJ1226" s="337">
        <v>206</v>
      </c>
    </row>
    <row r="1227" spans="1:36">
      <c r="A1227" s="332">
        <f t="shared" si="45"/>
        <v>207</v>
      </c>
      <c r="G1227" s="349" t="s">
        <v>2015</v>
      </c>
      <c r="H1227" s="368" t="s">
        <v>2016</v>
      </c>
      <c r="I1227" s="368" t="s">
        <v>2017</v>
      </c>
      <c r="J1227" s="368" t="s">
        <v>1375</v>
      </c>
      <c r="K1227" s="368" t="s">
        <v>2017</v>
      </c>
      <c r="L1227" s="368" t="s">
        <v>1375</v>
      </c>
      <c r="M1227" s="368" t="s">
        <v>1384</v>
      </c>
      <c r="N1227" s="368" t="s">
        <v>867</v>
      </c>
      <c r="O1227" s="376">
        <v>97276</v>
      </c>
      <c r="P1227" s="368" t="s">
        <v>1385</v>
      </c>
      <c r="Q1227" s="368" t="s">
        <v>1386</v>
      </c>
      <c r="R1227" s="368" t="s">
        <v>867</v>
      </c>
      <c r="S1227" s="368" t="s">
        <v>867</v>
      </c>
      <c r="T1227" s="368" t="s">
        <v>362</v>
      </c>
      <c r="U1227" s="368" t="s">
        <v>867</v>
      </c>
      <c r="V1227" s="368" t="s">
        <v>867</v>
      </c>
      <c r="W1227" s="368" t="s">
        <v>1378</v>
      </c>
      <c r="X1227" s="368">
        <v>2450</v>
      </c>
      <c r="Y1227" s="368">
        <v>99</v>
      </c>
      <c r="Z1227" s="368"/>
      <c r="AA1227" s="368"/>
      <c r="AB1227" s="368"/>
      <c r="AC1227" s="368"/>
      <c r="AD1227" s="368"/>
      <c r="AE1227" s="368"/>
      <c r="AF1227" s="377"/>
      <c r="AJ1227" s="337">
        <v>207</v>
      </c>
    </row>
    <row r="1228" spans="1:36">
      <c r="A1228" s="332">
        <f t="shared" si="45"/>
        <v>208</v>
      </c>
      <c r="G1228" s="349" t="s">
        <v>2018</v>
      </c>
      <c r="H1228" s="368" t="s">
        <v>2019</v>
      </c>
      <c r="I1228" s="368" t="s">
        <v>2020</v>
      </c>
      <c r="J1228" s="368" t="s">
        <v>1375</v>
      </c>
      <c r="K1228" s="368" t="s">
        <v>2021</v>
      </c>
      <c r="L1228" s="368" t="s">
        <v>1375</v>
      </c>
      <c r="M1228" s="368" t="s">
        <v>1384</v>
      </c>
      <c r="N1228" s="368" t="s">
        <v>867</v>
      </c>
      <c r="O1228" s="376">
        <v>19732</v>
      </c>
      <c r="P1228" s="368" t="s">
        <v>1385</v>
      </c>
      <c r="Q1228" s="368" t="s">
        <v>1386</v>
      </c>
      <c r="R1228" s="368" t="s">
        <v>867</v>
      </c>
      <c r="S1228" s="368" t="s">
        <v>864</v>
      </c>
      <c r="T1228" s="368" t="s">
        <v>362</v>
      </c>
      <c r="U1228" s="368" t="s">
        <v>867</v>
      </c>
      <c r="V1228" s="368" t="s">
        <v>867</v>
      </c>
      <c r="W1228" s="368" t="s">
        <v>1378</v>
      </c>
      <c r="X1228" s="368">
        <v>2000</v>
      </c>
      <c r="Y1228" s="368">
        <v>99</v>
      </c>
      <c r="Z1228" s="368"/>
      <c r="AA1228" s="368"/>
      <c r="AB1228" s="368"/>
      <c r="AC1228" s="368"/>
      <c r="AD1228" s="368"/>
      <c r="AE1228" s="368"/>
      <c r="AF1228" s="377"/>
      <c r="AJ1228" s="337">
        <v>208</v>
      </c>
    </row>
    <row r="1229" spans="1:36">
      <c r="A1229" s="332">
        <f t="shared" si="45"/>
        <v>209</v>
      </c>
      <c r="G1229" s="349" t="s">
        <v>2022</v>
      </c>
      <c r="H1229" s="368" t="s">
        <v>2023</v>
      </c>
      <c r="I1229" s="368" t="s">
        <v>2024</v>
      </c>
      <c r="J1229" s="368" t="s">
        <v>1403</v>
      </c>
      <c r="K1229" s="368" t="s">
        <v>2024</v>
      </c>
      <c r="L1229" s="368" t="s">
        <v>1403</v>
      </c>
      <c r="M1229" s="368" t="s">
        <v>1384</v>
      </c>
      <c r="N1229" s="368" t="s">
        <v>867</v>
      </c>
      <c r="O1229" s="376">
        <v>14718</v>
      </c>
      <c r="P1229" s="368" t="s">
        <v>1385</v>
      </c>
      <c r="Q1229" s="368" t="s">
        <v>1386</v>
      </c>
      <c r="R1229" s="368" t="s">
        <v>867</v>
      </c>
      <c r="S1229" s="368" t="s">
        <v>864</v>
      </c>
      <c r="T1229" s="368" t="s">
        <v>1387</v>
      </c>
      <c r="U1229" s="368" t="s">
        <v>867</v>
      </c>
      <c r="V1229" s="368" t="s">
        <v>867</v>
      </c>
      <c r="W1229" s="368" t="s">
        <v>1378</v>
      </c>
      <c r="X1229" s="368">
        <v>0</v>
      </c>
      <c r="Y1229" s="368">
        <v>99</v>
      </c>
      <c r="Z1229" s="368"/>
      <c r="AA1229" s="368"/>
      <c r="AB1229" s="368"/>
      <c r="AC1229" s="368"/>
      <c r="AD1229" s="368"/>
      <c r="AE1229" s="368"/>
      <c r="AF1229" s="377"/>
      <c r="AJ1229" s="337">
        <v>209</v>
      </c>
    </row>
    <row r="1230" spans="1:36">
      <c r="A1230" s="332">
        <f t="shared" si="45"/>
        <v>210</v>
      </c>
      <c r="G1230" s="349" t="s">
        <v>2025</v>
      </c>
      <c r="H1230" s="368" t="s">
        <v>2026</v>
      </c>
      <c r="I1230" s="368" t="s">
        <v>2027</v>
      </c>
      <c r="J1230" s="368" t="s">
        <v>1375</v>
      </c>
      <c r="K1230" s="368" t="s">
        <v>2027</v>
      </c>
      <c r="L1230" s="368" t="s">
        <v>1375</v>
      </c>
      <c r="M1230" s="368" t="s">
        <v>1384</v>
      </c>
      <c r="N1230" s="368" t="s">
        <v>867</v>
      </c>
      <c r="O1230" s="376">
        <v>29968</v>
      </c>
      <c r="P1230" s="368" t="s">
        <v>1385</v>
      </c>
      <c r="Q1230" s="368" t="s">
        <v>1443</v>
      </c>
      <c r="R1230" s="368" t="s">
        <v>867</v>
      </c>
      <c r="S1230" s="368" t="s">
        <v>864</v>
      </c>
      <c r="T1230" s="368" t="s">
        <v>362</v>
      </c>
      <c r="U1230" s="368" t="s">
        <v>867</v>
      </c>
      <c r="V1230" s="368" t="s">
        <v>867</v>
      </c>
      <c r="W1230" s="368" t="s">
        <v>1378</v>
      </c>
      <c r="X1230" s="368">
        <v>0</v>
      </c>
      <c r="Y1230" s="368">
        <v>99</v>
      </c>
      <c r="Z1230" s="368"/>
      <c r="AA1230" s="368"/>
      <c r="AB1230" s="368"/>
      <c r="AC1230" s="368"/>
      <c r="AD1230" s="368"/>
      <c r="AE1230" s="368"/>
      <c r="AF1230" s="377"/>
      <c r="AJ1230" s="337">
        <v>210</v>
      </c>
    </row>
    <row r="1231" spans="1:36">
      <c r="A1231" s="332">
        <f t="shared" si="45"/>
        <v>211</v>
      </c>
      <c r="G1231" s="349" t="s">
        <v>2028</v>
      </c>
      <c r="H1231" s="368" t="s">
        <v>2029</v>
      </c>
      <c r="I1231" s="368" t="s">
        <v>2030</v>
      </c>
      <c r="J1231" s="368" t="s">
        <v>1375</v>
      </c>
      <c r="K1231" s="368" t="s">
        <v>2030</v>
      </c>
      <c r="L1231" s="368" t="s">
        <v>1375</v>
      </c>
      <c r="M1231" s="368" t="s">
        <v>1384</v>
      </c>
      <c r="N1231" s="368" t="s">
        <v>867</v>
      </c>
      <c r="O1231" s="376">
        <v>2373</v>
      </c>
      <c r="P1231" s="368" t="s">
        <v>1385</v>
      </c>
      <c r="Q1231" s="368" t="s">
        <v>1386</v>
      </c>
      <c r="R1231" s="368" t="s">
        <v>867</v>
      </c>
      <c r="S1231" s="368" t="s">
        <v>864</v>
      </c>
      <c r="T1231" s="368" t="s">
        <v>362</v>
      </c>
      <c r="U1231" s="368" t="s">
        <v>867</v>
      </c>
      <c r="V1231" s="368" t="s">
        <v>867</v>
      </c>
      <c r="W1231" s="368" t="s">
        <v>1378</v>
      </c>
      <c r="X1231" s="368">
        <v>0</v>
      </c>
      <c r="Y1231" s="368">
        <v>99</v>
      </c>
      <c r="Z1231" s="368"/>
      <c r="AA1231" s="368"/>
      <c r="AB1231" s="368"/>
      <c r="AC1231" s="368"/>
      <c r="AD1231" s="368"/>
      <c r="AE1231" s="368"/>
      <c r="AF1231" s="377"/>
      <c r="AJ1231" s="337">
        <v>211</v>
      </c>
    </row>
    <row r="1232" spans="1:36">
      <c r="A1232" s="332">
        <f t="shared" si="45"/>
        <v>212</v>
      </c>
      <c r="G1232" s="349" t="s">
        <v>2031</v>
      </c>
      <c r="H1232" s="368" t="s">
        <v>2032</v>
      </c>
      <c r="I1232" s="368" t="s">
        <v>2033</v>
      </c>
      <c r="J1232" s="368" t="s">
        <v>1375</v>
      </c>
      <c r="K1232" s="368" t="s">
        <v>2033</v>
      </c>
      <c r="L1232" s="368" t="s">
        <v>1375</v>
      </c>
      <c r="M1232" s="368" t="s">
        <v>1376</v>
      </c>
      <c r="N1232" s="368" t="s">
        <v>867</v>
      </c>
      <c r="O1232" s="376">
        <v>72735</v>
      </c>
      <c r="P1232" s="368" t="s">
        <v>339</v>
      </c>
      <c r="Q1232" s="368" t="s">
        <v>1443</v>
      </c>
      <c r="R1232" s="368" t="s">
        <v>867</v>
      </c>
      <c r="S1232" s="368" t="s">
        <v>864</v>
      </c>
      <c r="T1232" s="368" t="s">
        <v>1387</v>
      </c>
      <c r="U1232" s="368" t="s">
        <v>867</v>
      </c>
      <c r="V1232" s="368" t="s">
        <v>867</v>
      </c>
      <c r="W1232" s="368" t="s">
        <v>1378</v>
      </c>
      <c r="X1232" s="368">
        <v>0</v>
      </c>
      <c r="Y1232" s="368">
        <v>99</v>
      </c>
      <c r="Z1232" s="368"/>
      <c r="AA1232" s="368"/>
      <c r="AB1232" s="368"/>
      <c r="AC1232" s="368"/>
      <c r="AD1232" s="368"/>
      <c r="AE1232" s="368"/>
      <c r="AF1232" s="377"/>
      <c r="AJ1232" s="337">
        <v>212</v>
      </c>
    </row>
    <row r="1233" spans="1:36">
      <c r="A1233" s="332">
        <f t="shared" si="45"/>
        <v>213</v>
      </c>
      <c r="G1233" s="349" t="s">
        <v>2034</v>
      </c>
      <c r="H1233" s="368" t="s">
        <v>2035</v>
      </c>
      <c r="I1233" s="368" t="s">
        <v>2036</v>
      </c>
      <c r="J1233" s="368" t="s">
        <v>1442</v>
      </c>
      <c r="K1233" s="368" t="s">
        <v>2036</v>
      </c>
      <c r="L1233" s="368" t="s">
        <v>1442</v>
      </c>
      <c r="M1233" s="368" t="s">
        <v>1376</v>
      </c>
      <c r="N1233" s="368" t="s">
        <v>867</v>
      </c>
      <c r="O1233" s="376">
        <v>89180</v>
      </c>
      <c r="P1233" s="368" t="s">
        <v>1385</v>
      </c>
      <c r="Q1233" s="368" t="s">
        <v>1386</v>
      </c>
      <c r="R1233" s="368" t="s">
        <v>867</v>
      </c>
      <c r="S1233" s="368" t="s">
        <v>864</v>
      </c>
      <c r="T1233" s="368" t="s">
        <v>362</v>
      </c>
      <c r="U1233" s="368" t="s">
        <v>867</v>
      </c>
      <c r="V1233" s="368" t="s">
        <v>867</v>
      </c>
      <c r="W1233" s="368" t="s">
        <v>1378</v>
      </c>
      <c r="X1233" s="368">
        <v>0</v>
      </c>
      <c r="Y1233" s="368">
        <v>99</v>
      </c>
      <c r="Z1233" s="368"/>
      <c r="AA1233" s="368"/>
      <c r="AB1233" s="368"/>
      <c r="AC1233" s="368"/>
      <c r="AD1233" s="368"/>
      <c r="AE1233" s="368"/>
      <c r="AF1233" s="377"/>
      <c r="AJ1233" s="337">
        <v>213</v>
      </c>
    </row>
    <row r="1234" spans="1:36">
      <c r="A1234" s="332">
        <f t="shared" si="45"/>
        <v>214</v>
      </c>
      <c r="G1234" s="349" t="s">
        <v>2037</v>
      </c>
      <c r="H1234" s="368" t="s">
        <v>2038</v>
      </c>
      <c r="I1234" s="368" t="s">
        <v>2039</v>
      </c>
      <c r="J1234" s="368" t="s">
        <v>1375</v>
      </c>
      <c r="K1234" s="368" t="s">
        <v>2039</v>
      </c>
      <c r="L1234" s="368" t="s">
        <v>1375</v>
      </c>
      <c r="M1234" s="368" t="s">
        <v>1376</v>
      </c>
      <c r="N1234" s="368" t="s">
        <v>867</v>
      </c>
      <c r="O1234" s="376">
        <v>53193</v>
      </c>
      <c r="P1234" s="368" t="s">
        <v>1385</v>
      </c>
      <c r="Q1234" s="368" t="s">
        <v>1386</v>
      </c>
      <c r="R1234" s="368" t="s">
        <v>867</v>
      </c>
      <c r="S1234" s="368" t="s">
        <v>864</v>
      </c>
      <c r="T1234" s="368" t="s">
        <v>362</v>
      </c>
      <c r="U1234" s="368" t="s">
        <v>867</v>
      </c>
      <c r="V1234" s="368" t="s">
        <v>867</v>
      </c>
      <c r="W1234" s="368" t="s">
        <v>1378</v>
      </c>
      <c r="X1234" s="368">
        <v>2380</v>
      </c>
      <c r="Y1234" s="368">
        <v>99</v>
      </c>
      <c r="Z1234" s="368"/>
      <c r="AA1234" s="368"/>
      <c r="AB1234" s="368"/>
      <c r="AC1234" s="368"/>
      <c r="AD1234" s="368"/>
      <c r="AE1234" s="368"/>
      <c r="AF1234" s="377"/>
      <c r="AJ1234" s="337">
        <v>214</v>
      </c>
    </row>
    <row r="1235" spans="1:36">
      <c r="A1235" s="332">
        <f t="shared" si="45"/>
        <v>215</v>
      </c>
      <c r="G1235" s="349" t="s">
        <v>2040</v>
      </c>
      <c r="H1235" s="368" t="s">
        <v>2041</v>
      </c>
      <c r="I1235" s="368" t="s">
        <v>2042</v>
      </c>
      <c r="J1235" s="368" t="s">
        <v>1375</v>
      </c>
      <c r="K1235" s="368" t="s">
        <v>2042</v>
      </c>
      <c r="L1235" s="368" t="s">
        <v>1375</v>
      </c>
      <c r="M1235" s="368" t="s">
        <v>1384</v>
      </c>
      <c r="N1235" s="368" t="s">
        <v>867</v>
      </c>
      <c r="O1235" s="376">
        <v>74642</v>
      </c>
      <c r="P1235" s="368" t="s">
        <v>339</v>
      </c>
      <c r="Q1235" s="368" t="s">
        <v>1688</v>
      </c>
      <c r="R1235" s="368" t="s">
        <v>867</v>
      </c>
      <c r="S1235" s="368" t="s">
        <v>864</v>
      </c>
      <c r="T1235" s="368" t="s">
        <v>362</v>
      </c>
      <c r="U1235" s="368" t="s">
        <v>867</v>
      </c>
      <c r="V1235" s="368" t="s">
        <v>867</v>
      </c>
      <c r="W1235" s="368" t="s">
        <v>1378</v>
      </c>
      <c r="X1235" s="368">
        <v>750</v>
      </c>
      <c r="Y1235" s="368">
        <v>99</v>
      </c>
      <c r="Z1235" s="368"/>
      <c r="AA1235" s="368"/>
      <c r="AB1235" s="368"/>
      <c r="AC1235" s="368"/>
      <c r="AD1235" s="368"/>
      <c r="AE1235" s="368"/>
      <c r="AF1235" s="377"/>
      <c r="AJ1235" s="337">
        <v>215</v>
      </c>
    </row>
    <row r="1236" spans="1:36">
      <c r="A1236" s="332">
        <f t="shared" si="45"/>
        <v>216</v>
      </c>
      <c r="G1236" s="349" t="s">
        <v>2043</v>
      </c>
      <c r="H1236" s="368" t="s">
        <v>2044</v>
      </c>
      <c r="I1236" s="368" t="s">
        <v>2045</v>
      </c>
      <c r="J1236" s="368" t="s">
        <v>1399</v>
      </c>
      <c r="K1236" s="368" t="s">
        <v>2045</v>
      </c>
      <c r="L1236" s="368" t="s">
        <v>1399</v>
      </c>
      <c r="M1236" s="368" t="s">
        <v>1376</v>
      </c>
      <c r="N1236" s="368" t="s">
        <v>867</v>
      </c>
      <c r="O1236" s="376">
        <v>63834</v>
      </c>
      <c r="P1236" s="368" t="s">
        <v>339</v>
      </c>
      <c r="Q1236" s="368" t="s">
        <v>1386</v>
      </c>
      <c r="R1236" s="368" t="s">
        <v>867</v>
      </c>
      <c r="S1236" s="368" t="s">
        <v>864</v>
      </c>
      <c r="T1236" s="368" t="s">
        <v>362</v>
      </c>
      <c r="U1236" s="368" t="s">
        <v>867</v>
      </c>
      <c r="V1236" s="368" t="s">
        <v>867</v>
      </c>
      <c r="W1236" s="368" t="s">
        <v>1378</v>
      </c>
      <c r="X1236" s="368">
        <v>0</v>
      </c>
      <c r="Y1236" s="368">
        <v>99</v>
      </c>
      <c r="Z1236" s="368"/>
      <c r="AA1236" s="368"/>
      <c r="AB1236" s="368"/>
      <c r="AC1236" s="368"/>
      <c r="AD1236" s="368"/>
      <c r="AE1236" s="368"/>
      <c r="AF1236" s="377"/>
      <c r="AJ1236" s="337">
        <v>216</v>
      </c>
    </row>
    <row r="1237" spans="1:36">
      <c r="A1237" s="332">
        <f t="shared" si="45"/>
        <v>217</v>
      </c>
      <c r="G1237" s="349" t="s">
        <v>2046</v>
      </c>
      <c r="H1237" s="368" t="s">
        <v>2047</v>
      </c>
      <c r="I1237" s="368" t="s">
        <v>1891</v>
      </c>
      <c r="J1237" s="368" t="s">
        <v>1510</v>
      </c>
      <c r="K1237" s="368" t="s">
        <v>2048</v>
      </c>
      <c r="L1237" s="368" t="s">
        <v>1375</v>
      </c>
      <c r="M1237" s="368" t="s">
        <v>1384</v>
      </c>
      <c r="N1237" s="368" t="s">
        <v>867</v>
      </c>
      <c r="O1237" s="376">
        <v>57344</v>
      </c>
      <c r="P1237" s="368" t="s">
        <v>1385</v>
      </c>
      <c r="Q1237" s="368" t="s">
        <v>1443</v>
      </c>
      <c r="R1237" s="368" t="s">
        <v>867</v>
      </c>
      <c r="S1237" s="368" t="s">
        <v>864</v>
      </c>
      <c r="T1237" s="368" t="s">
        <v>1387</v>
      </c>
      <c r="U1237" s="368" t="s">
        <v>867</v>
      </c>
      <c r="V1237" s="368" t="s">
        <v>867</v>
      </c>
      <c r="W1237" s="368" t="s">
        <v>1378</v>
      </c>
      <c r="X1237" s="368">
        <v>4260</v>
      </c>
      <c r="Y1237" s="368">
        <v>99</v>
      </c>
      <c r="Z1237" s="368"/>
      <c r="AA1237" s="368"/>
      <c r="AB1237" s="368"/>
      <c r="AC1237" s="368"/>
      <c r="AD1237" s="368"/>
      <c r="AE1237" s="368"/>
      <c r="AF1237" s="377"/>
      <c r="AJ1237" s="337">
        <v>217</v>
      </c>
    </row>
    <row r="1238" spans="1:36">
      <c r="A1238" s="332">
        <f t="shared" si="45"/>
        <v>218</v>
      </c>
      <c r="G1238" s="349" t="s">
        <v>2049</v>
      </c>
      <c r="H1238" s="368" t="s">
        <v>2050</v>
      </c>
      <c r="I1238" s="368" t="s">
        <v>2051</v>
      </c>
      <c r="J1238" s="368" t="s">
        <v>1375</v>
      </c>
      <c r="K1238" s="368" t="s">
        <v>2051</v>
      </c>
      <c r="L1238" s="368" t="s">
        <v>1375</v>
      </c>
      <c r="M1238" s="368" t="s">
        <v>1376</v>
      </c>
      <c r="N1238" s="368" t="s">
        <v>867</v>
      </c>
      <c r="O1238" s="376">
        <v>50402</v>
      </c>
      <c r="P1238" s="368" t="s">
        <v>339</v>
      </c>
      <c r="Q1238" s="368" t="s">
        <v>1386</v>
      </c>
      <c r="R1238" s="368" t="s">
        <v>867</v>
      </c>
      <c r="S1238" s="368" t="s">
        <v>864</v>
      </c>
      <c r="T1238" s="368" t="s">
        <v>362</v>
      </c>
      <c r="U1238" s="368" t="s">
        <v>867</v>
      </c>
      <c r="V1238" s="368" t="s">
        <v>867</v>
      </c>
      <c r="W1238" s="368" t="s">
        <v>1378</v>
      </c>
      <c r="X1238" s="368">
        <v>0</v>
      </c>
      <c r="Y1238" s="368">
        <v>99</v>
      </c>
      <c r="Z1238" s="368"/>
      <c r="AA1238" s="368"/>
      <c r="AB1238" s="368"/>
      <c r="AC1238" s="368"/>
      <c r="AD1238" s="368"/>
      <c r="AE1238" s="368"/>
      <c r="AF1238" s="377"/>
      <c r="AJ1238" s="337">
        <v>218</v>
      </c>
    </row>
    <row r="1239" spans="1:36">
      <c r="A1239" s="332">
        <f t="shared" si="45"/>
        <v>219</v>
      </c>
      <c r="G1239" s="349" t="s">
        <v>2052</v>
      </c>
      <c r="H1239" s="368" t="s">
        <v>2053</v>
      </c>
      <c r="I1239" s="368" t="s">
        <v>2054</v>
      </c>
      <c r="J1239" s="368" t="s">
        <v>1375</v>
      </c>
      <c r="K1239" s="368" t="s">
        <v>2054</v>
      </c>
      <c r="L1239" s="368" t="s">
        <v>1375</v>
      </c>
      <c r="M1239" s="368" t="s">
        <v>1376</v>
      </c>
      <c r="N1239" s="368" t="s">
        <v>867</v>
      </c>
      <c r="O1239" s="376">
        <v>61919</v>
      </c>
      <c r="P1239" s="368" t="s">
        <v>1385</v>
      </c>
      <c r="Q1239" s="368" t="s">
        <v>1386</v>
      </c>
      <c r="R1239" s="368" t="s">
        <v>867</v>
      </c>
      <c r="S1239" s="368" t="s">
        <v>864</v>
      </c>
      <c r="T1239" s="368" t="s">
        <v>1590</v>
      </c>
      <c r="U1239" s="368" t="s">
        <v>867</v>
      </c>
      <c r="V1239" s="368" t="s">
        <v>867</v>
      </c>
      <c r="W1239" s="368" t="s">
        <v>1378</v>
      </c>
      <c r="X1239" s="368">
        <v>0</v>
      </c>
      <c r="Y1239" s="368">
        <v>99</v>
      </c>
      <c r="Z1239" s="368"/>
      <c r="AA1239" s="368"/>
      <c r="AB1239" s="368"/>
      <c r="AC1239" s="368"/>
      <c r="AD1239" s="368"/>
      <c r="AE1239" s="368"/>
      <c r="AF1239" s="377"/>
      <c r="AJ1239" s="337">
        <v>219</v>
      </c>
    </row>
    <row r="1240" spans="1:36">
      <c r="A1240" s="332">
        <f t="shared" si="45"/>
        <v>220</v>
      </c>
      <c r="G1240" s="349" t="s">
        <v>2055</v>
      </c>
      <c r="H1240" s="368" t="s">
        <v>2056</v>
      </c>
      <c r="I1240" s="368" t="s">
        <v>2057</v>
      </c>
      <c r="J1240" s="368" t="s">
        <v>1375</v>
      </c>
      <c r="K1240" s="368" t="s">
        <v>2057</v>
      </c>
      <c r="L1240" s="368" t="s">
        <v>1375</v>
      </c>
      <c r="M1240" s="368" t="s">
        <v>1384</v>
      </c>
      <c r="N1240" s="368" t="s">
        <v>867</v>
      </c>
      <c r="O1240" s="376">
        <v>47073</v>
      </c>
      <c r="P1240" s="368" t="s">
        <v>1385</v>
      </c>
      <c r="Q1240" s="368" t="s">
        <v>1386</v>
      </c>
      <c r="R1240" s="368" t="s">
        <v>867</v>
      </c>
      <c r="S1240" s="368" t="s">
        <v>864</v>
      </c>
      <c r="T1240" s="368" t="s">
        <v>362</v>
      </c>
      <c r="U1240" s="368" t="s">
        <v>867</v>
      </c>
      <c r="V1240" s="368" t="s">
        <v>867</v>
      </c>
      <c r="W1240" s="368" t="s">
        <v>1378</v>
      </c>
      <c r="X1240" s="368">
        <v>0</v>
      </c>
      <c r="Y1240" s="368">
        <v>99</v>
      </c>
      <c r="Z1240" s="368"/>
      <c r="AA1240" s="368"/>
      <c r="AB1240" s="368"/>
      <c r="AC1240" s="368"/>
      <c r="AD1240" s="368"/>
      <c r="AE1240" s="368"/>
      <c r="AF1240" s="377"/>
      <c r="AJ1240" s="337">
        <v>220</v>
      </c>
    </row>
    <row r="1241" spans="1:36">
      <c r="A1241" s="332">
        <f t="shared" si="45"/>
        <v>221</v>
      </c>
      <c r="G1241" s="349" t="s">
        <v>2058</v>
      </c>
      <c r="H1241" s="368" t="s">
        <v>2059</v>
      </c>
      <c r="I1241" s="368" t="s">
        <v>1940</v>
      </c>
      <c r="J1241" s="368" t="s">
        <v>1375</v>
      </c>
      <c r="K1241" s="368" t="s">
        <v>1940</v>
      </c>
      <c r="L1241" s="368" t="s">
        <v>1375</v>
      </c>
      <c r="M1241" s="368" t="s">
        <v>1384</v>
      </c>
      <c r="N1241" s="368" t="s">
        <v>867</v>
      </c>
      <c r="O1241" s="376">
        <v>70282</v>
      </c>
      <c r="P1241" s="368" t="s">
        <v>1385</v>
      </c>
      <c r="Q1241" s="368" t="s">
        <v>1386</v>
      </c>
      <c r="R1241" s="368" t="s">
        <v>867</v>
      </c>
      <c r="S1241" s="368" t="s">
        <v>864</v>
      </c>
      <c r="T1241" s="368" t="s">
        <v>362</v>
      </c>
      <c r="U1241" s="368" t="s">
        <v>867</v>
      </c>
      <c r="V1241" s="368" t="s">
        <v>867</v>
      </c>
      <c r="W1241" s="368" t="s">
        <v>1378</v>
      </c>
      <c r="X1241" s="368">
        <v>0</v>
      </c>
      <c r="Y1241" s="368">
        <v>99</v>
      </c>
      <c r="Z1241" s="368"/>
      <c r="AA1241" s="368"/>
      <c r="AB1241" s="368"/>
      <c r="AC1241" s="368"/>
      <c r="AD1241" s="368"/>
      <c r="AE1241" s="368"/>
      <c r="AF1241" s="377"/>
      <c r="AJ1241" s="337">
        <v>221</v>
      </c>
    </row>
    <row r="1242" spans="1:36">
      <c r="A1242" s="332">
        <f t="shared" si="45"/>
        <v>222</v>
      </c>
      <c r="G1242" s="349" t="s">
        <v>2060</v>
      </c>
      <c r="H1242" s="368" t="s">
        <v>2061</v>
      </c>
      <c r="I1242" s="368" t="s">
        <v>2062</v>
      </c>
      <c r="J1242" s="368" t="s">
        <v>1399</v>
      </c>
      <c r="K1242" s="368" t="s">
        <v>2062</v>
      </c>
      <c r="L1242" s="368" t="s">
        <v>1399</v>
      </c>
      <c r="M1242" s="368" t="s">
        <v>1376</v>
      </c>
      <c r="N1242" s="368" t="s">
        <v>867</v>
      </c>
      <c r="O1242" s="376">
        <v>10579</v>
      </c>
      <c r="P1242" s="368" t="s">
        <v>1385</v>
      </c>
      <c r="Q1242" s="368" t="s">
        <v>1386</v>
      </c>
      <c r="R1242" s="368" t="s">
        <v>867</v>
      </c>
      <c r="S1242" s="368" t="s">
        <v>864</v>
      </c>
      <c r="T1242" s="368" t="s">
        <v>1387</v>
      </c>
      <c r="U1242" s="368" t="s">
        <v>867</v>
      </c>
      <c r="V1242" s="368" t="s">
        <v>867</v>
      </c>
      <c r="W1242" s="368" t="s">
        <v>1378</v>
      </c>
      <c r="X1242" s="368">
        <v>0</v>
      </c>
      <c r="Y1242" s="368">
        <v>99</v>
      </c>
      <c r="Z1242" s="368"/>
      <c r="AA1242" s="368"/>
      <c r="AB1242" s="368"/>
      <c r="AC1242" s="368"/>
      <c r="AD1242" s="368"/>
      <c r="AE1242" s="368"/>
      <c r="AF1242" s="377"/>
      <c r="AJ1242" s="337">
        <v>222</v>
      </c>
    </row>
    <row r="1243" spans="1:36">
      <c r="A1243" s="332">
        <f t="shared" si="45"/>
        <v>223</v>
      </c>
      <c r="G1243" s="349" t="s">
        <v>2063</v>
      </c>
      <c r="H1243" s="368" t="s">
        <v>2064</v>
      </c>
      <c r="I1243" s="368" t="s">
        <v>2065</v>
      </c>
      <c r="J1243" s="368" t="s">
        <v>1399</v>
      </c>
      <c r="K1243" s="368" t="s">
        <v>2065</v>
      </c>
      <c r="L1243" s="368" t="s">
        <v>1399</v>
      </c>
      <c r="M1243" s="368" t="s">
        <v>1376</v>
      </c>
      <c r="N1243" s="368" t="s">
        <v>867</v>
      </c>
      <c r="O1243" s="376">
        <v>58458</v>
      </c>
      <c r="P1243" s="368" t="s">
        <v>1385</v>
      </c>
      <c r="Q1243" s="368" t="s">
        <v>1386</v>
      </c>
      <c r="R1243" s="368" t="s">
        <v>867</v>
      </c>
      <c r="S1243" s="368" t="s">
        <v>864</v>
      </c>
      <c r="T1243" s="368" t="s">
        <v>362</v>
      </c>
      <c r="U1243" s="368" t="s">
        <v>867</v>
      </c>
      <c r="V1243" s="368" t="s">
        <v>867</v>
      </c>
      <c r="W1243" s="368" t="s">
        <v>1378</v>
      </c>
      <c r="X1243" s="368">
        <v>0</v>
      </c>
      <c r="Y1243" s="368">
        <v>99</v>
      </c>
      <c r="Z1243" s="368"/>
      <c r="AA1243" s="368"/>
      <c r="AB1243" s="368"/>
      <c r="AC1243" s="368"/>
      <c r="AD1243" s="368"/>
      <c r="AE1243" s="368"/>
      <c r="AF1243" s="377"/>
      <c r="AJ1243" s="337">
        <v>223</v>
      </c>
    </row>
    <row r="1244" spans="1:36">
      <c r="A1244" s="332">
        <f t="shared" si="45"/>
        <v>224</v>
      </c>
      <c r="G1244" s="349" t="s">
        <v>2066</v>
      </c>
      <c r="H1244" s="368" t="s">
        <v>2067</v>
      </c>
      <c r="I1244" s="368" t="s">
        <v>1882</v>
      </c>
      <c r="J1244" s="368" t="s">
        <v>1375</v>
      </c>
      <c r="K1244" s="368" t="s">
        <v>1882</v>
      </c>
      <c r="L1244" s="368" t="s">
        <v>1375</v>
      </c>
      <c r="M1244" s="368" t="s">
        <v>1384</v>
      </c>
      <c r="N1244" s="368" t="s">
        <v>867</v>
      </c>
      <c r="O1244" s="376">
        <v>12781</v>
      </c>
      <c r="P1244" s="368" t="s">
        <v>1385</v>
      </c>
      <c r="Q1244" s="368" t="s">
        <v>1386</v>
      </c>
      <c r="R1244" s="368" t="s">
        <v>867</v>
      </c>
      <c r="S1244" s="368" t="s">
        <v>867</v>
      </c>
      <c r="T1244" s="368" t="s">
        <v>362</v>
      </c>
      <c r="U1244" s="368" t="s">
        <v>867</v>
      </c>
      <c r="V1244" s="368" t="s">
        <v>867</v>
      </c>
      <c r="W1244" s="368" t="s">
        <v>1378</v>
      </c>
      <c r="X1244" s="368">
        <v>0</v>
      </c>
      <c r="Y1244" s="368">
        <v>99</v>
      </c>
      <c r="Z1244" s="368"/>
      <c r="AA1244" s="368"/>
      <c r="AB1244" s="368"/>
      <c r="AC1244" s="368"/>
      <c r="AD1244" s="368"/>
      <c r="AE1244" s="368"/>
      <c r="AF1244" s="377"/>
      <c r="AJ1244" s="337">
        <v>224</v>
      </c>
    </row>
    <row r="1245" spans="1:36">
      <c r="A1245" s="332">
        <f t="shared" si="45"/>
        <v>225</v>
      </c>
      <c r="G1245" s="349" t="s">
        <v>2068</v>
      </c>
      <c r="H1245" s="368" t="s">
        <v>2069</v>
      </c>
      <c r="I1245" s="368" t="s">
        <v>1786</v>
      </c>
      <c r="J1245" s="368" t="s">
        <v>1375</v>
      </c>
      <c r="K1245" s="368" t="s">
        <v>1786</v>
      </c>
      <c r="L1245" s="368" t="s">
        <v>1375</v>
      </c>
      <c r="M1245" s="368" t="s">
        <v>1384</v>
      </c>
      <c r="N1245" s="368" t="s">
        <v>867</v>
      </c>
      <c r="O1245" s="376">
        <v>77184</v>
      </c>
      <c r="P1245" s="368" t="s">
        <v>1385</v>
      </c>
      <c r="Q1245" s="368" t="s">
        <v>1386</v>
      </c>
      <c r="R1245" s="368" t="s">
        <v>867</v>
      </c>
      <c r="S1245" s="368" t="s">
        <v>864</v>
      </c>
      <c r="T1245" s="368" t="s">
        <v>362</v>
      </c>
      <c r="U1245" s="368" t="s">
        <v>867</v>
      </c>
      <c r="V1245" s="368" t="s">
        <v>867</v>
      </c>
      <c r="W1245" s="368" t="s">
        <v>1378</v>
      </c>
      <c r="X1245" s="368">
        <v>1800</v>
      </c>
      <c r="Y1245" s="368">
        <v>99</v>
      </c>
      <c r="Z1245" s="368"/>
      <c r="AA1245" s="368"/>
      <c r="AB1245" s="368"/>
      <c r="AC1245" s="368"/>
      <c r="AD1245" s="368"/>
      <c r="AE1245" s="368"/>
      <c r="AF1245" s="377"/>
      <c r="AJ1245" s="337">
        <v>225</v>
      </c>
    </row>
    <row r="1246" spans="1:36">
      <c r="A1246" s="332">
        <f t="shared" si="45"/>
        <v>226</v>
      </c>
      <c r="G1246" s="349" t="s">
        <v>2070</v>
      </c>
      <c r="H1246" s="368" t="s">
        <v>2071</v>
      </c>
      <c r="I1246" s="368" t="s">
        <v>2072</v>
      </c>
      <c r="J1246" s="368" t="s">
        <v>1375</v>
      </c>
      <c r="K1246" s="368" t="s">
        <v>2072</v>
      </c>
      <c r="L1246" s="368" t="s">
        <v>1375</v>
      </c>
      <c r="M1246" s="368" t="s">
        <v>1376</v>
      </c>
      <c r="N1246" s="368" t="s">
        <v>867</v>
      </c>
      <c r="O1246" s="376">
        <v>78208</v>
      </c>
      <c r="P1246" s="368" t="s">
        <v>1385</v>
      </c>
      <c r="Q1246" s="368" t="s">
        <v>1386</v>
      </c>
      <c r="R1246" s="368" t="s">
        <v>867</v>
      </c>
      <c r="S1246" s="368" t="s">
        <v>864</v>
      </c>
      <c r="T1246" s="368" t="s">
        <v>362</v>
      </c>
      <c r="U1246" s="368" t="s">
        <v>867</v>
      </c>
      <c r="V1246" s="368" t="s">
        <v>867</v>
      </c>
      <c r="W1246" s="368" t="s">
        <v>1378</v>
      </c>
      <c r="X1246" s="368">
        <v>0</v>
      </c>
      <c r="Y1246" s="368">
        <v>99</v>
      </c>
      <c r="Z1246" s="368"/>
      <c r="AA1246" s="368"/>
      <c r="AB1246" s="368"/>
      <c r="AC1246" s="368"/>
      <c r="AD1246" s="368"/>
      <c r="AE1246" s="368"/>
      <c r="AF1246" s="377"/>
      <c r="AJ1246" s="337">
        <v>226</v>
      </c>
    </row>
    <row r="1247" spans="1:36">
      <c r="A1247" s="332">
        <f t="shared" si="45"/>
        <v>227</v>
      </c>
      <c r="G1247" s="349" t="s">
        <v>2073</v>
      </c>
      <c r="H1247" s="368" t="s">
        <v>2074</v>
      </c>
      <c r="I1247" s="368" t="s">
        <v>2075</v>
      </c>
      <c r="J1247" s="368" t="s">
        <v>1522</v>
      </c>
      <c r="K1247" s="368" t="s">
        <v>2075</v>
      </c>
      <c r="L1247" s="368" t="s">
        <v>1522</v>
      </c>
      <c r="M1247" s="368" t="s">
        <v>1384</v>
      </c>
      <c r="N1247" s="368" t="s">
        <v>867</v>
      </c>
      <c r="O1247" s="376">
        <v>30724</v>
      </c>
      <c r="P1247" s="368" t="s">
        <v>1385</v>
      </c>
      <c r="Q1247" s="368" t="s">
        <v>1443</v>
      </c>
      <c r="R1247" s="368" t="s">
        <v>867</v>
      </c>
      <c r="S1247" s="368" t="s">
        <v>864</v>
      </c>
      <c r="T1247" s="368" t="s">
        <v>362</v>
      </c>
      <c r="U1247" s="368" t="s">
        <v>867</v>
      </c>
      <c r="V1247" s="368" t="s">
        <v>867</v>
      </c>
      <c r="W1247" s="368" t="s">
        <v>1378</v>
      </c>
      <c r="X1247" s="368">
        <v>1950</v>
      </c>
      <c r="Y1247" s="368">
        <v>99</v>
      </c>
      <c r="Z1247" s="368"/>
      <c r="AA1247" s="368"/>
      <c r="AB1247" s="368"/>
      <c r="AC1247" s="368"/>
      <c r="AD1247" s="368"/>
      <c r="AE1247" s="368"/>
      <c r="AF1247" s="377"/>
      <c r="AJ1247" s="337">
        <v>227</v>
      </c>
    </row>
    <row r="1248" spans="1:36">
      <c r="A1248" s="332">
        <f t="shared" si="45"/>
        <v>228</v>
      </c>
      <c r="G1248" s="349" t="s">
        <v>2076</v>
      </c>
      <c r="H1248" s="368" t="s">
        <v>2077</v>
      </c>
      <c r="I1248" s="368" t="s">
        <v>2078</v>
      </c>
      <c r="J1248" s="368" t="s">
        <v>1375</v>
      </c>
      <c r="K1248" s="368" t="s">
        <v>2078</v>
      </c>
      <c r="L1248" s="368" t="s">
        <v>1375</v>
      </c>
      <c r="M1248" s="368" t="s">
        <v>1384</v>
      </c>
      <c r="N1248" s="368" t="s">
        <v>867</v>
      </c>
      <c r="O1248" s="376">
        <v>52351</v>
      </c>
      <c r="P1248" s="368" t="s">
        <v>1385</v>
      </c>
      <c r="Q1248" s="368" t="s">
        <v>1386</v>
      </c>
      <c r="R1248" s="368" t="s">
        <v>867</v>
      </c>
      <c r="S1248" s="368" t="s">
        <v>864</v>
      </c>
      <c r="T1248" s="368" t="s">
        <v>362</v>
      </c>
      <c r="U1248" s="368" t="s">
        <v>867</v>
      </c>
      <c r="V1248" s="368" t="s">
        <v>867</v>
      </c>
      <c r="W1248" s="368" t="s">
        <v>1378</v>
      </c>
      <c r="X1248" s="368">
        <v>2130</v>
      </c>
      <c r="Y1248" s="368">
        <v>99</v>
      </c>
      <c r="Z1248" s="368"/>
      <c r="AA1248" s="368"/>
      <c r="AB1248" s="368"/>
      <c r="AC1248" s="368"/>
      <c r="AD1248" s="368"/>
      <c r="AE1248" s="368"/>
      <c r="AF1248" s="377"/>
      <c r="AJ1248" s="337">
        <v>228</v>
      </c>
    </row>
    <row r="1249" spans="1:36">
      <c r="A1249" s="332">
        <f t="shared" si="45"/>
        <v>229</v>
      </c>
      <c r="G1249" s="349" t="s">
        <v>2079</v>
      </c>
      <c r="H1249" s="368" t="s">
        <v>2080</v>
      </c>
      <c r="I1249" s="368" t="s">
        <v>2081</v>
      </c>
      <c r="J1249" s="368" t="s">
        <v>1399</v>
      </c>
      <c r="K1249" s="368" t="s">
        <v>2081</v>
      </c>
      <c r="L1249" s="368" t="s">
        <v>1399</v>
      </c>
      <c r="M1249" s="368" t="s">
        <v>1384</v>
      </c>
      <c r="N1249" s="368" t="s">
        <v>867</v>
      </c>
      <c r="O1249" s="376">
        <v>73776</v>
      </c>
      <c r="P1249" s="368" t="s">
        <v>339</v>
      </c>
      <c r="Q1249" s="368" t="s">
        <v>1443</v>
      </c>
      <c r="R1249" s="368" t="s">
        <v>867</v>
      </c>
      <c r="S1249" s="368" t="s">
        <v>864</v>
      </c>
      <c r="T1249" s="368" t="s">
        <v>362</v>
      </c>
      <c r="U1249" s="368" t="s">
        <v>867</v>
      </c>
      <c r="V1249" s="368" t="s">
        <v>867</v>
      </c>
      <c r="W1249" s="368" t="s">
        <v>1378</v>
      </c>
      <c r="X1249" s="368">
        <v>0</v>
      </c>
      <c r="Y1249" s="368">
        <v>99</v>
      </c>
      <c r="Z1249" s="368"/>
      <c r="AA1249" s="368"/>
      <c r="AB1249" s="368"/>
      <c r="AC1249" s="368"/>
      <c r="AD1249" s="368"/>
      <c r="AE1249" s="368"/>
      <c r="AF1249" s="377"/>
      <c r="AJ1249" s="337">
        <v>229</v>
      </c>
    </row>
    <row r="1250" spans="1:36">
      <c r="A1250" s="332">
        <f t="shared" si="45"/>
        <v>230</v>
      </c>
      <c r="G1250" s="349" t="s">
        <v>2082</v>
      </c>
      <c r="H1250" s="368" t="s">
        <v>2083</v>
      </c>
      <c r="I1250" s="368" t="s">
        <v>1457</v>
      </c>
      <c r="J1250" s="368" t="s">
        <v>1433</v>
      </c>
      <c r="K1250" s="368" t="s">
        <v>1457</v>
      </c>
      <c r="L1250" s="368" t="s">
        <v>1433</v>
      </c>
      <c r="M1250" s="368" t="s">
        <v>1384</v>
      </c>
      <c r="N1250" s="368" t="s">
        <v>867</v>
      </c>
      <c r="O1250" s="376">
        <v>59139</v>
      </c>
      <c r="P1250" s="368" t="s">
        <v>1385</v>
      </c>
      <c r="Q1250" s="368" t="s">
        <v>1443</v>
      </c>
      <c r="R1250" s="368" t="s">
        <v>867</v>
      </c>
      <c r="S1250" s="368" t="s">
        <v>864</v>
      </c>
      <c r="T1250" s="368" t="s">
        <v>362</v>
      </c>
      <c r="U1250" s="368" t="s">
        <v>867</v>
      </c>
      <c r="V1250" s="368" t="s">
        <v>867</v>
      </c>
      <c r="W1250" s="368" t="s">
        <v>1378</v>
      </c>
      <c r="X1250" s="368">
        <v>170</v>
      </c>
      <c r="Y1250" s="368">
        <v>99</v>
      </c>
      <c r="Z1250" s="368"/>
      <c r="AA1250" s="368"/>
      <c r="AB1250" s="368"/>
      <c r="AC1250" s="368"/>
      <c r="AD1250" s="368"/>
      <c r="AE1250" s="368"/>
      <c r="AF1250" s="377"/>
      <c r="AJ1250" s="337">
        <v>230</v>
      </c>
    </row>
    <row r="1251" spans="1:36">
      <c r="A1251" s="332">
        <f t="shared" si="45"/>
        <v>231</v>
      </c>
      <c r="G1251" s="349" t="s">
        <v>2084</v>
      </c>
      <c r="H1251" s="368" t="s">
        <v>2085</v>
      </c>
      <c r="I1251" s="368" t="s">
        <v>2086</v>
      </c>
      <c r="J1251" s="368" t="s">
        <v>1375</v>
      </c>
      <c r="K1251" s="368" t="s">
        <v>2086</v>
      </c>
      <c r="L1251" s="368" t="s">
        <v>1375</v>
      </c>
      <c r="M1251" s="368" t="s">
        <v>1384</v>
      </c>
      <c r="N1251" s="368" t="s">
        <v>867</v>
      </c>
      <c r="O1251" s="376">
        <v>37549</v>
      </c>
      <c r="P1251" s="368" t="s">
        <v>1385</v>
      </c>
      <c r="Q1251" s="368" t="s">
        <v>1386</v>
      </c>
      <c r="R1251" s="368" t="s">
        <v>867</v>
      </c>
      <c r="S1251" s="368" t="s">
        <v>864</v>
      </c>
      <c r="T1251" s="368" t="s">
        <v>362</v>
      </c>
      <c r="U1251" s="368" t="s">
        <v>867</v>
      </c>
      <c r="V1251" s="368" t="s">
        <v>867</v>
      </c>
      <c r="W1251" s="368" t="s">
        <v>1378</v>
      </c>
      <c r="X1251" s="368">
        <v>0</v>
      </c>
      <c r="Y1251" s="368">
        <v>99</v>
      </c>
      <c r="Z1251" s="368"/>
      <c r="AA1251" s="368"/>
      <c r="AB1251" s="368"/>
      <c r="AC1251" s="368"/>
      <c r="AD1251" s="368"/>
      <c r="AE1251" s="368"/>
      <c r="AF1251" s="377"/>
      <c r="AJ1251" s="337">
        <v>231</v>
      </c>
    </row>
    <row r="1252" spans="1:36">
      <c r="A1252" s="332">
        <f t="shared" si="45"/>
        <v>232</v>
      </c>
      <c r="G1252" s="349" t="s">
        <v>2087</v>
      </c>
      <c r="H1252" s="368" t="s">
        <v>2088</v>
      </c>
      <c r="I1252" s="368" t="s">
        <v>2089</v>
      </c>
      <c r="J1252" s="368" t="s">
        <v>1433</v>
      </c>
      <c r="K1252" s="368" t="s">
        <v>2090</v>
      </c>
      <c r="L1252" s="368" t="s">
        <v>1375</v>
      </c>
      <c r="M1252" s="368" t="s">
        <v>1384</v>
      </c>
      <c r="N1252" s="368" t="s">
        <v>867</v>
      </c>
      <c r="O1252" s="376">
        <v>19874</v>
      </c>
      <c r="P1252" s="368" t="s">
        <v>1385</v>
      </c>
      <c r="Q1252" s="368" t="s">
        <v>1443</v>
      </c>
      <c r="R1252" s="368" t="s">
        <v>867</v>
      </c>
      <c r="S1252" s="368" t="s">
        <v>864</v>
      </c>
      <c r="T1252" s="368" t="s">
        <v>362</v>
      </c>
      <c r="U1252" s="368" t="s">
        <v>867</v>
      </c>
      <c r="V1252" s="368" t="s">
        <v>867</v>
      </c>
      <c r="W1252" s="368" t="s">
        <v>1378</v>
      </c>
      <c r="X1252" s="368">
        <v>0</v>
      </c>
      <c r="Y1252" s="368">
        <v>99</v>
      </c>
      <c r="Z1252" s="368"/>
      <c r="AA1252" s="368"/>
      <c r="AB1252" s="368"/>
      <c r="AC1252" s="368"/>
      <c r="AD1252" s="368"/>
      <c r="AE1252" s="368"/>
      <c r="AF1252" s="377"/>
      <c r="AJ1252" s="337">
        <v>232</v>
      </c>
    </row>
    <row r="1253" spans="1:36">
      <c r="A1253" s="332">
        <f t="shared" si="45"/>
        <v>233</v>
      </c>
      <c r="G1253" s="349" t="s">
        <v>2091</v>
      </c>
      <c r="H1253" s="368" t="s">
        <v>2092</v>
      </c>
      <c r="I1253" s="368" t="s">
        <v>2093</v>
      </c>
      <c r="J1253" s="368" t="s">
        <v>1522</v>
      </c>
      <c r="K1253" s="368" t="s">
        <v>2094</v>
      </c>
      <c r="L1253" s="368" t="s">
        <v>1375</v>
      </c>
      <c r="M1253" s="368" t="s">
        <v>1384</v>
      </c>
      <c r="N1253" s="368" t="s">
        <v>867</v>
      </c>
      <c r="O1253" s="376">
        <v>61114</v>
      </c>
      <c r="P1253" s="368" t="s">
        <v>1385</v>
      </c>
      <c r="Q1253" s="368" t="s">
        <v>1386</v>
      </c>
      <c r="R1253" s="368" t="s">
        <v>867</v>
      </c>
      <c r="S1253" s="368" t="s">
        <v>864</v>
      </c>
      <c r="T1253" s="368" t="s">
        <v>1387</v>
      </c>
      <c r="U1253" s="368" t="s">
        <v>867</v>
      </c>
      <c r="V1253" s="368" t="s">
        <v>867</v>
      </c>
      <c r="W1253" s="368" t="s">
        <v>1378</v>
      </c>
      <c r="X1253" s="368">
        <v>300</v>
      </c>
      <c r="Y1253" s="368">
        <v>99</v>
      </c>
      <c r="Z1253" s="368"/>
      <c r="AA1253" s="368"/>
      <c r="AB1253" s="368"/>
      <c r="AC1253" s="368"/>
      <c r="AD1253" s="368"/>
      <c r="AE1253" s="368"/>
      <c r="AF1253" s="377"/>
      <c r="AJ1253" s="337">
        <v>233</v>
      </c>
    </row>
    <row r="1254" spans="1:36">
      <c r="A1254" s="332">
        <f t="shared" si="45"/>
        <v>234</v>
      </c>
      <c r="G1254" s="349" t="s">
        <v>2095</v>
      </c>
      <c r="H1254" s="368" t="s">
        <v>2096</v>
      </c>
      <c r="I1254" s="368" t="s">
        <v>2097</v>
      </c>
      <c r="J1254" s="368" t="s">
        <v>1442</v>
      </c>
      <c r="K1254" s="368" t="s">
        <v>2097</v>
      </c>
      <c r="L1254" s="368" t="s">
        <v>1442</v>
      </c>
      <c r="M1254" s="368" t="s">
        <v>1384</v>
      </c>
      <c r="N1254" s="368" t="s">
        <v>867</v>
      </c>
      <c r="O1254" s="376">
        <v>57300</v>
      </c>
      <c r="P1254" s="368" t="s">
        <v>1385</v>
      </c>
      <c r="Q1254" s="368" t="s">
        <v>1386</v>
      </c>
      <c r="R1254" s="368" t="s">
        <v>867</v>
      </c>
      <c r="S1254" s="368" t="s">
        <v>864</v>
      </c>
      <c r="T1254" s="368" t="s">
        <v>362</v>
      </c>
      <c r="U1254" s="368" t="s">
        <v>867</v>
      </c>
      <c r="V1254" s="368" t="s">
        <v>867</v>
      </c>
      <c r="W1254" s="368" t="s">
        <v>1378</v>
      </c>
      <c r="X1254" s="368">
        <v>0</v>
      </c>
      <c r="Y1254" s="368">
        <v>99</v>
      </c>
      <c r="Z1254" s="368"/>
      <c r="AA1254" s="368"/>
      <c r="AB1254" s="368"/>
      <c r="AC1254" s="368"/>
      <c r="AD1254" s="368"/>
      <c r="AE1254" s="368"/>
      <c r="AF1254" s="377"/>
      <c r="AJ1254" s="337">
        <v>234</v>
      </c>
    </row>
    <row r="1255" spans="1:36">
      <c r="A1255" s="332">
        <f t="shared" si="45"/>
        <v>235</v>
      </c>
      <c r="G1255" s="349" t="s">
        <v>2098</v>
      </c>
      <c r="H1255" s="368" t="s">
        <v>2099</v>
      </c>
      <c r="I1255" s="368" t="s">
        <v>2100</v>
      </c>
      <c r="J1255" s="368" t="s">
        <v>1399</v>
      </c>
      <c r="K1255" s="368" t="s">
        <v>2100</v>
      </c>
      <c r="L1255" s="368" t="s">
        <v>1399</v>
      </c>
      <c r="M1255" s="368" t="s">
        <v>1384</v>
      </c>
      <c r="N1255" s="368" t="s">
        <v>867</v>
      </c>
      <c r="O1255" s="376">
        <v>78150</v>
      </c>
      <c r="P1255" s="368" t="s">
        <v>1385</v>
      </c>
      <c r="Q1255" s="368" t="s">
        <v>1386</v>
      </c>
      <c r="R1255" s="368" t="s">
        <v>867</v>
      </c>
      <c r="S1255" s="368" t="s">
        <v>864</v>
      </c>
      <c r="T1255" s="368" t="s">
        <v>1387</v>
      </c>
      <c r="U1255" s="368" t="s">
        <v>867</v>
      </c>
      <c r="V1255" s="368" t="s">
        <v>867</v>
      </c>
      <c r="W1255" s="368" t="s">
        <v>1378</v>
      </c>
      <c r="X1255" s="368">
        <v>3235</v>
      </c>
      <c r="Y1255" s="368">
        <v>99</v>
      </c>
      <c r="Z1255" s="368"/>
      <c r="AA1255" s="368"/>
      <c r="AB1255" s="368"/>
      <c r="AC1255" s="368"/>
      <c r="AD1255" s="368"/>
      <c r="AE1255" s="368"/>
      <c r="AF1255" s="377"/>
      <c r="AJ1255" s="337">
        <v>235</v>
      </c>
    </row>
    <row r="1256" spans="1:36">
      <c r="A1256" s="332">
        <f t="shared" si="45"/>
        <v>236</v>
      </c>
      <c r="G1256" s="349" t="s">
        <v>2101</v>
      </c>
      <c r="H1256" s="368" t="s">
        <v>2102</v>
      </c>
      <c r="I1256" s="368" t="s">
        <v>2103</v>
      </c>
      <c r="J1256" s="368" t="s">
        <v>1375</v>
      </c>
      <c r="K1256" s="368" t="s">
        <v>2103</v>
      </c>
      <c r="L1256" s="368" t="s">
        <v>1375</v>
      </c>
      <c r="M1256" s="368" t="s">
        <v>1376</v>
      </c>
      <c r="N1256" s="368" t="s">
        <v>867</v>
      </c>
      <c r="O1256" s="376">
        <v>74564</v>
      </c>
      <c r="P1256" s="368" t="s">
        <v>1447</v>
      </c>
      <c r="Q1256" s="368" t="s">
        <v>1443</v>
      </c>
      <c r="R1256" s="368" t="s">
        <v>867</v>
      </c>
      <c r="S1256" s="368" t="s">
        <v>864</v>
      </c>
      <c r="T1256" s="368" t="s">
        <v>362</v>
      </c>
      <c r="U1256" s="368" t="s">
        <v>867</v>
      </c>
      <c r="V1256" s="368" t="s">
        <v>867</v>
      </c>
      <c r="W1256" s="368" t="s">
        <v>1378</v>
      </c>
      <c r="X1256" s="368">
        <v>0</v>
      </c>
      <c r="Y1256" s="368">
        <v>99</v>
      </c>
      <c r="Z1256" s="368"/>
      <c r="AA1256" s="368"/>
      <c r="AB1256" s="368"/>
      <c r="AC1256" s="368"/>
      <c r="AD1256" s="368"/>
      <c r="AE1256" s="368"/>
      <c r="AF1256" s="377"/>
      <c r="AJ1256" s="337">
        <v>236</v>
      </c>
    </row>
    <row r="1257" spans="1:36">
      <c r="A1257" s="332">
        <f t="shared" si="45"/>
        <v>237</v>
      </c>
      <c r="G1257" s="349" t="s">
        <v>2104</v>
      </c>
      <c r="H1257" s="368" t="s">
        <v>2105</v>
      </c>
      <c r="I1257" s="368" t="s">
        <v>2103</v>
      </c>
      <c r="J1257" s="368" t="s">
        <v>1375</v>
      </c>
      <c r="K1257" s="368" t="s">
        <v>2103</v>
      </c>
      <c r="L1257" s="368" t="s">
        <v>1375</v>
      </c>
      <c r="M1257" s="368" t="s">
        <v>1376</v>
      </c>
      <c r="N1257" s="368" t="s">
        <v>867</v>
      </c>
      <c r="O1257" s="376">
        <v>49769</v>
      </c>
      <c r="P1257" s="368" t="s">
        <v>339</v>
      </c>
      <c r="Q1257" s="368" t="s">
        <v>1443</v>
      </c>
      <c r="R1257" s="368" t="s">
        <v>867</v>
      </c>
      <c r="S1257" s="368" t="s">
        <v>864</v>
      </c>
      <c r="T1257" s="368" t="s">
        <v>362</v>
      </c>
      <c r="U1257" s="368" t="s">
        <v>867</v>
      </c>
      <c r="V1257" s="368" t="s">
        <v>867</v>
      </c>
      <c r="W1257" s="368" t="s">
        <v>1378</v>
      </c>
      <c r="X1257" s="368">
        <v>0</v>
      </c>
      <c r="Y1257" s="368">
        <v>99</v>
      </c>
      <c r="Z1257" s="368"/>
      <c r="AA1257" s="368"/>
      <c r="AB1257" s="368"/>
      <c r="AC1257" s="368"/>
      <c r="AD1257" s="368"/>
      <c r="AE1257" s="368"/>
      <c r="AF1257" s="377"/>
      <c r="AJ1257" s="337">
        <v>237</v>
      </c>
    </row>
    <row r="1258" spans="1:36">
      <c r="A1258" s="332">
        <f t="shared" si="45"/>
        <v>238</v>
      </c>
      <c r="G1258" s="349" t="s">
        <v>2106</v>
      </c>
      <c r="H1258" s="368" t="s">
        <v>2107</v>
      </c>
      <c r="I1258" s="368" t="s">
        <v>2108</v>
      </c>
      <c r="J1258" s="368" t="s">
        <v>1399</v>
      </c>
      <c r="K1258" s="368" t="s">
        <v>2108</v>
      </c>
      <c r="L1258" s="368" t="s">
        <v>1399</v>
      </c>
      <c r="M1258" s="368" t="s">
        <v>1384</v>
      </c>
      <c r="N1258" s="368" t="s">
        <v>867</v>
      </c>
      <c r="O1258" s="376">
        <v>4565</v>
      </c>
      <c r="P1258" s="368" t="s">
        <v>1385</v>
      </c>
      <c r="Q1258" s="368" t="s">
        <v>1386</v>
      </c>
      <c r="R1258" s="368" t="s">
        <v>867</v>
      </c>
      <c r="S1258" s="368" t="s">
        <v>864</v>
      </c>
      <c r="T1258" s="368" t="s">
        <v>362</v>
      </c>
      <c r="U1258" s="368" t="s">
        <v>867</v>
      </c>
      <c r="V1258" s="368" t="s">
        <v>867</v>
      </c>
      <c r="W1258" s="368" t="s">
        <v>1378</v>
      </c>
      <c r="X1258" s="368">
        <v>0</v>
      </c>
      <c r="Y1258" s="368">
        <v>99</v>
      </c>
      <c r="Z1258" s="368"/>
      <c r="AA1258" s="368"/>
      <c r="AB1258" s="368"/>
      <c r="AC1258" s="368"/>
      <c r="AD1258" s="368"/>
      <c r="AE1258" s="368"/>
      <c r="AF1258" s="377"/>
      <c r="AJ1258" s="337">
        <v>238</v>
      </c>
    </row>
    <row r="1259" spans="1:36">
      <c r="A1259" s="332">
        <f t="shared" si="45"/>
        <v>239</v>
      </c>
      <c r="G1259" s="349" t="s">
        <v>2109</v>
      </c>
      <c r="H1259" s="368" t="s">
        <v>2110</v>
      </c>
      <c r="I1259" s="368" t="s">
        <v>2111</v>
      </c>
      <c r="J1259" s="368" t="s">
        <v>1375</v>
      </c>
      <c r="K1259" s="368" t="s">
        <v>2111</v>
      </c>
      <c r="L1259" s="368" t="s">
        <v>1375</v>
      </c>
      <c r="M1259" s="368" t="s">
        <v>1376</v>
      </c>
      <c r="N1259" s="368" t="s">
        <v>867</v>
      </c>
      <c r="O1259" s="376">
        <v>64580</v>
      </c>
      <c r="P1259" s="368" t="s">
        <v>1385</v>
      </c>
      <c r="Q1259" s="368" t="s">
        <v>1386</v>
      </c>
      <c r="R1259" s="368" t="s">
        <v>867</v>
      </c>
      <c r="S1259" s="368" t="s">
        <v>864</v>
      </c>
      <c r="T1259" s="368" t="s">
        <v>362</v>
      </c>
      <c r="U1259" s="368" t="s">
        <v>867</v>
      </c>
      <c r="V1259" s="368" t="s">
        <v>867</v>
      </c>
      <c r="W1259" s="368" t="s">
        <v>1378</v>
      </c>
      <c r="X1259" s="368">
        <v>4125</v>
      </c>
      <c r="Y1259" s="368">
        <v>99</v>
      </c>
      <c r="Z1259" s="368"/>
      <c r="AA1259" s="368"/>
      <c r="AB1259" s="368"/>
      <c r="AC1259" s="368"/>
      <c r="AD1259" s="368"/>
      <c r="AE1259" s="368"/>
      <c r="AF1259" s="377"/>
      <c r="AJ1259" s="337">
        <v>239</v>
      </c>
    </row>
    <row r="1260" spans="1:36">
      <c r="A1260" s="332">
        <f t="shared" si="45"/>
        <v>240</v>
      </c>
      <c r="G1260" s="349" t="s">
        <v>2112</v>
      </c>
      <c r="H1260" s="368" t="s">
        <v>2113</v>
      </c>
      <c r="I1260" s="368" t="s">
        <v>2114</v>
      </c>
      <c r="J1260" s="368" t="s">
        <v>1399</v>
      </c>
      <c r="K1260" s="368" t="s">
        <v>2114</v>
      </c>
      <c r="L1260" s="368" t="s">
        <v>1399</v>
      </c>
      <c r="M1260" s="368" t="s">
        <v>1376</v>
      </c>
      <c r="N1260" s="368" t="s">
        <v>867</v>
      </c>
      <c r="O1260" s="376">
        <v>8036</v>
      </c>
      <c r="P1260" s="368" t="s">
        <v>1447</v>
      </c>
      <c r="Q1260" s="368" t="s">
        <v>1688</v>
      </c>
      <c r="R1260" s="368" t="s">
        <v>867</v>
      </c>
      <c r="S1260" s="368" t="s">
        <v>864</v>
      </c>
      <c r="T1260" s="368" t="s">
        <v>362</v>
      </c>
      <c r="U1260" s="368" t="s">
        <v>867</v>
      </c>
      <c r="V1260" s="368" t="s">
        <v>867</v>
      </c>
      <c r="W1260" s="368" t="s">
        <v>1378</v>
      </c>
      <c r="X1260" s="368">
        <v>0</v>
      </c>
      <c r="Y1260" s="368">
        <v>99</v>
      </c>
      <c r="Z1260" s="368"/>
      <c r="AA1260" s="368"/>
      <c r="AB1260" s="368"/>
      <c r="AC1260" s="368"/>
      <c r="AD1260" s="368"/>
      <c r="AE1260" s="368"/>
      <c r="AF1260" s="377"/>
      <c r="AJ1260" s="337">
        <v>240</v>
      </c>
    </row>
    <row r="1261" spans="1:36">
      <c r="A1261" s="332">
        <f t="shared" si="45"/>
        <v>241</v>
      </c>
      <c r="G1261" s="349" t="s">
        <v>2115</v>
      </c>
      <c r="H1261" s="368" t="s">
        <v>2116</v>
      </c>
      <c r="I1261" s="368" t="s">
        <v>2117</v>
      </c>
      <c r="J1261" s="368" t="s">
        <v>1442</v>
      </c>
      <c r="K1261" s="368" t="s">
        <v>2117</v>
      </c>
      <c r="L1261" s="368" t="s">
        <v>1442</v>
      </c>
      <c r="M1261" s="368" t="s">
        <v>1376</v>
      </c>
      <c r="N1261" s="368" t="s">
        <v>867</v>
      </c>
      <c r="O1261" s="376">
        <v>79177</v>
      </c>
      <c r="P1261" s="368" t="s">
        <v>1385</v>
      </c>
      <c r="Q1261" s="368" t="s">
        <v>1462</v>
      </c>
      <c r="R1261" s="368" t="s">
        <v>867</v>
      </c>
      <c r="S1261" s="368" t="s">
        <v>864</v>
      </c>
      <c r="T1261" s="368" t="s">
        <v>362</v>
      </c>
      <c r="U1261" s="368" t="s">
        <v>867</v>
      </c>
      <c r="V1261" s="368" t="s">
        <v>867</v>
      </c>
      <c r="W1261" s="368" t="s">
        <v>1378</v>
      </c>
      <c r="X1261" s="368">
        <v>0</v>
      </c>
      <c r="Y1261" s="368">
        <v>99</v>
      </c>
      <c r="Z1261" s="368"/>
      <c r="AA1261" s="368"/>
      <c r="AB1261" s="368"/>
      <c r="AC1261" s="368"/>
      <c r="AD1261" s="368"/>
      <c r="AE1261" s="368"/>
      <c r="AF1261" s="377"/>
      <c r="AJ1261" s="337">
        <v>241</v>
      </c>
    </row>
    <row r="1262" spans="1:36">
      <c r="A1262" s="332">
        <f t="shared" si="45"/>
        <v>242</v>
      </c>
      <c r="G1262" s="349" t="s">
        <v>2118</v>
      </c>
      <c r="H1262" s="368" t="s">
        <v>2119</v>
      </c>
      <c r="I1262" s="368" t="s">
        <v>2120</v>
      </c>
      <c r="J1262" s="368" t="s">
        <v>1375</v>
      </c>
      <c r="K1262" s="368" t="s">
        <v>2120</v>
      </c>
      <c r="L1262" s="368" t="s">
        <v>1375</v>
      </c>
      <c r="M1262" s="368" t="s">
        <v>1376</v>
      </c>
      <c r="N1262" s="368" t="s">
        <v>867</v>
      </c>
      <c r="O1262" s="376">
        <v>17370</v>
      </c>
      <c r="P1262" s="368" t="s">
        <v>1385</v>
      </c>
      <c r="Q1262" s="368" t="s">
        <v>1386</v>
      </c>
      <c r="R1262" s="368" t="s">
        <v>867</v>
      </c>
      <c r="S1262" s="368" t="s">
        <v>864</v>
      </c>
      <c r="T1262" s="368" t="s">
        <v>362</v>
      </c>
      <c r="U1262" s="368" t="s">
        <v>867</v>
      </c>
      <c r="V1262" s="368" t="s">
        <v>867</v>
      </c>
      <c r="W1262" s="368" t="s">
        <v>1378</v>
      </c>
      <c r="X1262" s="368">
        <v>0</v>
      </c>
      <c r="Y1262" s="368">
        <v>99</v>
      </c>
      <c r="Z1262" s="368"/>
      <c r="AA1262" s="368"/>
      <c r="AB1262" s="368"/>
      <c r="AC1262" s="368"/>
      <c r="AD1262" s="368"/>
      <c r="AE1262" s="368"/>
      <c r="AF1262" s="377"/>
      <c r="AJ1262" s="337">
        <v>242</v>
      </c>
    </row>
    <row r="1263" spans="1:36">
      <c r="A1263" s="332">
        <f t="shared" si="45"/>
        <v>243</v>
      </c>
      <c r="G1263" s="349" t="s">
        <v>2121</v>
      </c>
      <c r="H1263" s="368" t="s">
        <v>2122</v>
      </c>
      <c r="I1263" s="368" t="s">
        <v>2123</v>
      </c>
      <c r="J1263" s="368" t="s">
        <v>1375</v>
      </c>
      <c r="K1263" s="368" t="s">
        <v>2123</v>
      </c>
      <c r="L1263" s="368" t="s">
        <v>1375</v>
      </c>
      <c r="M1263" s="368" t="s">
        <v>1376</v>
      </c>
      <c r="N1263" s="368" t="s">
        <v>867</v>
      </c>
      <c r="O1263" s="376">
        <v>11732</v>
      </c>
      <c r="P1263" s="368" t="s">
        <v>1385</v>
      </c>
      <c r="Q1263" s="368" t="s">
        <v>1443</v>
      </c>
      <c r="R1263" s="368" t="s">
        <v>867</v>
      </c>
      <c r="S1263" s="368" t="s">
        <v>864</v>
      </c>
      <c r="T1263" s="368" t="s">
        <v>362</v>
      </c>
      <c r="U1263" s="368" t="s">
        <v>867</v>
      </c>
      <c r="V1263" s="368" t="s">
        <v>867</v>
      </c>
      <c r="W1263" s="368" t="s">
        <v>1378</v>
      </c>
      <c r="X1263" s="368">
        <v>0</v>
      </c>
      <c r="Y1263" s="368">
        <v>99</v>
      </c>
      <c r="Z1263" s="368"/>
      <c r="AA1263" s="368"/>
      <c r="AB1263" s="368"/>
      <c r="AC1263" s="368"/>
      <c r="AD1263" s="368"/>
      <c r="AE1263" s="368"/>
      <c r="AF1263" s="377"/>
      <c r="AJ1263" s="337">
        <v>243</v>
      </c>
    </row>
    <row r="1264" spans="1:36">
      <c r="A1264" s="332">
        <f t="shared" si="45"/>
        <v>244</v>
      </c>
      <c r="G1264" s="349" t="s">
        <v>2124</v>
      </c>
      <c r="H1264" s="368" t="s">
        <v>2125</v>
      </c>
      <c r="I1264" s="368" t="s">
        <v>2126</v>
      </c>
      <c r="J1264" s="368" t="s">
        <v>1382</v>
      </c>
      <c r="K1264" s="368" t="s">
        <v>2127</v>
      </c>
      <c r="L1264" s="368" t="s">
        <v>1375</v>
      </c>
      <c r="M1264" s="368" t="s">
        <v>1384</v>
      </c>
      <c r="N1264" s="368" t="s">
        <v>867</v>
      </c>
      <c r="O1264" s="376">
        <v>65021</v>
      </c>
      <c r="P1264" s="368" t="s">
        <v>1385</v>
      </c>
      <c r="Q1264" s="368" t="s">
        <v>1443</v>
      </c>
      <c r="R1264" s="368" t="s">
        <v>867</v>
      </c>
      <c r="S1264" s="368" t="s">
        <v>864</v>
      </c>
      <c r="T1264" s="368" t="s">
        <v>1387</v>
      </c>
      <c r="U1264" s="368" t="s">
        <v>867</v>
      </c>
      <c r="V1264" s="368" t="s">
        <v>867</v>
      </c>
      <c r="W1264" s="368" t="s">
        <v>1378</v>
      </c>
      <c r="X1264" s="368">
        <v>0</v>
      </c>
      <c r="Y1264" s="368">
        <v>99</v>
      </c>
      <c r="Z1264" s="368"/>
      <c r="AA1264" s="368"/>
      <c r="AB1264" s="368"/>
      <c r="AC1264" s="368"/>
      <c r="AD1264" s="368"/>
      <c r="AE1264" s="368"/>
      <c r="AF1264" s="377"/>
      <c r="AJ1264" s="337">
        <v>244</v>
      </c>
    </row>
    <row r="1265" spans="1:36">
      <c r="A1265" s="332">
        <f t="shared" si="45"/>
        <v>245</v>
      </c>
      <c r="G1265" s="349" t="s">
        <v>2128</v>
      </c>
      <c r="H1265" s="368" t="s">
        <v>2129</v>
      </c>
      <c r="I1265" s="368" t="s">
        <v>1418</v>
      </c>
      <c r="J1265" s="368" t="s">
        <v>1442</v>
      </c>
      <c r="K1265" s="368" t="s">
        <v>1418</v>
      </c>
      <c r="L1265" s="368" t="s">
        <v>1442</v>
      </c>
      <c r="M1265" s="368" t="s">
        <v>1376</v>
      </c>
      <c r="N1265" s="368" t="s">
        <v>867</v>
      </c>
      <c r="O1265" s="376">
        <v>71591</v>
      </c>
      <c r="P1265" s="368" t="s">
        <v>1447</v>
      </c>
      <c r="Q1265" s="368" t="s">
        <v>1386</v>
      </c>
      <c r="R1265" s="368" t="s">
        <v>867</v>
      </c>
      <c r="S1265" s="368" t="s">
        <v>864</v>
      </c>
      <c r="T1265" s="368" t="s">
        <v>362</v>
      </c>
      <c r="U1265" s="368" t="s">
        <v>867</v>
      </c>
      <c r="V1265" s="368" t="s">
        <v>867</v>
      </c>
      <c r="W1265" s="368" t="s">
        <v>1378</v>
      </c>
      <c r="X1265" s="368">
        <v>0</v>
      </c>
      <c r="Y1265" s="368">
        <v>99</v>
      </c>
      <c r="Z1265" s="368"/>
      <c r="AA1265" s="368"/>
      <c r="AB1265" s="368"/>
      <c r="AC1265" s="368"/>
      <c r="AD1265" s="368"/>
      <c r="AE1265" s="368"/>
      <c r="AF1265" s="377"/>
      <c r="AJ1265" s="337">
        <v>245</v>
      </c>
    </row>
    <row r="1266" spans="1:36">
      <c r="A1266" s="332">
        <f t="shared" si="45"/>
        <v>246</v>
      </c>
      <c r="G1266" s="349" t="s">
        <v>2130</v>
      </c>
      <c r="H1266" s="368" t="s">
        <v>2131</v>
      </c>
      <c r="I1266" s="368" t="s">
        <v>2132</v>
      </c>
      <c r="J1266" s="368" t="s">
        <v>1382</v>
      </c>
      <c r="K1266" s="368" t="s">
        <v>2133</v>
      </c>
      <c r="L1266" s="368" t="s">
        <v>1442</v>
      </c>
      <c r="M1266" s="368" t="s">
        <v>1384</v>
      </c>
      <c r="N1266" s="368" t="s">
        <v>867</v>
      </c>
      <c r="O1266" s="376">
        <v>58948</v>
      </c>
      <c r="P1266" s="368" t="s">
        <v>339</v>
      </c>
      <c r="Q1266" s="368" t="s">
        <v>1443</v>
      </c>
      <c r="R1266" s="368" t="s">
        <v>867</v>
      </c>
      <c r="S1266" s="368" t="s">
        <v>864</v>
      </c>
      <c r="T1266" s="368" t="s">
        <v>362</v>
      </c>
      <c r="U1266" s="368" t="s">
        <v>867</v>
      </c>
      <c r="V1266" s="368" t="s">
        <v>867</v>
      </c>
      <c r="W1266" s="368" t="s">
        <v>1378</v>
      </c>
      <c r="X1266" s="368">
        <v>0</v>
      </c>
      <c r="Y1266" s="368">
        <v>99</v>
      </c>
      <c r="Z1266" s="368"/>
      <c r="AA1266" s="368"/>
      <c r="AB1266" s="368"/>
      <c r="AC1266" s="368"/>
      <c r="AD1266" s="368"/>
      <c r="AE1266" s="368"/>
      <c r="AF1266" s="377"/>
      <c r="AJ1266" s="337">
        <v>246</v>
      </c>
    </row>
    <row r="1267" spans="1:36">
      <c r="A1267" s="332">
        <f t="shared" si="45"/>
        <v>247</v>
      </c>
      <c r="G1267" s="349" t="s">
        <v>2134</v>
      </c>
      <c r="H1267" s="368" t="s">
        <v>2135</v>
      </c>
      <c r="I1267" s="368" t="s">
        <v>2136</v>
      </c>
      <c r="J1267" s="368" t="s">
        <v>1433</v>
      </c>
      <c r="K1267" s="368" t="s">
        <v>2136</v>
      </c>
      <c r="L1267" s="368" t="s">
        <v>1433</v>
      </c>
      <c r="M1267" s="368" t="s">
        <v>1376</v>
      </c>
      <c r="N1267" s="368" t="s">
        <v>867</v>
      </c>
      <c r="O1267" s="376">
        <v>42218</v>
      </c>
      <c r="P1267" s="368" t="s">
        <v>339</v>
      </c>
      <c r="Q1267" s="368" t="s">
        <v>1443</v>
      </c>
      <c r="R1267" s="368" t="s">
        <v>867</v>
      </c>
      <c r="S1267" s="368" t="s">
        <v>864</v>
      </c>
      <c r="T1267" s="368" t="s">
        <v>362</v>
      </c>
      <c r="U1267" s="368" t="s">
        <v>867</v>
      </c>
      <c r="V1267" s="368" t="s">
        <v>867</v>
      </c>
      <c r="W1267" s="368" t="s">
        <v>1378</v>
      </c>
      <c r="X1267" s="368">
        <v>0</v>
      </c>
      <c r="Y1267" s="368">
        <v>99</v>
      </c>
      <c r="Z1267" s="368"/>
      <c r="AA1267" s="368"/>
      <c r="AB1267" s="368"/>
      <c r="AC1267" s="368"/>
      <c r="AD1267" s="368"/>
      <c r="AE1267" s="368"/>
      <c r="AF1267" s="377"/>
      <c r="AJ1267" s="337">
        <v>247</v>
      </c>
    </row>
    <row r="1268" spans="1:36">
      <c r="A1268" s="332">
        <f t="shared" si="45"/>
        <v>248</v>
      </c>
      <c r="G1268" s="349" t="s">
        <v>2137</v>
      </c>
      <c r="H1268" s="368" t="s">
        <v>2138</v>
      </c>
      <c r="I1268" s="368" t="s">
        <v>2139</v>
      </c>
      <c r="J1268" s="368" t="s">
        <v>1375</v>
      </c>
      <c r="K1268" s="368" t="s">
        <v>2139</v>
      </c>
      <c r="L1268" s="368" t="s">
        <v>1375</v>
      </c>
      <c r="M1268" s="368" t="s">
        <v>1376</v>
      </c>
      <c r="N1268" s="368" t="s">
        <v>867</v>
      </c>
      <c r="O1268" s="376">
        <v>78557</v>
      </c>
      <c r="P1268" s="368" t="s">
        <v>1385</v>
      </c>
      <c r="Q1268" s="368" t="s">
        <v>1443</v>
      </c>
      <c r="R1268" s="368" t="s">
        <v>867</v>
      </c>
      <c r="S1268" s="368" t="s">
        <v>864</v>
      </c>
      <c r="T1268" s="368" t="s">
        <v>362</v>
      </c>
      <c r="U1268" s="368" t="s">
        <v>867</v>
      </c>
      <c r="V1268" s="368" t="s">
        <v>867</v>
      </c>
      <c r="W1268" s="368" t="s">
        <v>1378</v>
      </c>
      <c r="X1268" s="368">
        <v>0</v>
      </c>
      <c r="Y1268" s="368">
        <v>99</v>
      </c>
      <c r="Z1268" s="368"/>
      <c r="AA1268" s="368"/>
      <c r="AB1268" s="368"/>
      <c r="AC1268" s="368"/>
      <c r="AD1268" s="368"/>
      <c r="AE1268" s="368"/>
      <c r="AF1268" s="377"/>
      <c r="AJ1268" s="337">
        <v>248</v>
      </c>
    </row>
    <row r="1269" spans="1:36">
      <c r="A1269" s="332">
        <f t="shared" si="45"/>
        <v>249</v>
      </c>
      <c r="G1269" s="349" t="s">
        <v>2140</v>
      </c>
      <c r="H1269" s="368" t="s">
        <v>1532</v>
      </c>
      <c r="I1269" s="368" t="s">
        <v>2141</v>
      </c>
      <c r="J1269" s="368" t="s">
        <v>1375</v>
      </c>
      <c r="K1269" s="368" t="s">
        <v>2141</v>
      </c>
      <c r="L1269" s="368" t="s">
        <v>1375</v>
      </c>
      <c r="M1269" s="368" t="s">
        <v>1384</v>
      </c>
      <c r="N1269" s="368" t="s">
        <v>867</v>
      </c>
      <c r="O1269" s="376">
        <v>13500</v>
      </c>
      <c r="P1269" s="368" t="s">
        <v>1385</v>
      </c>
      <c r="Q1269" s="368" t="s">
        <v>1462</v>
      </c>
      <c r="R1269" s="368" t="s">
        <v>867</v>
      </c>
      <c r="S1269" s="368" t="s">
        <v>864</v>
      </c>
      <c r="T1269" s="368" t="s">
        <v>362</v>
      </c>
      <c r="U1269" s="368" t="s">
        <v>867</v>
      </c>
      <c r="V1269" s="368" t="s">
        <v>867</v>
      </c>
      <c r="W1269" s="368" t="s">
        <v>1378</v>
      </c>
      <c r="X1269" s="368">
        <v>0</v>
      </c>
      <c r="Y1269" s="368">
        <v>99</v>
      </c>
      <c r="Z1269" s="368"/>
      <c r="AA1269" s="368"/>
      <c r="AB1269" s="368"/>
      <c r="AC1269" s="368"/>
      <c r="AD1269" s="368"/>
      <c r="AE1269" s="368"/>
      <c r="AF1269" s="377"/>
      <c r="AJ1269" s="337">
        <v>249</v>
      </c>
    </row>
    <row r="1270" spans="1:36">
      <c r="A1270" s="332">
        <f t="shared" si="45"/>
        <v>250</v>
      </c>
      <c r="G1270" s="349" t="s">
        <v>2142</v>
      </c>
      <c r="H1270" s="368" t="s">
        <v>2143</v>
      </c>
      <c r="I1270" s="368" t="s">
        <v>2144</v>
      </c>
      <c r="J1270" s="368" t="s">
        <v>1375</v>
      </c>
      <c r="K1270" s="368" t="s">
        <v>2144</v>
      </c>
      <c r="L1270" s="368" t="s">
        <v>1375</v>
      </c>
      <c r="M1270" s="368" t="s">
        <v>1384</v>
      </c>
      <c r="N1270" s="368" t="s">
        <v>867</v>
      </c>
      <c r="O1270" s="376">
        <v>68986</v>
      </c>
      <c r="P1270" s="368" t="s">
        <v>1385</v>
      </c>
      <c r="Q1270" s="368" t="s">
        <v>1386</v>
      </c>
      <c r="R1270" s="368" t="s">
        <v>867</v>
      </c>
      <c r="S1270" s="368" t="s">
        <v>864</v>
      </c>
      <c r="T1270" s="368" t="s">
        <v>362</v>
      </c>
      <c r="U1270" s="368" t="s">
        <v>867</v>
      </c>
      <c r="V1270" s="368" t="s">
        <v>867</v>
      </c>
      <c r="W1270" s="368" t="s">
        <v>1378</v>
      </c>
      <c r="X1270" s="368">
        <v>0</v>
      </c>
      <c r="Y1270" s="368">
        <v>99</v>
      </c>
      <c r="Z1270" s="368"/>
      <c r="AA1270" s="368"/>
      <c r="AB1270" s="368"/>
      <c r="AC1270" s="368"/>
      <c r="AD1270" s="368"/>
      <c r="AE1270" s="368"/>
      <c r="AF1270" s="377"/>
      <c r="AJ1270" s="337">
        <v>250</v>
      </c>
    </row>
    <row r="1271" spans="1:36">
      <c r="A1271" s="332">
        <f t="shared" si="45"/>
        <v>251</v>
      </c>
      <c r="G1271" s="349" t="s">
        <v>2145</v>
      </c>
      <c r="H1271" s="368" t="s">
        <v>2146</v>
      </c>
      <c r="I1271" s="368" t="s">
        <v>2147</v>
      </c>
      <c r="J1271" s="368" t="s">
        <v>1375</v>
      </c>
      <c r="K1271" s="368" t="s">
        <v>2147</v>
      </c>
      <c r="L1271" s="368" t="s">
        <v>1375</v>
      </c>
      <c r="M1271" s="368" t="s">
        <v>1384</v>
      </c>
      <c r="N1271" s="368" t="s">
        <v>867</v>
      </c>
      <c r="O1271" s="376">
        <v>34978</v>
      </c>
      <c r="P1271" s="368" t="s">
        <v>1385</v>
      </c>
      <c r="Q1271" s="368" t="s">
        <v>1386</v>
      </c>
      <c r="R1271" s="368" t="s">
        <v>867</v>
      </c>
      <c r="S1271" s="368" t="s">
        <v>864</v>
      </c>
      <c r="T1271" s="368" t="s">
        <v>1387</v>
      </c>
      <c r="U1271" s="368" t="s">
        <v>867</v>
      </c>
      <c r="V1271" s="368" t="s">
        <v>867</v>
      </c>
      <c r="W1271" s="368" t="s">
        <v>1378</v>
      </c>
      <c r="X1271" s="368">
        <v>0</v>
      </c>
      <c r="Y1271" s="368">
        <v>99</v>
      </c>
      <c r="Z1271" s="368"/>
      <c r="AA1271" s="368"/>
      <c r="AB1271" s="368"/>
      <c r="AC1271" s="368"/>
      <c r="AD1271" s="368"/>
      <c r="AE1271" s="368"/>
      <c r="AF1271" s="377"/>
      <c r="AJ1271" s="337">
        <v>251</v>
      </c>
    </row>
    <row r="1272" spans="1:36">
      <c r="A1272" s="332">
        <f t="shared" si="45"/>
        <v>252</v>
      </c>
      <c r="G1272" s="349" t="s">
        <v>2148</v>
      </c>
      <c r="H1272" s="368" t="s">
        <v>2149</v>
      </c>
      <c r="I1272" s="368" t="s">
        <v>2150</v>
      </c>
      <c r="J1272" s="368" t="s">
        <v>1403</v>
      </c>
      <c r="K1272" s="368" t="s">
        <v>2150</v>
      </c>
      <c r="L1272" s="368" t="s">
        <v>1403</v>
      </c>
      <c r="M1272" s="368" t="s">
        <v>1376</v>
      </c>
      <c r="N1272" s="368" t="s">
        <v>867</v>
      </c>
      <c r="O1272" s="376">
        <v>37530</v>
      </c>
      <c r="P1272" s="368" t="s">
        <v>1447</v>
      </c>
      <c r="Q1272" s="368" t="s">
        <v>1386</v>
      </c>
      <c r="R1272" s="368" t="s">
        <v>867</v>
      </c>
      <c r="S1272" s="368" t="s">
        <v>864</v>
      </c>
      <c r="T1272" s="368" t="s">
        <v>362</v>
      </c>
      <c r="U1272" s="368" t="s">
        <v>867</v>
      </c>
      <c r="V1272" s="368" t="s">
        <v>867</v>
      </c>
      <c r="W1272" s="368" t="s">
        <v>1378</v>
      </c>
      <c r="X1272" s="368">
        <v>0</v>
      </c>
      <c r="Y1272" s="368">
        <v>99</v>
      </c>
      <c r="Z1272" s="368"/>
      <c r="AA1272" s="368"/>
      <c r="AB1272" s="368"/>
      <c r="AC1272" s="368"/>
      <c r="AD1272" s="368"/>
      <c r="AE1272" s="368"/>
      <c r="AF1272" s="377"/>
      <c r="AJ1272" s="337">
        <v>252</v>
      </c>
    </row>
    <row r="1273" spans="1:36">
      <c r="A1273" s="332">
        <f t="shared" si="45"/>
        <v>253</v>
      </c>
      <c r="G1273" s="349" t="s">
        <v>2151</v>
      </c>
      <c r="H1273" s="368" t="s">
        <v>1771</v>
      </c>
      <c r="I1273" s="368" t="s">
        <v>2152</v>
      </c>
      <c r="J1273" s="368" t="s">
        <v>1375</v>
      </c>
      <c r="K1273" s="368" t="s">
        <v>2152</v>
      </c>
      <c r="L1273" s="368" t="s">
        <v>1375</v>
      </c>
      <c r="M1273" s="368" t="s">
        <v>1384</v>
      </c>
      <c r="N1273" s="368" t="s">
        <v>867</v>
      </c>
      <c r="O1273" s="376">
        <v>13024</v>
      </c>
      <c r="P1273" s="368" t="s">
        <v>1385</v>
      </c>
      <c r="Q1273" s="368" t="s">
        <v>1386</v>
      </c>
      <c r="R1273" s="368" t="s">
        <v>867</v>
      </c>
      <c r="S1273" s="368" t="s">
        <v>864</v>
      </c>
      <c r="T1273" s="368" t="s">
        <v>362</v>
      </c>
      <c r="U1273" s="368" t="s">
        <v>867</v>
      </c>
      <c r="V1273" s="368" t="s">
        <v>867</v>
      </c>
      <c r="W1273" s="368" t="s">
        <v>1378</v>
      </c>
      <c r="X1273" s="368">
        <v>0</v>
      </c>
      <c r="Y1273" s="368">
        <v>99</v>
      </c>
      <c r="Z1273" s="368"/>
      <c r="AA1273" s="368"/>
      <c r="AB1273" s="368"/>
      <c r="AC1273" s="368"/>
      <c r="AD1273" s="368"/>
      <c r="AE1273" s="368"/>
      <c r="AF1273" s="377"/>
      <c r="AJ1273" s="337">
        <v>253</v>
      </c>
    </row>
    <row r="1274" spans="1:36">
      <c r="A1274" s="332">
        <f t="shared" si="45"/>
        <v>254</v>
      </c>
      <c r="G1274" s="349" t="s">
        <v>2153</v>
      </c>
      <c r="H1274" s="368" t="s">
        <v>2154</v>
      </c>
      <c r="I1274" s="368" t="s">
        <v>2155</v>
      </c>
      <c r="J1274" s="368" t="s">
        <v>1433</v>
      </c>
      <c r="K1274" s="368" t="s">
        <v>2155</v>
      </c>
      <c r="L1274" s="368" t="s">
        <v>1433</v>
      </c>
      <c r="M1274" s="368" t="s">
        <v>1384</v>
      </c>
      <c r="N1274" s="368" t="s">
        <v>867</v>
      </c>
      <c r="O1274" s="376">
        <v>80631</v>
      </c>
      <c r="P1274" s="368" t="s">
        <v>1385</v>
      </c>
      <c r="Q1274" s="368" t="s">
        <v>1553</v>
      </c>
      <c r="R1274" s="368" t="s">
        <v>867</v>
      </c>
      <c r="S1274" s="368" t="s">
        <v>864</v>
      </c>
      <c r="T1274" s="368" t="s">
        <v>362</v>
      </c>
      <c r="U1274" s="368" t="s">
        <v>867</v>
      </c>
      <c r="V1274" s="368" t="s">
        <v>867</v>
      </c>
      <c r="W1274" s="368" t="s">
        <v>1378</v>
      </c>
      <c r="X1274" s="368">
        <v>700</v>
      </c>
      <c r="Y1274" s="368">
        <v>99</v>
      </c>
      <c r="Z1274" s="368"/>
      <c r="AA1274" s="368"/>
      <c r="AB1274" s="368"/>
      <c r="AC1274" s="368"/>
      <c r="AD1274" s="368"/>
      <c r="AE1274" s="368"/>
      <c r="AF1274" s="377"/>
      <c r="AJ1274" s="337">
        <v>254</v>
      </c>
    </row>
    <row r="1275" spans="1:36">
      <c r="A1275" s="332">
        <f t="shared" si="45"/>
        <v>255</v>
      </c>
      <c r="G1275" s="349" t="s">
        <v>2156</v>
      </c>
      <c r="H1275" s="368" t="s">
        <v>1678</v>
      </c>
      <c r="I1275" s="368" t="s">
        <v>2157</v>
      </c>
      <c r="J1275" s="368" t="s">
        <v>1375</v>
      </c>
      <c r="K1275" s="368" t="s">
        <v>2157</v>
      </c>
      <c r="L1275" s="368" t="s">
        <v>1375</v>
      </c>
      <c r="M1275" s="368" t="s">
        <v>1376</v>
      </c>
      <c r="N1275" s="368" t="s">
        <v>867</v>
      </c>
      <c r="O1275" s="376">
        <v>5384</v>
      </c>
      <c r="P1275" s="368" t="s">
        <v>339</v>
      </c>
      <c r="Q1275" s="368" t="s">
        <v>1443</v>
      </c>
      <c r="R1275" s="368" t="s">
        <v>867</v>
      </c>
      <c r="S1275" s="368" t="s">
        <v>864</v>
      </c>
      <c r="T1275" s="368" t="s">
        <v>362</v>
      </c>
      <c r="U1275" s="368" t="s">
        <v>867</v>
      </c>
      <c r="V1275" s="368" t="s">
        <v>867</v>
      </c>
      <c r="W1275" s="368" t="s">
        <v>1378</v>
      </c>
      <c r="X1275" s="368">
        <v>0</v>
      </c>
      <c r="Y1275" s="368">
        <v>99</v>
      </c>
      <c r="Z1275" s="368"/>
      <c r="AA1275" s="368"/>
      <c r="AB1275" s="368"/>
      <c r="AC1275" s="368"/>
      <c r="AD1275" s="368"/>
      <c r="AE1275" s="368"/>
      <c r="AF1275" s="377"/>
      <c r="AJ1275" s="337">
        <v>255</v>
      </c>
    </row>
    <row r="1276" spans="1:36">
      <c r="A1276" s="332">
        <f t="shared" si="45"/>
        <v>256</v>
      </c>
      <c r="G1276" s="349" t="s">
        <v>2158</v>
      </c>
      <c r="H1276" s="368" t="s">
        <v>2159</v>
      </c>
      <c r="I1276" s="368" t="s">
        <v>1988</v>
      </c>
      <c r="J1276" s="368" t="s">
        <v>1375</v>
      </c>
      <c r="K1276" s="368" t="s">
        <v>1988</v>
      </c>
      <c r="L1276" s="368" t="s">
        <v>1375</v>
      </c>
      <c r="M1276" s="368" t="s">
        <v>1384</v>
      </c>
      <c r="N1276" s="368" t="s">
        <v>867</v>
      </c>
      <c r="O1276" s="376">
        <v>43929</v>
      </c>
      <c r="P1276" s="368" t="s">
        <v>1385</v>
      </c>
      <c r="Q1276" s="368" t="s">
        <v>1386</v>
      </c>
      <c r="R1276" s="368" t="s">
        <v>867</v>
      </c>
      <c r="S1276" s="368" t="s">
        <v>864</v>
      </c>
      <c r="T1276" s="368" t="s">
        <v>1387</v>
      </c>
      <c r="U1276" s="368" t="s">
        <v>867</v>
      </c>
      <c r="V1276" s="368" t="s">
        <v>867</v>
      </c>
      <c r="W1276" s="368" t="s">
        <v>1378</v>
      </c>
      <c r="X1276" s="368">
        <v>0</v>
      </c>
      <c r="Y1276" s="368">
        <v>99</v>
      </c>
      <c r="Z1276" s="368"/>
      <c r="AA1276" s="368"/>
      <c r="AB1276" s="368"/>
      <c r="AC1276" s="368"/>
      <c r="AD1276" s="368"/>
      <c r="AE1276" s="368"/>
      <c r="AF1276" s="377"/>
      <c r="AJ1276" s="337">
        <v>256</v>
      </c>
    </row>
    <row r="1277" spans="1:36">
      <c r="A1277" s="332">
        <f t="shared" si="45"/>
        <v>257</v>
      </c>
      <c r="G1277" s="349" t="s">
        <v>2160</v>
      </c>
      <c r="H1277" s="368" t="s">
        <v>2161</v>
      </c>
      <c r="I1277" s="368" t="s">
        <v>2162</v>
      </c>
      <c r="J1277" s="368" t="s">
        <v>1375</v>
      </c>
      <c r="K1277" s="368" t="s">
        <v>2162</v>
      </c>
      <c r="L1277" s="368" t="s">
        <v>1375</v>
      </c>
      <c r="M1277" s="368" t="s">
        <v>1384</v>
      </c>
      <c r="N1277" s="368" t="s">
        <v>867</v>
      </c>
      <c r="O1277" s="376">
        <v>94327</v>
      </c>
      <c r="P1277" s="368" t="s">
        <v>1385</v>
      </c>
      <c r="Q1277" s="368" t="s">
        <v>1386</v>
      </c>
      <c r="R1277" s="368" t="s">
        <v>867</v>
      </c>
      <c r="S1277" s="368" t="s">
        <v>864</v>
      </c>
      <c r="T1277" s="368" t="s">
        <v>362</v>
      </c>
      <c r="U1277" s="368" t="s">
        <v>867</v>
      </c>
      <c r="V1277" s="368" t="s">
        <v>867</v>
      </c>
      <c r="W1277" s="368" t="s">
        <v>1378</v>
      </c>
      <c r="X1277" s="368">
        <v>0</v>
      </c>
      <c r="Y1277" s="368">
        <v>99</v>
      </c>
      <c r="Z1277" s="368"/>
      <c r="AA1277" s="368"/>
      <c r="AB1277" s="368"/>
      <c r="AC1277" s="368"/>
      <c r="AD1277" s="368"/>
      <c r="AE1277" s="368"/>
      <c r="AF1277" s="377"/>
      <c r="AJ1277" s="337">
        <v>257</v>
      </c>
    </row>
    <row r="1278" spans="1:36">
      <c r="A1278" s="332">
        <f t="shared" si="45"/>
        <v>258</v>
      </c>
      <c r="G1278" s="349" t="s">
        <v>2163</v>
      </c>
      <c r="H1278" s="368" t="s">
        <v>2164</v>
      </c>
      <c r="I1278" s="368" t="s">
        <v>2165</v>
      </c>
      <c r="J1278" s="368" t="s">
        <v>1375</v>
      </c>
      <c r="K1278" s="368" t="s">
        <v>2165</v>
      </c>
      <c r="L1278" s="368" t="s">
        <v>1375</v>
      </c>
      <c r="M1278" s="368" t="s">
        <v>1384</v>
      </c>
      <c r="N1278" s="368" t="s">
        <v>867</v>
      </c>
      <c r="O1278" s="376">
        <v>27786</v>
      </c>
      <c r="P1278" s="368" t="s">
        <v>1447</v>
      </c>
      <c r="Q1278" s="368" t="s">
        <v>1386</v>
      </c>
      <c r="R1278" s="368" t="s">
        <v>867</v>
      </c>
      <c r="S1278" s="368" t="s">
        <v>864</v>
      </c>
      <c r="T1278" s="368" t="s">
        <v>362</v>
      </c>
      <c r="U1278" s="368" t="s">
        <v>867</v>
      </c>
      <c r="V1278" s="368" t="s">
        <v>867</v>
      </c>
      <c r="W1278" s="368" t="s">
        <v>1378</v>
      </c>
      <c r="X1278" s="368">
        <v>0</v>
      </c>
      <c r="Y1278" s="368">
        <v>99</v>
      </c>
      <c r="Z1278" s="368"/>
      <c r="AA1278" s="368"/>
      <c r="AB1278" s="368"/>
      <c r="AC1278" s="368"/>
      <c r="AD1278" s="368"/>
      <c r="AE1278" s="368"/>
      <c r="AF1278" s="377"/>
      <c r="AJ1278" s="337">
        <v>258</v>
      </c>
    </row>
    <row r="1279" spans="1:36">
      <c r="A1279" s="332">
        <f t="shared" ref="A1279:A1342" si="46">1+A1278</f>
        <v>259</v>
      </c>
      <c r="G1279" s="349" t="s">
        <v>2166</v>
      </c>
      <c r="H1279" s="368" t="s">
        <v>2167</v>
      </c>
      <c r="I1279" s="368" t="s">
        <v>2168</v>
      </c>
      <c r="J1279" s="368" t="s">
        <v>1399</v>
      </c>
      <c r="K1279" s="368" t="s">
        <v>2168</v>
      </c>
      <c r="L1279" s="368" t="s">
        <v>1399</v>
      </c>
      <c r="M1279" s="368" t="s">
        <v>1376</v>
      </c>
      <c r="N1279" s="368" t="s">
        <v>867</v>
      </c>
      <c r="O1279" s="376">
        <v>37161</v>
      </c>
      <c r="P1279" s="368" t="s">
        <v>1447</v>
      </c>
      <c r="Q1279" s="368" t="s">
        <v>1443</v>
      </c>
      <c r="R1279" s="368" t="s">
        <v>867</v>
      </c>
      <c r="S1279" s="368" t="s">
        <v>864</v>
      </c>
      <c r="T1279" s="368" t="s">
        <v>362</v>
      </c>
      <c r="U1279" s="368" t="s">
        <v>867</v>
      </c>
      <c r="V1279" s="368" t="s">
        <v>867</v>
      </c>
      <c r="W1279" s="368" t="s">
        <v>1378</v>
      </c>
      <c r="X1279" s="368">
        <v>3100</v>
      </c>
      <c r="Y1279" s="368">
        <v>99</v>
      </c>
      <c r="Z1279" s="368"/>
      <c r="AA1279" s="368"/>
      <c r="AB1279" s="368"/>
      <c r="AC1279" s="368"/>
      <c r="AD1279" s="368"/>
      <c r="AE1279" s="368"/>
      <c r="AF1279" s="377"/>
      <c r="AJ1279" s="337">
        <v>259</v>
      </c>
    </row>
    <row r="1280" spans="1:36">
      <c r="A1280" s="332">
        <f t="shared" si="46"/>
        <v>260</v>
      </c>
      <c r="G1280" s="349" t="s">
        <v>2169</v>
      </c>
      <c r="H1280" s="368" t="s">
        <v>1779</v>
      </c>
      <c r="I1280" s="368" t="s">
        <v>2170</v>
      </c>
      <c r="J1280" s="368" t="s">
        <v>1375</v>
      </c>
      <c r="K1280" s="368" t="s">
        <v>2170</v>
      </c>
      <c r="L1280" s="368" t="s">
        <v>1375</v>
      </c>
      <c r="M1280" s="368" t="s">
        <v>1384</v>
      </c>
      <c r="N1280" s="368" t="s">
        <v>867</v>
      </c>
      <c r="O1280" s="376">
        <v>29591</v>
      </c>
      <c r="P1280" s="368" t="s">
        <v>1385</v>
      </c>
      <c r="Q1280" s="368" t="s">
        <v>1386</v>
      </c>
      <c r="R1280" s="368" t="s">
        <v>867</v>
      </c>
      <c r="S1280" s="368" t="s">
        <v>864</v>
      </c>
      <c r="T1280" s="368" t="s">
        <v>362</v>
      </c>
      <c r="U1280" s="368" t="s">
        <v>867</v>
      </c>
      <c r="V1280" s="368" t="s">
        <v>867</v>
      </c>
      <c r="W1280" s="368" t="s">
        <v>1378</v>
      </c>
      <c r="X1280" s="368">
        <v>2000</v>
      </c>
      <c r="Y1280" s="368">
        <v>99</v>
      </c>
      <c r="Z1280" s="368"/>
      <c r="AA1280" s="368"/>
      <c r="AB1280" s="368"/>
      <c r="AC1280" s="368"/>
      <c r="AD1280" s="368"/>
      <c r="AE1280" s="368"/>
      <c r="AF1280" s="377"/>
      <c r="AJ1280" s="337">
        <v>260</v>
      </c>
    </row>
    <row r="1281" spans="1:36">
      <c r="A1281" s="332">
        <f t="shared" si="46"/>
        <v>261</v>
      </c>
      <c r="G1281" s="349" t="s">
        <v>2171</v>
      </c>
      <c r="H1281" s="368" t="s">
        <v>2172</v>
      </c>
      <c r="I1281" s="368" t="s">
        <v>2173</v>
      </c>
      <c r="J1281" s="368" t="s">
        <v>1375</v>
      </c>
      <c r="K1281" s="368" t="s">
        <v>2173</v>
      </c>
      <c r="L1281" s="368" t="s">
        <v>1375</v>
      </c>
      <c r="M1281" s="368" t="s">
        <v>1700</v>
      </c>
      <c r="N1281" s="368" t="s">
        <v>867</v>
      </c>
      <c r="O1281" s="376">
        <v>37472</v>
      </c>
      <c r="P1281" s="368" t="s">
        <v>1385</v>
      </c>
      <c r="Q1281" s="368" t="s">
        <v>1386</v>
      </c>
      <c r="R1281" s="368" t="s">
        <v>867</v>
      </c>
      <c r="S1281" s="368" t="s">
        <v>864</v>
      </c>
      <c r="T1281" s="368" t="s">
        <v>362</v>
      </c>
      <c r="U1281" s="368" t="s">
        <v>867</v>
      </c>
      <c r="V1281" s="368" t="s">
        <v>867</v>
      </c>
      <c r="W1281" s="368" t="s">
        <v>1378</v>
      </c>
      <c r="X1281" s="368">
        <v>0</v>
      </c>
      <c r="Y1281" s="368">
        <v>99</v>
      </c>
      <c r="Z1281" s="368"/>
      <c r="AA1281" s="368"/>
      <c r="AB1281" s="368"/>
      <c r="AC1281" s="368"/>
      <c r="AD1281" s="368"/>
      <c r="AE1281" s="368"/>
      <c r="AF1281" s="377"/>
      <c r="AJ1281" s="337">
        <v>261</v>
      </c>
    </row>
    <row r="1282" spans="1:36">
      <c r="A1282" s="332">
        <f t="shared" si="46"/>
        <v>262</v>
      </c>
      <c r="G1282" s="349" t="s">
        <v>2174</v>
      </c>
      <c r="H1282" s="368" t="s">
        <v>2175</v>
      </c>
      <c r="I1282" s="368" t="s">
        <v>2176</v>
      </c>
      <c r="J1282" s="368" t="s">
        <v>1375</v>
      </c>
      <c r="K1282" s="368" t="s">
        <v>2176</v>
      </c>
      <c r="L1282" s="368" t="s">
        <v>1375</v>
      </c>
      <c r="M1282" s="368" t="s">
        <v>1384</v>
      </c>
      <c r="N1282" s="368" t="s">
        <v>867</v>
      </c>
      <c r="O1282" s="376">
        <v>60902</v>
      </c>
      <c r="P1282" s="368" t="s">
        <v>1385</v>
      </c>
      <c r="Q1282" s="368" t="s">
        <v>1443</v>
      </c>
      <c r="R1282" s="368" t="s">
        <v>867</v>
      </c>
      <c r="S1282" s="368" t="s">
        <v>864</v>
      </c>
      <c r="T1282" s="368" t="s">
        <v>362</v>
      </c>
      <c r="U1282" s="368" t="s">
        <v>867</v>
      </c>
      <c r="V1282" s="368" t="s">
        <v>867</v>
      </c>
      <c r="W1282" s="368" t="s">
        <v>1378</v>
      </c>
      <c r="X1282" s="368">
        <v>200</v>
      </c>
      <c r="Y1282" s="368">
        <v>99</v>
      </c>
      <c r="Z1282" s="368"/>
      <c r="AA1282" s="368"/>
      <c r="AB1282" s="368"/>
      <c r="AC1282" s="368"/>
      <c r="AD1282" s="368"/>
      <c r="AE1282" s="368"/>
      <c r="AF1282" s="377"/>
      <c r="AJ1282" s="337">
        <v>262</v>
      </c>
    </row>
    <row r="1283" spans="1:36">
      <c r="A1283" s="332">
        <f t="shared" si="46"/>
        <v>263</v>
      </c>
      <c r="G1283" s="349" t="s">
        <v>2177</v>
      </c>
      <c r="H1283" s="368" t="s">
        <v>2178</v>
      </c>
      <c r="I1283" s="368" t="s">
        <v>2179</v>
      </c>
      <c r="J1283" s="368" t="s">
        <v>1375</v>
      </c>
      <c r="K1283" s="368" t="s">
        <v>2179</v>
      </c>
      <c r="L1283" s="368" t="s">
        <v>1375</v>
      </c>
      <c r="M1283" s="368" t="s">
        <v>1384</v>
      </c>
      <c r="N1283" s="368" t="s">
        <v>867</v>
      </c>
      <c r="O1283" s="376">
        <v>11242</v>
      </c>
      <c r="P1283" s="368" t="s">
        <v>1385</v>
      </c>
      <c r="Q1283" s="368" t="s">
        <v>1386</v>
      </c>
      <c r="R1283" s="368" t="s">
        <v>867</v>
      </c>
      <c r="S1283" s="368" t="s">
        <v>864</v>
      </c>
      <c r="T1283" s="368" t="s">
        <v>362</v>
      </c>
      <c r="U1283" s="368" t="s">
        <v>867</v>
      </c>
      <c r="V1283" s="368" t="s">
        <v>867</v>
      </c>
      <c r="W1283" s="368" t="s">
        <v>1378</v>
      </c>
      <c r="X1283" s="368">
        <v>975</v>
      </c>
      <c r="Y1283" s="368">
        <v>99</v>
      </c>
      <c r="Z1283" s="368"/>
      <c r="AA1283" s="368"/>
      <c r="AB1283" s="368"/>
      <c r="AC1283" s="368"/>
      <c r="AD1283" s="368"/>
      <c r="AE1283" s="368"/>
      <c r="AF1283" s="377"/>
      <c r="AJ1283" s="337">
        <v>263</v>
      </c>
    </row>
    <row r="1284" spans="1:36">
      <c r="A1284" s="332">
        <f t="shared" si="46"/>
        <v>264</v>
      </c>
      <c r="G1284" s="349" t="s">
        <v>2180</v>
      </c>
      <c r="H1284" s="368" t="s">
        <v>1508</v>
      </c>
      <c r="I1284" s="368" t="s">
        <v>1983</v>
      </c>
      <c r="J1284" s="368" t="s">
        <v>1403</v>
      </c>
      <c r="K1284" s="368" t="s">
        <v>1983</v>
      </c>
      <c r="L1284" s="368" t="s">
        <v>1403</v>
      </c>
      <c r="M1284" s="368" t="s">
        <v>1384</v>
      </c>
      <c r="N1284" s="368" t="s">
        <v>867</v>
      </c>
      <c r="O1284" s="376">
        <v>34125</v>
      </c>
      <c r="P1284" s="368" t="s">
        <v>1385</v>
      </c>
      <c r="Q1284" s="368" t="s">
        <v>1386</v>
      </c>
      <c r="R1284" s="368" t="s">
        <v>867</v>
      </c>
      <c r="S1284" s="368" t="s">
        <v>864</v>
      </c>
      <c r="T1284" s="368" t="s">
        <v>362</v>
      </c>
      <c r="U1284" s="368" t="s">
        <v>867</v>
      </c>
      <c r="V1284" s="368" t="s">
        <v>867</v>
      </c>
      <c r="W1284" s="368" t="s">
        <v>1378</v>
      </c>
      <c r="X1284" s="368">
        <v>0</v>
      </c>
      <c r="Y1284" s="368">
        <v>99</v>
      </c>
      <c r="Z1284" s="368"/>
      <c r="AA1284" s="368"/>
      <c r="AB1284" s="368"/>
      <c r="AC1284" s="368"/>
      <c r="AD1284" s="368"/>
      <c r="AE1284" s="368"/>
      <c r="AF1284" s="377"/>
      <c r="AJ1284" s="337">
        <v>264</v>
      </c>
    </row>
    <row r="1285" spans="1:36">
      <c r="A1285" s="332">
        <f t="shared" si="46"/>
        <v>265</v>
      </c>
      <c r="G1285" s="349" t="s">
        <v>2181</v>
      </c>
      <c r="H1285" s="368" t="s">
        <v>2182</v>
      </c>
      <c r="I1285" s="368" t="s">
        <v>2183</v>
      </c>
      <c r="J1285" s="368" t="s">
        <v>1375</v>
      </c>
      <c r="K1285" s="368" t="s">
        <v>2183</v>
      </c>
      <c r="L1285" s="368" t="s">
        <v>1375</v>
      </c>
      <c r="M1285" s="368" t="s">
        <v>1376</v>
      </c>
      <c r="N1285" s="368" t="s">
        <v>867</v>
      </c>
      <c r="O1285" s="376">
        <v>21711</v>
      </c>
      <c r="P1285" s="368" t="s">
        <v>1385</v>
      </c>
      <c r="Q1285" s="368" t="s">
        <v>1386</v>
      </c>
      <c r="R1285" s="368" t="s">
        <v>867</v>
      </c>
      <c r="S1285" s="368" t="s">
        <v>864</v>
      </c>
      <c r="T1285" s="368" t="s">
        <v>362</v>
      </c>
      <c r="U1285" s="368" t="s">
        <v>867</v>
      </c>
      <c r="V1285" s="368" t="s">
        <v>867</v>
      </c>
      <c r="W1285" s="368" t="s">
        <v>1378</v>
      </c>
      <c r="X1285" s="368">
        <v>0</v>
      </c>
      <c r="Y1285" s="368">
        <v>99</v>
      </c>
      <c r="Z1285" s="368"/>
      <c r="AA1285" s="368"/>
      <c r="AB1285" s="368"/>
      <c r="AC1285" s="368"/>
      <c r="AD1285" s="368"/>
      <c r="AE1285" s="368"/>
      <c r="AF1285" s="377"/>
      <c r="AJ1285" s="337">
        <v>265</v>
      </c>
    </row>
    <row r="1286" spans="1:36">
      <c r="A1286" s="332">
        <f t="shared" si="46"/>
        <v>266</v>
      </c>
      <c r="G1286" s="349" t="s">
        <v>2184</v>
      </c>
      <c r="H1286" s="368" t="s">
        <v>2185</v>
      </c>
      <c r="I1286" s="368" t="s">
        <v>2186</v>
      </c>
      <c r="J1286" s="368" t="s">
        <v>1399</v>
      </c>
      <c r="K1286" s="368" t="s">
        <v>2186</v>
      </c>
      <c r="L1286" s="368" t="s">
        <v>1399</v>
      </c>
      <c r="M1286" s="368" t="s">
        <v>1384</v>
      </c>
      <c r="N1286" s="368" t="s">
        <v>867</v>
      </c>
      <c r="O1286" s="376">
        <v>88640</v>
      </c>
      <c r="P1286" s="368" t="s">
        <v>1385</v>
      </c>
      <c r="Q1286" s="368" t="s">
        <v>1386</v>
      </c>
      <c r="R1286" s="368" t="s">
        <v>867</v>
      </c>
      <c r="S1286" s="368" t="s">
        <v>864</v>
      </c>
      <c r="T1286" s="368" t="s">
        <v>362</v>
      </c>
      <c r="U1286" s="368" t="s">
        <v>867</v>
      </c>
      <c r="V1286" s="368" t="s">
        <v>867</v>
      </c>
      <c r="W1286" s="368" t="s">
        <v>1378</v>
      </c>
      <c r="X1286" s="368">
        <v>150</v>
      </c>
      <c r="Y1286" s="368">
        <v>99</v>
      </c>
      <c r="Z1286" s="368"/>
      <c r="AA1286" s="368"/>
      <c r="AB1286" s="368"/>
      <c r="AC1286" s="368"/>
      <c r="AD1286" s="368"/>
      <c r="AE1286" s="368"/>
      <c r="AF1286" s="377"/>
      <c r="AJ1286" s="337">
        <v>266</v>
      </c>
    </row>
    <row r="1287" spans="1:36">
      <c r="A1287" s="332">
        <f t="shared" si="46"/>
        <v>267</v>
      </c>
      <c r="G1287" s="349" t="s">
        <v>2187</v>
      </c>
      <c r="H1287" s="368" t="s">
        <v>2188</v>
      </c>
      <c r="I1287" s="368" t="s">
        <v>2189</v>
      </c>
      <c r="J1287" s="368" t="s">
        <v>1375</v>
      </c>
      <c r="K1287" s="368" t="s">
        <v>2189</v>
      </c>
      <c r="L1287" s="368" t="s">
        <v>1375</v>
      </c>
      <c r="M1287" s="368" t="s">
        <v>1384</v>
      </c>
      <c r="N1287" s="368" t="s">
        <v>867</v>
      </c>
      <c r="O1287" s="376">
        <v>2642</v>
      </c>
      <c r="P1287" s="368" t="s">
        <v>1385</v>
      </c>
      <c r="Q1287" s="368" t="s">
        <v>1386</v>
      </c>
      <c r="R1287" s="368" t="s">
        <v>867</v>
      </c>
      <c r="S1287" s="368" t="s">
        <v>864</v>
      </c>
      <c r="T1287" s="368" t="s">
        <v>362</v>
      </c>
      <c r="U1287" s="368" t="s">
        <v>867</v>
      </c>
      <c r="V1287" s="368" t="s">
        <v>867</v>
      </c>
      <c r="W1287" s="368" t="s">
        <v>1378</v>
      </c>
      <c r="X1287" s="368">
        <v>0</v>
      </c>
      <c r="Y1287" s="368">
        <v>99</v>
      </c>
      <c r="Z1287" s="368"/>
      <c r="AA1287" s="368"/>
      <c r="AB1287" s="368"/>
      <c r="AC1287" s="368"/>
      <c r="AD1287" s="368"/>
      <c r="AE1287" s="368"/>
      <c r="AF1287" s="377"/>
      <c r="AJ1287" s="337">
        <v>267</v>
      </c>
    </row>
    <row r="1288" spans="1:36">
      <c r="A1288" s="332">
        <f t="shared" si="46"/>
        <v>268</v>
      </c>
      <c r="G1288" s="349" t="s">
        <v>2190</v>
      </c>
      <c r="H1288" s="368" t="s">
        <v>2191</v>
      </c>
      <c r="I1288" s="368" t="s">
        <v>2192</v>
      </c>
      <c r="J1288" s="368" t="s">
        <v>1375</v>
      </c>
      <c r="K1288" s="368" t="s">
        <v>2192</v>
      </c>
      <c r="L1288" s="368" t="s">
        <v>1375</v>
      </c>
      <c r="M1288" s="368" t="s">
        <v>1384</v>
      </c>
      <c r="N1288" s="368" t="s">
        <v>867</v>
      </c>
      <c r="O1288" s="376">
        <v>33688</v>
      </c>
      <c r="P1288" s="368" t="s">
        <v>1385</v>
      </c>
      <c r="Q1288" s="368" t="s">
        <v>1386</v>
      </c>
      <c r="R1288" s="368" t="s">
        <v>867</v>
      </c>
      <c r="S1288" s="368" t="s">
        <v>864</v>
      </c>
      <c r="T1288" s="368" t="s">
        <v>362</v>
      </c>
      <c r="U1288" s="368" t="s">
        <v>867</v>
      </c>
      <c r="V1288" s="368" t="s">
        <v>867</v>
      </c>
      <c r="W1288" s="368" t="s">
        <v>1378</v>
      </c>
      <c r="X1288" s="368">
        <v>0</v>
      </c>
      <c r="Y1288" s="368">
        <v>99</v>
      </c>
      <c r="Z1288" s="368"/>
      <c r="AA1288" s="368"/>
      <c r="AB1288" s="368"/>
      <c r="AC1288" s="368"/>
      <c r="AD1288" s="368"/>
      <c r="AE1288" s="368"/>
      <c r="AF1288" s="377"/>
      <c r="AJ1288" s="337">
        <v>268</v>
      </c>
    </row>
    <row r="1289" spans="1:36">
      <c r="A1289" s="332">
        <f t="shared" si="46"/>
        <v>269</v>
      </c>
      <c r="G1289" s="349" t="s">
        <v>2193</v>
      </c>
      <c r="H1289" s="368" t="s">
        <v>2194</v>
      </c>
      <c r="I1289" s="368" t="s">
        <v>1404</v>
      </c>
      <c r="J1289" s="368" t="s">
        <v>1375</v>
      </c>
      <c r="K1289" s="368" t="s">
        <v>1404</v>
      </c>
      <c r="L1289" s="368" t="s">
        <v>1375</v>
      </c>
      <c r="M1289" s="368" t="s">
        <v>1384</v>
      </c>
      <c r="N1289" s="368" t="s">
        <v>867</v>
      </c>
      <c r="O1289" s="376">
        <v>96798</v>
      </c>
      <c r="P1289" s="368" t="s">
        <v>1385</v>
      </c>
      <c r="Q1289" s="368" t="s">
        <v>1386</v>
      </c>
      <c r="R1289" s="368" t="s">
        <v>867</v>
      </c>
      <c r="S1289" s="368" t="s">
        <v>864</v>
      </c>
      <c r="T1289" s="368" t="s">
        <v>362</v>
      </c>
      <c r="U1289" s="368" t="s">
        <v>867</v>
      </c>
      <c r="V1289" s="368" t="s">
        <v>867</v>
      </c>
      <c r="W1289" s="368" t="s">
        <v>1378</v>
      </c>
      <c r="X1289" s="368">
        <v>0</v>
      </c>
      <c r="Y1289" s="368">
        <v>99</v>
      </c>
      <c r="Z1289" s="368"/>
      <c r="AA1289" s="368"/>
      <c r="AB1289" s="368"/>
      <c r="AC1289" s="368"/>
      <c r="AD1289" s="368"/>
      <c r="AE1289" s="368"/>
      <c r="AF1289" s="377"/>
      <c r="AJ1289" s="337">
        <v>269</v>
      </c>
    </row>
    <row r="1290" spans="1:36">
      <c r="A1290" s="332">
        <f t="shared" si="46"/>
        <v>270</v>
      </c>
      <c r="G1290" s="349" t="s">
        <v>2195</v>
      </c>
      <c r="H1290" s="368" t="s">
        <v>2196</v>
      </c>
      <c r="I1290" s="368" t="s">
        <v>2197</v>
      </c>
      <c r="J1290" s="368" t="s">
        <v>1375</v>
      </c>
      <c r="K1290" s="368" t="s">
        <v>2197</v>
      </c>
      <c r="L1290" s="368" t="s">
        <v>1375</v>
      </c>
      <c r="M1290" s="368" t="s">
        <v>1384</v>
      </c>
      <c r="N1290" s="368" t="s">
        <v>867</v>
      </c>
      <c r="O1290" s="376">
        <v>86979</v>
      </c>
      <c r="P1290" s="368" t="s">
        <v>1385</v>
      </c>
      <c r="Q1290" s="368" t="s">
        <v>1386</v>
      </c>
      <c r="R1290" s="368" t="s">
        <v>867</v>
      </c>
      <c r="S1290" s="368" t="s">
        <v>864</v>
      </c>
      <c r="T1290" s="368" t="s">
        <v>362</v>
      </c>
      <c r="U1290" s="368" t="s">
        <v>867</v>
      </c>
      <c r="V1290" s="368" t="s">
        <v>867</v>
      </c>
      <c r="W1290" s="368" t="s">
        <v>1378</v>
      </c>
      <c r="X1290" s="368">
        <v>0</v>
      </c>
      <c r="Y1290" s="368">
        <v>99</v>
      </c>
      <c r="Z1290" s="368"/>
      <c r="AA1290" s="368"/>
      <c r="AB1290" s="368"/>
      <c r="AC1290" s="368"/>
      <c r="AD1290" s="368"/>
      <c r="AE1290" s="368"/>
      <c r="AF1290" s="377"/>
      <c r="AJ1290" s="337">
        <v>270</v>
      </c>
    </row>
    <row r="1291" spans="1:36">
      <c r="A1291" s="332">
        <f t="shared" si="46"/>
        <v>271</v>
      </c>
      <c r="G1291" s="349" t="s">
        <v>2198</v>
      </c>
      <c r="H1291" s="368" t="s">
        <v>2199</v>
      </c>
      <c r="I1291" s="368" t="s">
        <v>2200</v>
      </c>
      <c r="J1291" s="368" t="s">
        <v>1375</v>
      </c>
      <c r="K1291" s="368" t="s">
        <v>2200</v>
      </c>
      <c r="L1291" s="368" t="s">
        <v>1375</v>
      </c>
      <c r="M1291" s="368" t="s">
        <v>1376</v>
      </c>
      <c r="N1291" s="368" t="s">
        <v>867</v>
      </c>
      <c r="O1291" s="376">
        <v>74639</v>
      </c>
      <c r="P1291" s="368" t="s">
        <v>339</v>
      </c>
      <c r="Q1291" s="368" t="s">
        <v>1443</v>
      </c>
      <c r="R1291" s="368" t="s">
        <v>867</v>
      </c>
      <c r="S1291" s="368" t="s">
        <v>864</v>
      </c>
      <c r="T1291" s="368" t="s">
        <v>362</v>
      </c>
      <c r="U1291" s="368" t="s">
        <v>867</v>
      </c>
      <c r="V1291" s="368" t="s">
        <v>867</v>
      </c>
      <c r="W1291" s="368" t="s">
        <v>1378</v>
      </c>
      <c r="X1291" s="368">
        <v>0</v>
      </c>
      <c r="Y1291" s="368">
        <v>99</v>
      </c>
      <c r="Z1291" s="368"/>
      <c r="AA1291" s="368"/>
      <c r="AB1291" s="368"/>
      <c r="AC1291" s="368"/>
      <c r="AD1291" s="368"/>
      <c r="AE1291" s="368"/>
      <c r="AF1291" s="377"/>
      <c r="AJ1291" s="337">
        <v>271</v>
      </c>
    </row>
    <row r="1292" spans="1:36">
      <c r="A1292" s="332">
        <f t="shared" si="46"/>
        <v>272</v>
      </c>
      <c r="G1292" s="349" t="s">
        <v>2201</v>
      </c>
      <c r="H1292" s="368" t="s">
        <v>2202</v>
      </c>
      <c r="I1292" s="368" t="s">
        <v>2203</v>
      </c>
      <c r="J1292" s="368" t="s">
        <v>1375</v>
      </c>
      <c r="K1292" s="368" t="s">
        <v>2203</v>
      </c>
      <c r="L1292" s="368" t="s">
        <v>1375</v>
      </c>
      <c r="M1292" s="368" t="s">
        <v>1384</v>
      </c>
      <c r="N1292" s="368" t="s">
        <v>867</v>
      </c>
      <c r="O1292" s="376">
        <v>54806</v>
      </c>
      <c r="P1292" s="368" t="s">
        <v>1385</v>
      </c>
      <c r="Q1292" s="368" t="s">
        <v>1443</v>
      </c>
      <c r="R1292" s="368" t="s">
        <v>867</v>
      </c>
      <c r="S1292" s="368" t="s">
        <v>864</v>
      </c>
      <c r="T1292" s="368" t="s">
        <v>362</v>
      </c>
      <c r="U1292" s="368" t="s">
        <v>867</v>
      </c>
      <c r="V1292" s="368" t="s">
        <v>867</v>
      </c>
      <c r="W1292" s="368" t="s">
        <v>1378</v>
      </c>
      <c r="X1292" s="368">
        <v>0</v>
      </c>
      <c r="Y1292" s="368">
        <v>99</v>
      </c>
      <c r="Z1292" s="368"/>
      <c r="AA1292" s="368"/>
      <c r="AB1292" s="368"/>
      <c r="AC1292" s="368"/>
      <c r="AD1292" s="368"/>
      <c r="AE1292" s="368"/>
      <c r="AF1292" s="377"/>
      <c r="AJ1292" s="337">
        <v>272</v>
      </c>
    </row>
    <row r="1293" spans="1:36">
      <c r="A1293" s="332">
        <f t="shared" si="46"/>
        <v>273</v>
      </c>
      <c r="G1293" s="349" t="s">
        <v>2204</v>
      </c>
      <c r="H1293" s="368" t="s">
        <v>2205</v>
      </c>
      <c r="I1293" s="368" t="s">
        <v>2206</v>
      </c>
      <c r="J1293" s="368" t="s">
        <v>1375</v>
      </c>
      <c r="K1293" s="368" t="s">
        <v>2206</v>
      </c>
      <c r="L1293" s="368" t="s">
        <v>1375</v>
      </c>
      <c r="M1293" s="368" t="s">
        <v>1384</v>
      </c>
      <c r="N1293" s="368" t="s">
        <v>867</v>
      </c>
      <c r="O1293" s="376">
        <v>12983</v>
      </c>
      <c r="P1293" s="368" t="s">
        <v>1385</v>
      </c>
      <c r="Q1293" s="368" t="s">
        <v>1386</v>
      </c>
      <c r="R1293" s="368" t="s">
        <v>867</v>
      </c>
      <c r="S1293" s="368" t="s">
        <v>864</v>
      </c>
      <c r="T1293" s="368" t="s">
        <v>362</v>
      </c>
      <c r="U1293" s="368" t="s">
        <v>867</v>
      </c>
      <c r="V1293" s="368" t="s">
        <v>867</v>
      </c>
      <c r="W1293" s="368" t="s">
        <v>1378</v>
      </c>
      <c r="X1293" s="368">
        <v>1600</v>
      </c>
      <c r="Y1293" s="368">
        <v>99</v>
      </c>
      <c r="Z1293" s="368"/>
      <c r="AA1293" s="368"/>
      <c r="AB1293" s="368"/>
      <c r="AC1293" s="368"/>
      <c r="AD1293" s="368"/>
      <c r="AE1293" s="368"/>
      <c r="AF1293" s="377"/>
      <c r="AJ1293" s="337">
        <v>273</v>
      </c>
    </row>
    <row r="1294" spans="1:36">
      <c r="A1294" s="332">
        <f t="shared" si="46"/>
        <v>274</v>
      </c>
      <c r="G1294" s="349" t="s">
        <v>2207</v>
      </c>
      <c r="H1294" s="368" t="s">
        <v>2208</v>
      </c>
      <c r="I1294" s="368" t="s">
        <v>1404</v>
      </c>
      <c r="J1294" s="368" t="s">
        <v>1375</v>
      </c>
      <c r="K1294" s="368" t="s">
        <v>1404</v>
      </c>
      <c r="L1294" s="368" t="s">
        <v>1375</v>
      </c>
      <c r="M1294" s="368" t="s">
        <v>1376</v>
      </c>
      <c r="N1294" s="368" t="s">
        <v>867</v>
      </c>
      <c r="O1294" s="376">
        <v>70080</v>
      </c>
      <c r="P1294" s="368" t="s">
        <v>1385</v>
      </c>
      <c r="Q1294" s="368" t="s">
        <v>1386</v>
      </c>
      <c r="R1294" s="368" t="s">
        <v>867</v>
      </c>
      <c r="S1294" s="368" t="s">
        <v>864</v>
      </c>
      <c r="T1294" s="368" t="s">
        <v>362</v>
      </c>
      <c r="U1294" s="368" t="s">
        <v>867</v>
      </c>
      <c r="V1294" s="368" t="s">
        <v>867</v>
      </c>
      <c r="W1294" s="368" t="s">
        <v>1378</v>
      </c>
      <c r="X1294" s="368">
        <v>0</v>
      </c>
      <c r="Y1294" s="368">
        <v>99</v>
      </c>
      <c r="Z1294" s="368"/>
      <c r="AA1294" s="368"/>
      <c r="AB1294" s="368"/>
      <c r="AC1294" s="368"/>
      <c r="AD1294" s="368"/>
      <c r="AE1294" s="368"/>
      <c r="AF1294" s="377"/>
      <c r="AJ1294" s="337">
        <v>274</v>
      </c>
    </row>
    <row r="1295" spans="1:36">
      <c r="A1295" s="332">
        <f t="shared" si="46"/>
        <v>275</v>
      </c>
      <c r="G1295" s="349" t="s">
        <v>2209</v>
      </c>
      <c r="H1295" s="368" t="s">
        <v>2210</v>
      </c>
      <c r="I1295" s="368" t="s">
        <v>2211</v>
      </c>
      <c r="J1295" s="368" t="s">
        <v>1375</v>
      </c>
      <c r="K1295" s="368" t="s">
        <v>2211</v>
      </c>
      <c r="L1295" s="368" t="s">
        <v>1375</v>
      </c>
      <c r="M1295" s="368" t="s">
        <v>1384</v>
      </c>
      <c r="N1295" s="368" t="s">
        <v>867</v>
      </c>
      <c r="O1295" s="376">
        <v>82737</v>
      </c>
      <c r="P1295" s="368" t="s">
        <v>1385</v>
      </c>
      <c r="Q1295" s="368" t="s">
        <v>1688</v>
      </c>
      <c r="R1295" s="368" t="s">
        <v>867</v>
      </c>
      <c r="S1295" s="368" t="s">
        <v>864</v>
      </c>
      <c r="T1295" s="368" t="s">
        <v>362</v>
      </c>
      <c r="U1295" s="368" t="s">
        <v>867</v>
      </c>
      <c r="V1295" s="368" t="s">
        <v>867</v>
      </c>
      <c r="W1295" s="368" t="s">
        <v>1378</v>
      </c>
      <c r="X1295" s="368">
        <v>0</v>
      </c>
      <c r="Y1295" s="368">
        <v>99</v>
      </c>
      <c r="Z1295" s="368"/>
      <c r="AA1295" s="368"/>
      <c r="AB1295" s="368"/>
      <c r="AC1295" s="368"/>
      <c r="AD1295" s="368"/>
      <c r="AE1295" s="368"/>
      <c r="AF1295" s="377"/>
      <c r="AJ1295" s="337">
        <v>275</v>
      </c>
    </row>
    <row r="1296" spans="1:36">
      <c r="A1296" s="332">
        <f t="shared" si="46"/>
        <v>276</v>
      </c>
      <c r="G1296" s="349" t="s">
        <v>2212</v>
      </c>
      <c r="H1296" s="368" t="s">
        <v>2213</v>
      </c>
      <c r="I1296" s="368" t="s">
        <v>2214</v>
      </c>
      <c r="J1296" s="368" t="s">
        <v>1375</v>
      </c>
      <c r="K1296" s="368" t="s">
        <v>2214</v>
      </c>
      <c r="L1296" s="368" t="s">
        <v>1375</v>
      </c>
      <c r="M1296" s="368" t="s">
        <v>1384</v>
      </c>
      <c r="N1296" s="368" t="s">
        <v>867</v>
      </c>
      <c r="O1296" s="376">
        <v>50367</v>
      </c>
      <c r="P1296" s="368" t="s">
        <v>1385</v>
      </c>
      <c r="Q1296" s="368" t="s">
        <v>1386</v>
      </c>
      <c r="R1296" s="368" t="s">
        <v>867</v>
      </c>
      <c r="S1296" s="368" t="s">
        <v>864</v>
      </c>
      <c r="T1296" s="368" t="s">
        <v>362</v>
      </c>
      <c r="U1296" s="368" t="s">
        <v>867</v>
      </c>
      <c r="V1296" s="368" t="s">
        <v>867</v>
      </c>
      <c r="W1296" s="368" t="s">
        <v>1378</v>
      </c>
      <c r="X1296" s="368">
        <v>600</v>
      </c>
      <c r="Y1296" s="368">
        <v>99</v>
      </c>
      <c r="Z1296" s="368"/>
      <c r="AA1296" s="368"/>
      <c r="AB1296" s="368"/>
      <c r="AC1296" s="368"/>
      <c r="AD1296" s="368"/>
      <c r="AE1296" s="368"/>
      <c r="AF1296" s="377"/>
      <c r="AJ1296" s="337">
        <v>276</v>
      </c>
    </row>
    <row r="1297" spans="1:36">
      <c r="A1297" s="332">
        <f t="shared" si="46"/>
        <v>277</v>
      </c>
      <c r="G1297" s="349" t="s">
        <v>2215</v>
      </c>
      <c r="H1297" s="368" t="s">
        <v>2216</v>
      </c>
      <c r="I1297" s="368" t="s">
        <v>1404</v>
      </c>
      <c r="J1297" s="368" t="s">
        <v>1442</v>
      </c>
      <c r="K1297" s="368" t="s">
        <v>1404</v>
      </c>
      <c r="L1297" s="368" t="s">
        <v>1442</v>
      </c>
      <c r="M1297" s="368" t="s">
        <v>1384</v>
      </c>
      <c r="N1297" s="368" t="s">
        <v>867</v>
      </c>
      <c r="O1297" s="376">
        <v>97718</v>
      </c>
      <c r="P1297" s="368" t="s">
        <v>1385</v>
      </c>
      <c r="Q1297" s="368" t="s">
        <v>1688</v>
      </c>
      <c r="R1297" s="368" t="s">
        <v>867</v>
      </c>
      <c r="S1297" s="368" t="s">
        <v>864</v>
      </c>
      <c r="T1297" s="368" t="s">
        <v>362</v>
      </c>
      <c r="U1297" s="368" t="s">
        <v>867</v>
      </c>
      <c r="V1297" s="368" t="s">
        <v>867</v>
      </c>
      <c r="W1297" s="368" t="s">
        <v>1378</v>
      </c>
      <c r="X1297" s="368">
        <v>1945</v>
      </c>
      <c r="Y1297" s="368">
        <v>99</v>
      </c>
      <c r="Z1297" s="368"/>
      <c r="AA1297" s="368"/>
      <c r="AB1297" s="368"/>
      <c r="AC1297" s="368"/>
      <c r="AD1297" s="368"/>
      <c r="AE1297" s="368"/>
      <c r="AF1297" s="377"/>
      <c r="AJ1297" s="337">
        <v>277</v>
      </c>
    </row>
    <row r="1298" spans="1:36">
      <c r="A1298" s="332">
        <f t="shared" si="46"/>
        <v>278</v>
      </c>
      <c r="G1298" s="349" t="s">
        <v>2217</v>
      </c>
      <c r="H1298" s="368" t="s">
        <v>2218</v>
      </c>
      <c r="I1298" s="368" t="s">
        <v>2219</v>
      </c>
      <c r="J1298" s="368" t="s">
        <v>1375</v>
      </c>
      <c r="K1298" s="368" t="s">
        <v>2219</v>
      </c>
      <c r="L1298" s="368" t="s">
        <v>1375</v>
      </c>
      <c r="M1298" s="368" t="s">
        <v>1384</v>
      </c>
      <c r="N1298" s="368" t="s">
        <v>867</v>
      </c>
      <c r="O1298" s="376">
        <v>98727</v>
      </c>
      <c r="P1298" s="368" t="s">
        <v>1385</v>
      </c>
      <c r="Q1298" s="368" t="s">
        <v>1443</v>
      </c>
      <c r="R1298" s="368" t="s">
        <v>867</v>
      </c>
      <c r="S1298" s="368" t="s">
        <v>864</v>
      </c>
      <c r="T1298" s="368" t="s">
        <v>362</v>
      </c>
      <c r="U1298" s="368" t="s">
        <v>867</v>
      </c>
      <c r="V1298" s="368" t="s">
        <v>867</v>
      </c>
      <c r="W1298" s="368" t="s">
        <v>1378</v>
      </c>
      <c r="X1298" s="368">
        <v>0</v>
      </c>
      <c r="Y1298" s="368">
        <v>99</v>
      </c>
      <c r="Z1298" s="368"/>
      <c r="AA1298" s="368"/>
      <c r="AB1298" s="368"/>
      <c r="AC1298" s="368"/>
      <c r="AD1298" s="368"/>
      <c r="AE1298" s="368"/>
      <c r="AF1298" s="377"/>
      <c r="AJ1298" s="337">
        <v>278</v>
      </c>
    </row>
    <row r="1299" spans="1:36">
      <c r="A1299" s="332">
        <f t="shared" si="46"/>
        <v>279</v>
      </c>
      <c r="G1299" s="349" t="s">
        <v>2220</v>
      </c>
      <c r="H1299" s="368" t="s">
        <v>2221</v>
      </c>
      <c r="I1299" s="368" t="s">
        <v>2222</v>
      </c>
      <c r="J1299" s="368" t="s">
        <v>1399</v>
      </c>
      <c r="K1299" s="368" t="s">
        <v>2222</v>
      </c>
      <c r="L1299" s="368" t="s">
        <v>1399</v>
      </c>
      <c r="M1299" s="368" t="s">
        <v>1384</v>
      </c>
      <c r="N1299" s="368" t="s">
        <v>867</v>
      </c>
      <c r="O1299" s="376">
        <v>98911</v>
      </c>
      <c r="P1299" s="368" t="s">
        <v>1385</v>
      </c>
      <c r="Q1299" s="368" t="s">
        <v>1443</v>
      </c>
      <c r="R1299" s="368" t="s">
        <v>867</v>
      </c>
      <c r="S1299" s="368" t="s">
        <v>867</v>
      </c>
      <c r="T1299" s="368" t="s">
        <v>362</v>
      </c>
      <c r="U1299" s="368" t="s">
        <v>867</v>
      </c>
      <c r="V1299" s="368" t="s">
        <v>867</v>
      </c>
      <c r="W1299" s="368" t="s">
        <v>1378</v>
      </c>
      <c r="X1299" s="368">
        <v>0</v>
      </c>
      <c r="Y1299" s="368">
        <v>99</v>
      </c>
      <c r="Z1299" s="368"/>
      <c r="AA1299" s="368"/>
      <c r="AB1299" s="368"/>
      <c r="AC1299" s="368"/>
      <c r="AD1299" s="368"/>
      <c r="AE1299" s="368"/>
      <c r="AF1299" s="377"/>
      <c r="AJ1299" s="337">
        <v>279</v>
      </c>
    </row>
    <row r="1300" spans="1:36">
      <c r="A1300" s="332">
        <f t="shared" si="46"/>
        <v>280</v>
      </c>
      <c r="G1300" s="349" t="s">
        <v>2223</v>
      </c>
      <c r="H1300" s="368" t="s">
        <v>2224</v>
      </c>
      <c r="I1300" s="368" t="s">
        <v>1404</v>
      </c>
      <c r="J1300" s="368" t="s">
        <v>1442</v>
      </c>
      <c r="K1300" s="368" t="s">
        <v>1404</v>
      </c>
      <c r="L1300" s="368" t="s">
        <v>1442</v>
      </c>
      <c r="M1300" s="368" t="s">
        <v>1384</v>
      </c>
      <c r="N1300" s="368" t="s">
        <v>867</v>
      </c>
      <c r="O1300" s="376">
        <v>17212</v>
      </c>
      <c r="P1300" s="368" t="s">
        <v>1385</v>
      </c>
      <c r="Q1300" s="368" t="s">
        <v>1386</v>
      </c>
      <c r="R1300" s="368" t="s">
        <v>867</v>
      </c>
      <c r="S1300" s="368" t="s">
        <v>864</v>
      </c>
      <c r="T1300" s="368" t="s">
        <v>362</v>
      </c>
      <c r="U1300" s="368" t="s">
        <v>867</v>
      </c>
      <c r="V1300" s="368" t="s">
        <v>867</v>
      </c>
      <c r="W1300" s="368" t="s">
        <v>1378</v>
      </c>
      <c r="X1300" s="368">
        <v>0</v>
      </c>
      <c r="Y1300" s="368">
        <v>99</v>
      </c>
      <c r="Z1300" s="368"/>
      <c r="AA1300" s="368"/>
      <c r="AB1300" s="368"/>
      <c r="AC1300" s="368"/>
      <c r="AD1300" s="368"/>
      <c r="AE1300" s="368"/>
      <c r="AF1300" s="377"/>
      <c r="AJ1300" s="337">
        <v>280</v>
      </c>
    </row>
    <row r="1301" spans="1:36">
      <c r="A1301" s="332">
        <f t="shared" si="46"/>
        <v>281</v>
      </c>
      <c r="G1301" s="349" t="s">
        <v>2225</v>
      </c>
      <c r="H1301" s="368" t="s">
        <v>2226</v>
      </c>
      <c r="I1301" s="368" t="s">
        <v>2227</v>
      </c>
      <c r="J1301" s="368" t="s">
        <v>1442</v>
      </c>
      <c r="K1301" s="368" t="s">
        <v>2227</v>
      </c>
      <c r="L1301" s="368" t="s">
        <v>1442</v>
      </c>
      <c r="M1301" s="368" t="s">
        <v>1700</v>
      </c>
      <c r="N1301" s="368" t="s">
        <v>867</v>
      </c>
      <c r="O1301" s="376">
        <v>43115</v>
      </c>
      <c r="P1301" s="368" t="s">
        <v>1385</v>
      </c>
      <c r="Q1301" s="368" t="s">
        <v>1386</v>
      </c>
      <c r="R1301" s="368" t="s">
        <v>867</v>
      </c>
      <c r="S1301" s="368" t="s">
        <v>864</v>
      </c>
      <c r="T1301" s="368" t="s">
        <v>1387</v>
      </c>
      <c r="U1301" s="368" t="s">
        <v>867</v>
      </c>
      <c r="V1301" s="368" t="s">
        <v>867</v>
      </c>
      <c r="W1301" s="368" t="s">
        <v>1378</v>
      </c>
      <c r="X1301" s="368">
        <v>0</v>
      </c>
      <c r="Y1301" s="368">
        <v>99</v>
      </c>
      <c r="Z1301" s="368"/>
      <c r="AA1301" s="368"/>
      <c r="AB1301" s="368"/>
      <c r="AC1301" s="368"/>
      <c r="AD1301" s="368"/>
      <c r="AE1301" s="368"/>
      <c r="AF1301" s="377"/>
      <c r="AJ1301" s="337">
        <v>281</v>
      </c>
    </row>
    <row r="1302" spans="1:36">
      <c r="A1302" s="332">
        <f t="shared" si="46"/>
        <v>282</v>
      </c>
      <c r="G1302" s="349" t="s">
        <v>2228</v>
      </c>
      <c r="H1302" s="368" t="s">
        <v>2229</v>
      </c>
      <c r="I1302" s="368" t="s">
        <v>1630</v>
      </c>
      <c r="J1302" s="368" t="s">
        <v>1375</v>
      </c>
      <c r="K1302" s="368" t="s">
        <v>1630</v>
      </c>
      <c r="L1302" s="368" t="s">
        <v>1375</v>
      </c>
      <c r="M1302" s="368" t="s">
        <v>1384</v>
      </c>
      <c r="N1302" s="368" t="s">
        <v>867</v>
      </c>
      <c r="O1302" s="376">
        <v>22539</v>
      </c>
      <c r="P1302" s="368" t="s">
        <v>1385</v>
      </c>
      <c r="Q1302" s="368" t="s">
        <v>1386</v>
      </c>
      <c r="R1302" s="368" t="s">
        <v>867</v>
      </c>
      <c r="S1302" s="368" t="s">
        <v>864</v>
      </c>
      <c r="T1302" s="368" t="s">
        <v>362</v>
      </c>
      <c r="U1302" s="368" t="s">
        <v>867</v>
      </c>
      <c r="V1302" s="368" t="s">
        <v>867</v>
      </c>
      <c r="W1302" s="368" t="s">
        <v>1378</v>
      </c>
      <c r="X1302" s="368">
        <v>500</v>
      </c>
      <c r="Y1302" s="368">
        <v>99</v>
      </c>
      <c r="Z1302" s="368"/>
      <c r="AA1302" s="368"/>
      <c r="AB1302" s="368"/>
      <c r="AC1302" s="368"/>
      <c r="AD1302" s="368"/>
      <c r="AE1302" s="368"/>
      <c r="AF1302" s="377"/>
      <c r="AJ1302" s="337">
        <v>282</v>
      </c>
    </row>
    <row r="1303" spans="1:36">
      <c r="A1303" s="332">
        <f t="shared" si="46"/>
        <v>283</v>
      </c>
      <c r="G1303" s="349" t="s">
        <v>2230</v>
      </c>
      <c r="H1303" s="368" t="s">
        <v>2231</v>
      </c>
      <c r="I1303" s="368" t="s">
        <v>2232</v>
      </c>
      <c r="J1303" s="368" t="s">
        <v>1375</v>
      </c>
      <c r="K1303" s="368" t="s">
        <v>2232</v>
      </c>
      <c r="L1303" s="368" t="s">
        <v>1375</v>
      </c>
      <c r="M1303" s="368" t="s">
        <v>1376</v>
      </c>
      <c r="N1303" s="368" t="s">
        <v>867</v>
      </c>
      <c r="O1303" s="376">
        <v>11330</v>
      </c>
      <c r="P1303" s="368" t="s">
        <v>1385</v>
      </c>
      <c r="Q1303" s="368" t="s">
        <v>1443</v>
      </c>
      <c r="R1303" s="368" t="s">
        <v>867</v>
      </c>
      <c r="S1303" s="368" t="s">
        <v>864</v>
      </c>
      <c r="T1303" s="368" t="s">
        <v>362</v>
      </c>
      <c r="U1303" s="368" t="s">
        <v>867</v>
      </c>
      <c r="V1303" s="368" t="s">
        <v>867</v>
      </c>
      <c r="W1303" s="368" t="s">
        <v>1378</v>
      </c>
      <c r="X1303" s="368">
        <v>5135</v>
      </c>
      <c r="Y1303" s="368">
        <v>99</v>
      </c>
      <c r="Z1303" s="368"/>
      <c r="AA1303" s="368"/>
      <c r="AB1303" s="368"/>
      <c r="AC1303" s="368"/>
      <c r="AD1303" s="368"/>
      <c r="AE1303" s="368"/>
      <c r="AF1303" s="377"/>
      <c r="AJ1303" s="337">
        <v>283</v>
      </c>
    </row>
    <row r="1304" spans="1:36">
      <c r="A1304" s="332">
        <f t="shared" si="46"/>
        <v>284</v>
      </c>
      <c r="G1304" s="349" t="s">
        <v>2233</v>
      </c>
      <c r="H1304" s="368" t="s">
        <v>2234</v>
      </c>
      <c r="I1304" s="368" t="s">
        <v>2235</v>
      </c>
      <c r="J1304" s="368" t="s">
        <v>1375</v>
      </c>
      <c r="K1304" s="368" t="s">
        <v>2235</v>
      </c>
      <c r="L1304" s="368" t="s">
        <v>1375</v>
      </c>
      <c r="M1304" s="368" t="s">
        <v>1384</v>
      </c>
      <c r="N1304" s="368" t="s">
        <v>867</v>
      </c>
      <c r="O1304" s="376">
        <v>87310</v>
      </c>
      <c r="P1304" s="368" t="s">
        <v>1385</v>
      </c>
      <c r="Q1304" s="368" t="s">
        <v>1386</v>
      </c>
      <c r="R1304" s="368" t="s">
        <v>867</v>
      </c>
      <c r="S1304" s="368" t="s">
        <v>864</v>
      </c>
      <c r="T1304" s="368" t="s">
        <v>362</v>
      </c>
      <c r="U1304" s="368" t="s">
        <v>867</v>
      </c>
      <c r="V1304" s="368" t="s">
        <v>867</v>
      </c>
      <c r="W1304" s="368" t="s">
        <v>1378</v>
      </c>
      <c r="X1304" s="368">
        <v>0</v>
      </c>
      <c r="Y1304" s="368">
        <v>99</v>
      </c>
      <c r="Z1304" s="368"/>
      <c r="AA1304" s="368"/>
      <c r="AB1304" s="368"/>
      <c r="AC1304" s="368"/>
      <c r="AD1304" s="368"/>
      <c r="AE1304" s="368"/>
      <c r="AF1304" s="377"/>
      <c r="AJ1304" s="337">
        <v>284</v>
      </c>
    </row>
    <row r="1305" spans="1:36">
      <c r="A1305" s="332">
        <f t="shared" si="46"/>
        <v>285</v>
      </c>
      <c r="G1305" s="349" t="s">
        <v>2236</v>
      </c>
      <c r="H1305" s="368" t="s">
        <v>2237</v>
      </c>
      <c r="I1305" s="368" t="s">
        <v>2238</v>
      </c>
      <c r="J1305" s="368" t="s">
        <v>1375</v>
      </c>
      <c r="K1305" s="368" t="s">
        <v>2238</v>
      </c>
      <c r="L1305" s="368" t="s">
        <v>1375</v>
      </c>
      <c r="M1305" s="368" t="s">
        <v>1384</v>
      </c>
      <c r="N1305" s="368" t="s">
        <v>867</v>
      </c>
      <c r="O1305" s="376">
        <v>20660</v>
      </c>
      <c r="P1305" s="368" t="s">
        <v>1385</v>
      </c>
      <c r="Q1305" s="368" t="s">
        <v>1386</v>
      </c>
      <c r="R1305" s="368" t="s">
        <v>867</v>
      </c>
      <c r="S1305" s="368" t="s">
        <v>864</v>
      </c>
      <c r="T1305" s="368" t="s">
        <v>362</v>
      </c>
      <c r="U1305" s="368" t="s">
        <v>867</v>
      </c>
      <c r="V1305" s="368" t="s">
        <v>867</v>
      </c>
      <c r="W1305" s="368" t="s">
        <v>1378</v>
      </c>
      <c r="X1305" s="368">
        <v>0</v>
      </c>
      <c r="Y1305" s="368">
        <v>99</v>
      </c>
      <c r="Z1305" s="368"/>
      <c r="AA1305" s="368"/>
      <c r="AB1305" s="368"/>
      <c r="AC1305" s="368"/>
      <c r="AD1305" s="368"/>
      <c r="AE1305" s="368"/>
      <c r="AF1305" s="377"/>
      <c r="AJ1305" s="337">
        <v>285</v>
      </c>
    </row>
    <row r="1306" spans="1:36">
      <c r="A1306" s="332">
        <f t="shared" si="46"/>
        <v>286</v>
      </c>
      <c r="G1306" s="349" t="s">
        <v>2239</v>
      </c>
      <c r="H1306" s="368" t="s">
        <v>2240</v>
      </c>
      <c r="I1306" s="368" t="s">
        <v>2241</v>
      </c>
      <c r="J1306" s="368" t="s">
        <v>1375</v>
      </c>
      <c r="K1306" s="368" t="s">
        <v>2241</v>
      </c>
      <c r="L1306" s="368" t="s">
        <v>1375</v>
      </c>
      <c r="M1306" s="368" t="s">
        <v>1376</v>
      </c>
      <c r="N1306" s="368" t="s">
        <v>867</v>
      </c>
      <c r="O1306" s="376">
        <v>96883</v>
      </c>
      <c r="P1306" s="368" t="s">
        <v>1385</v>
      </c>
      <c r="Q1306" s="368" t="s">
        <v>1386</v>
      </c>
      <c r="R1306" s="368" t="s">
        <v>867</v>
      </c>
      <c r="S1306" s="368" t="s">
        <v>864</v>
      </c>
      <c r="T1306" s="368" t="s">
        <v>1387</v>
      </c>
      <c r="U1306" s="368" t="s">
        <v>867</v>
      </c>
      <c r="V1306" s="368" t="s">
        <v>867</v>
      </c>
      <c r="W1306" s="368" t="s">
        <v>1378</v>
      </c>
      <c r="X1306" s="368">
        <v>0</v>
      </c>
      <c r="Y1306" s="368">
        <v>99</v>
      </c>
      <c r="Z1306" s="368"/>
      <c r="AA1306" s="368"/>
      <c r="AB1306" s="368"/>
      <c r="AC1306" s="368"/>
      <c r="AD1306" s="368"/>
      <c r="AE1306" s="368"/>
      <c r="AF1306" s="377"/>
      <c r="AJ1306" s="337">
        <v>286</v>
      </c>
    </row>
    <row r="1307" spans="1:36">
      <c r="A1307" s="332">
        <f t="shared" si="46"/>
        <v>287</v>
      </c>
      <c r="G1307" s="349" t="s">
        <v>2242</v>
      </c>
      <c r="H1307" s="368" t="s">
        <v>2243</v>
      </c>
      <c r="I1307" s="368" t="s">
        <v>2244</v>
      </c>
      <c r="J1307" s="368" t="s">
        <v>1375</v>
      </c>
      <c r="K1307" s="368" t="s">
        <v>2244</v>
      </c>
      <c r="L1307" s="368" t="s">
        <v>1375</v>
      </c>
      <c r="M1307" s="368" t="s">
        <v>1700</v>
      </c>
      <c r="N1307" s="368" t="s">
        <v>867</v>
      </c>
      <c r="O1307" s="376">
        <v>35497</v>
      </c>
      <c r="P1307" s="368" t="s">
        <v>1385</v>
      </c>
      <c r="Q1307" s="368" t="s">
        <v>1386</v>
      </c>
      <c r="R1307" s="368" t="s">
        <v>867</v>
      </c>
      <c r="S1307" s="368" t="s">
        <v>864</v>
      </c>
      <c r="T1307" s="368" t="s">
        <v>362</v>
      </c>
      <c r="U1307" s="368" t="s">
        <v>867</v>
      </c>
      <c r="V1307" s="368" t="s">
        <v>867</v>
      </c>
      <c r="W1307" s="368" t="s">
        <v>1378</v>
      </c>
      <c r="X1307" s="368">
        <v>1610</v>
      </c>
      <c r="Y1307" s="368">
        <v>99</v>
      </c>
      <c r="Z1307" s="368"/>
      <c r="AA1307" s="368"/>
      <c r="AB1307" s="368"/>
      <c r="AC1307" s="368"/>
      <c r="AD1307" s="368"/>
      <c r="AE1307" s="368"/>
      <c r="AF1307" s="377"/>
      <c r="AJ1307" s="337">
        <v>287</v>
      </c>
    </row>
    <row r="1308" spans="1:36">
      <c r="A1308" s="332">
        <f t="shared" si="46"/>
        <v>288</v>
      </c>
      <c r="G1308" s="349" t="s">
        <v>2245</v>
      </c>
      <c r="H1308" s="368" t="s">
        <v>2246</v>
      </c>
      <c r="I1308" s="368" t="s">
        <v>2247</v>
      </c>
      <c r="J1308" s="368" t="s">
        <v>1399</v>
      </c>
      <c r="K1308" s="368" t="s">
        <v>2247</v>
      </c>
      <c r="L1308" s="368" t="s">
        <v>1399</v>
      </c>
      <c r="M1308" s="368" t="s">
        <v>1376</v>
      </c>
      <c r="N1308" s="368" t="s">
        <v>867</v>
      </c>
      <c r="O1308" s="376">
        <v>17234</v>
      </c>
      <c r="P1308" s="368" t="s">
        <v>339</v>
      </c>
      <c r="Q1308" s="368" t="s">
        <v>1386</v>
      </c>
      <c r="R1308" s="368" t="s">
        <v>867</v>
      </c>
      <c r="S1308" s="368" t="s">
        <v>864</v>
      </c>
      <c r="T1308" s="368" t="s">
        <v>362</v>
      </c>
      <c r="U1308" s="368" t="s">
        <v>867</v>
      </c>
      <c r="V1308" s="368" t="s">
        <v>867</v>
      </c>
      <c r="W1308" s="368" t="s">
        <v>1378</v>
      </c>
      <c r="X1308" s="368">
        <v>0</v>
      </c>
      <c r="Y1308" s="368">
        <v>99</v>
      </c>
      <c r="Z1308" s="368"/>
      <c r="AA1308" s="368"/>
      <c r="AB1308" s="368"/>
      <c r="AC1308" s="368"/>
      <c r="AD1308" s="368"/>
      <c r="AE1308" s="368"/>
      <c r="AF1308" s="377"/>
      <c r="AJ1308" s="337">
        <v>288</v>
      </c>
    </row>
    <row r="1309" spans="1:36">
      <c r="A1309" s="332">
        <f t="shared" si="46"/>
        <v>289</v>
      </c>
      <c r="G1309" s="349" t="s">
        <v>2248</v>
      </c>
      <c r="H1309" s="368" t="s">
        <v>2249</v>
      </c>
      <c r="I1309" s="368" t="s">
        <v>2250</v>
      </c>
      <c r="J1309" s="368" t="s">
        <v>1375</v>
      </c>
      <c r="K1309" s="368" t="s">
        <v>2250</v>
      </c>
      <c r="L1309" s="368" t="s">
        <v>1375</v>
      </c>
      <c r="M1309" s="368" t="s">
        <v>1384</v>
      </c>
      <c r="N1309" s="368" t="s">
        <v>867</v>
      </c>
      <c r="O1309" s="376">
        <v>66705</v>
      </c>
      <c r="P1309" s="368" t="s">
        <v>1385</v>
      </c>
      <c r="Q1309" s="368" t="s">
        <v>1386</v>
      </c>
      <c r="R1309" s="368" t="s">
        <v>867</v>
      </c>
      <c r="S1309" s="368" t="s">
        <v>864</v>
      </c>
      <c r="T1309" s="368" t="s">
        <v>362</v>
      </c>
      <c r="U1309" s="368" t="s">
        <v>867</v>
      </c>
      <c r="V1309" s="368" t="s">
        <v>867</v>
      </c>
      <c r="W1309" s="368" t="s">
        <v>1378</v>
      </c>
      <c r="X1309" s="368">
        <v>0</v>
      </c>
      <c r="Y1309" s="368">
        <v>99</v>
      </c>
      <c r="Z1309" s="368"/>
      <c r="AA1309" s="368"/>
      <c r="AB1309" s="368"/>
      <c r="AC1309" s="368"/>
      <c r="AD1309" s="368"/>
      <c r="AE1309" s="368"/>
      <c r="AF1309" s="377"/>
      <c r="AJ1309" s="337">
        <v>289</v>
      </c>
    </row>
    <row r="1310" spans="1:36">
      <c r="A1310" s="332">
        <f t="shared" si="46"/>
        <v>290</v>
      </c>
      <c r="G1310" s="349" t="s">
        <v>2251</v>
      </c>
      <c r="H1310" s="368" t="s">
        <v>2252</v>
      </c>
      <c r="I1310" s="368" t="s">
        <v>2253</v>
      </c>
      <c r="J1310" s="368" t="s">
        <v>1399</v>
      </c>
      <c r="K1310" s="368" t="s">
        <v>2253</v>
      </c>
      <c r="L1310" s="368" t="s">
        <v>1399</v>
      </c>
      <c r="M1310" s="368" t="s">
        <v>1384</v>
      </c>
      <c r="N1310" s="368" t="s">
        <v>867</v>
      </c>
      <c r="O1310" s="376">
        <v>12398</v>
      </c>
      <c r="P1310" s="368" t="s">
        <v>1385</v>
      </c>
      <c r="Q1310" s="368" t="s">
        <v>1386</v>
      </c>
      <c r="R1310" s="368" t="s">
        <v>867</v>
      </c>
      <c r="S1310" s="368" t="s">
        <v>864</v>
      </c>
      <c r="T1310" s="368" t="s">
        <v>362</v>
      </c>
      <c r="U1310" s="368" t="s">
        <v>867</v>
      </c>
      <c r="V1310" s="368" t="s">
        <v>867</v>
      </c>
      <c r="W1310" s="368" t="s">
        <v>1378</v>
      </c>
      <c r="X1310" s="368">
        <v>0</v>
      </c>
      <c r="Y1310" s="368">
        <v>99</v>
      </c>
      <c r="Z1310" s="368"/>
      <c r="AA1310" s="368"/>
      <c r="AB1310" s="368"/>
      <c r="AC1310" s="368"/>
      <c r="AD1310" s="368"/>
      <c r="AE1310" s="368"/>
      <c r="AF1310" s="377"/>
      <c r="AJ1310" s="337">
        <v>290</v>
      </c>
    </row>
    <row r="1311" spans="1:36">
      <c r="A1311" s="332">
        <f t="shared" si="46"/>
        <v>291</v>
      </c>
      <c r="G1311" s="349" t="s">
        <v>2254</v>
      </c>
      <c r="H1311" s="368" t="s">
        <v>2255</v>
      </c>
      <c r="I1311" s="368" t="s">
        <v>2256</v>
      </c>
      <c r="J1311" s="368" t="s">
        <v>1433</v>
      </c>
      <c r="K1311" s="368" t="s">
        <v>2256</v>
      </c>
      <c r="L1311" s="368" t="s">
        <v>1433</v>
      </c>
      <c r="M1311" s="368" t="s">
        <v>1376</v>
      </c>
      <c r="N1311" s="368" t="s">
        <v>867</v>
      </c>
      <c r="O1311" s="376">
        <v>61815</v>
      </c>
      <c r="P1311" s="368" t="s">
        <v>339</v>
      </c>
      <c r="Q1311" s="368" t="s">
        <v>1386</v>
      </c>
      <c r="R1311" s="368" t="s">
        <v>867</v>
      </c>
      <c r="S1311" s="368" t="s">
        <v>864</v>
      </c>
      <c r="T1311" s="368" t="s">
        <v>362</v>
      </c>
      <c r="U1311" s="368" t="s">
        <v>867</v>
      </c>
      <c r="V1311" s="368" t="s">
        <v>867</v>
      </c>
      <c r="W1311" s="368" t="s">
        <v>1378</v>
      </c>
      <c r="X1311" s="368">
        <v>0</v>
      </c>
      <c r="Y1311" s="368">
        <v>99</v>
      </c>
      <c r="Z1311" s="368"/>
      <c r="AA1311" s="368"/>
      <c r="AB1311" s="368"/>
      <c r="AC1311" s="368"/>
      <c r="AD1311" s="368"/>
      <c r="AE1311" s="368"/>
      <c r="AF1311" s="377"/>
      <c r="AJ1311" s="337">
        <v>291</v>
      </c>
    </row>
    <row r="1312" spans="1:36">
      <c r="A1312" s="332">
        <f t="shared" si="46"/>
        <v>292</v>
      </c>
      <c r="G1312" s="349" t="s">
        <v>2257</v>
      </c>
      <c r="H1312" s="368" t="s">
        <v>2258</v>
      </c>
      <c r="I1312" s="368" t="s">
        <v>2259</v>
      </c>
      <c r="J1312" s="368" t="s">
        <v>1375</v>
      </c>
      <c r="K1312" s="368" t="s">
        <v>2259</v>
      </c>
      <c r="L1312" s="368" t="s">
        <v>1375</v>
      </c>
      <c r="M1312" s="368" t="s">
        <v>1384</v>
      </c>
      <c r="N1312" s="368" t="s">
        <v>867</v>
      </c>
      <c r="O1312" s="376">
        <v>47504</v>
      </c>
      <c r="P1312" s="368" t="s">
        <v>1385</v>
      </c>
      <c r="Q1312" s="368" t="s">
        <v>1386</v>
      </c>
      <c r="R1312" s="368" t="s">
        <v>867</v>
      </c>
      <c r="S1312" s="368" t="s">
        <v>864</v>
      </c>
      <c r="T1312" s="368" t="s">
        <v>362</v>
      </c>
      <c r="U1312" s="368" t="s">
        <v>867</v>
      </c>
      <c r="V1312" s="368" t="s">
        <v>867</v>
      </c>
      <c r="W1312" s="368" t="s">
        <v>1378</v>
      </c>
      <c r="X1312" s="368">
        <v>0</v>
      </c>
      <c r="Y1312" s="368">
        <v>99</v>
      </c>
      <c r="Z1312" s="368"/>
      <c r="AA1312" s="368"/>
      <c r="AB1312" s="368"/>
      <c r="AC1312" s="368"/>
      <c r="AD1312" s="368"/>
      <c r="AE1312" s="368"/>
      <c r="AF1312" s="377"/>
      <c r="AJ1312" s="337">
        <v>292</v>
      </c>
    </row>
    <row r="1313" spans="1:36">
      <c r="A1313" s="332">
        <f t="shared" si="46"/>
        <v>293</v>
      </c>
      <c r="G1313" s="349" t="s">
        <v>2260</v>
      </c>
      <c r="H1313" s="368" t="s">
        <v>2261</v>
      </c>
      <c r="I1313" s="368" t="s">
        <v>2259</v>
      </c>
      <c r="J1313" s="368" t="s">
        <v>1375</v>
      </c>
      <c r="K1313" s="368" t="s">
        <v>2259</v>
      </c>
      <c r="L1313" s="368" t="s">
        <v>1375</v>
      </c>
      <c r="M1313" s="368" t="s">
        <v>1384</v>
      </c>
      <c r="N1313" s="368" t="s">
        <v>867</v>
      </c>
      <c r="O1313" s="376">
        <v>95115</v>
      </c>
      <c r="P1313" s="368" t="s">
        <v>1385</v>
      </c>
      <c r="Q1313" s="368" t="s">
        <v>1386</v>
      </c>
      <c r="R1313" s="368" t="s">
        <v>867</v>
      </c>
      <c r="S1313" s="368" t="s">
        <v>864</v>
      </c>
      <c r="T1313" s="368" t="s">
        <v>362</v>
      </c>
      <c r="U1313" s="368" t="s">
        <v>867</v>
      </c>
      <c r="V1313" s="368" t="s">
        <v>867</v>
      </c>
      <c r="W1313" s="368" t="s">
        <v>1378</v>
      </c>
      <c r="X1313" s="368">
        <v>500</v>
      </c>
      <c r="Y1313" s="368">
        <v>99</v>
      </c>
      <c r="Z1313" s="368"/>
      <c r="AA1313" s="368"/>
      <c r="AB1313" s="368"/>
      <c r="AC1313" s="368"/>
      <c r="AD1313" s="368"/>
      <c r="AE1313" s="368"/>
      <c r="AF1313" s="377"/>
      <c r="AJ1313" s="337">
        <v>293</v>
      </c>
    </row>
    <row r="1314" spans="1:36">
      <c r="A1314" s="332">
        <f t="shared" si="46"/>
        <v>294</v>
      </c>
      <c r="G1314" s="349" t="s">
        <v>2262</v>
      </c>
      <c r="H1314" s="368" t="s">
        <v>2263</v>
      </c>
      <c r="I1314" s="368" t="s">
        <v>2264</v>
      </c>
      <c r="J1314" s="368" t="s">
        <v>1375</v>
      </c>
      <c r="K1314" s="368" t="s">
        <v>2264</v>
      </c>
      <c r="L1314" s="368" t="s">
        <v>1375</v>
      </c>
      <c r="M1314" s="368" t="s">
        <v>1384</v>
      </c>
      <c r="N1314" s="368" t="s">
        <v>867</v>
      </c>
      <c r="O1314" s="376">
        <v>86513</v>
      </c>
      <c r="P1314" s="368" t="s">
        <v>1385</v>
      </c>
      <c r="Q1314" s="368" t="s">
        <v>1386</v>
      </c>
      <c r="R1314" s="368" t="s">
        <v>867</v>
      </c>
      <c r="S1314" s="368" t="s">
        <v>864</v>
      </c>
      <c r="T1314" s="368" t="s">
        <v>362</v>
      </c>
      <c r="U1314" s="368" t="s">
        <v>867</v>
      </c>
      <c r="V1314" s="368" t="s">
        <v>867</v>
      </c>
      <c r="W1314" s="368" t="s">
        <v>1378</v>
      </c>
      <c r="X1314" s="368">
        <v>0</v>
      </c>
      <c r="Y1314" s="368">
        <v>99</v>
      </c>
      <c r="Z1314" s="368"/>
      <c r="AA1314" s="368"/>
      <c r="AB1314" s="368"/>
      <c r="AC1314" s="368"/>
      <c r="AD1314" s="368"/>
      <c r="AE1314" s="368"/>
      <c r="AF1314" s="377"/>
      <c r="AJ1314" s="337">
        <v>294</v>
      </c>
    </row>
    <row r="1315" spans="1:36">
      <c r="A1315" s="332">
        <f t="shared" si="46"/>
        <v>295</v>
      </c>
      <c r="G1315" s="349" t="s">
        <v>2265</v>
      </c>
      <c r="H1315" s="368" t="s">
        <v>2266</v>
      </c>
      <c r="I1315" s="368" t="s">
        <v>1864</v>
      </c>
      <c r="J1315" s="368" t="s">
        <v>1375</v>
      </c>
      <c r="K1315" s="368" t="s">
        <v>1864</v>
      </c>
      <c r="L1315" s="368" t="s">
        <v>1375</v>
      </c>
      <c r="M1315" s="368" t="s">
        <v>1384</v>
      </c>
      <c r="N1315" s="368" t="s">
        <v>867</v>
      </c>
      <c r="O1315" s="376">
        <v>37616</v>
      </c>
      <c r="P1315" s="368" t="s">
        <v>1385</v>
      </c>
      <c r="Q1315" s="368" t="s">
        <v>1386</v>
      </c>
      <c r="R1315" s="368" t="s">
        <v>867</v>
      </c>
      <c r="S1315" s="368" t="s">
        <v>864</v>
      </c>
      <c r="T1315" s="368" t="s">
        <v>362</v>
      </c>
      <c r="U1315" s="368" t="s">
        <v>867</v>
      </c>
      <c r="V1315" s="368" t="s">
        <v>867</v>
      </c>
      <c r="W1315" s="368" t="s">
        <v>1378</v>
      </c>
      <c r="X1315" s="368">
        <v>0</v>
      </c>
      <c r="Y1315" s="368">
        <v>99</v>
      </c>
      <c r="Z1315" s="368"/>
      <c r="AA1315" s="368"/>
      <c r="AB1315" s="368"/>
      <c r="AC1315" s="368"/>
      <c r="AD1315" s="368"/>
      <c r="AE1315" s="368"/>
      <c r="AF1315" s="377"/>
      <c r="AJ1315" s="337">
        <v>295</v>
      </c>
    </row>
    <row r="1316" spans="1:36">
      <c r="A1316" s="332">
        <f t="shared" si="46"/>
        <v>296</v>
      </c>
      <c r="G1316" s="349" t="s">
        <v>2267</v>
      </c>
      <c r="H1316" s="368" t="s">
        <v>2268</v>
      </c>
      <c r="I1316" s="368" t="s">
        <v>2269</v>
      </c>
      <c r="J1316" s="368" t="s">
        <v>1375</v>
      </c>
      <c r="K1316" s="368" t="s">
        <v>2269</v>
      </c>
      <c r="L1316" s="368" t="s">
        <v>1375</v>
      </c>
      <c r="M1316" s="368" t="s">
        <v>1384</v>
      </c>
      <c r="N1316" s="368" t="s">
        <v>867</v>
      </c>
      <c r="O1316" s="376">
        <v>82634</v>
      </c>
      <c r="P1316" s="368" t="s">
        <v>1385</v>
      </c>
      <c r="Q1316" s="368" t="s">
        <v>1386</v>
      </c>
      <c r="R1316" s="368" t="s">
        <v>867</v>
      </c>
      <c r="S1316" s="368" t="s">
        <v>864</v>
      </c>
      <c r="T1316" s="368" t="s">
        <v>362</v>
      </c>
      <c r="U1316" s="368" t="s">
        <v>867</v>
      </c>
      <c r="V1316" s="368" t="s">
        <v>867</v>
      </c>
      <c r="W1316" s="368" t="s">
        <v>1378</v>
      </c>
      <c r="X1316" s="368">
        <v>1100</v>
      </c>
      <c r="Y1316" s="368">
        <v>99</v>
      </c>
      <c r="Z1316" s="368"/>
      <c r="AA1316" s="368"/>
      <c r="AB1316" s="368"/>
      <c r="AC1316" s="368"/>
      <c r="AD1316" s="368"/>
      <c r="AE1316" s="368"/>
      <c r="AF1316" s="377"/>
      <c r="AJ1316" s="337">
        <v>296</v>
      </c>
    </row>
    <row r="1317" spans="1:36">
      <c r="A1317" s="332">
        <f t="shared" si="46"/>
        <v>297</v>
      </c>
      <c r="G1317" s="349" t="s">
        <v>2270</v>
      </c>
      <c r="H1317" s="368" t="s">
        <v>2271</v>
      </c>
      <c r="I1317" s="368" t="s">
        <v>2272</v>
      </c>
      <c r="J1317" s="368" t="s">
        <v>1375</v>
      </c>
      <c r="K1317" s="368" t="s">
        <v>2272</v>
      </c>
      <c r="L1317" s="368" t="s">
        <v>1375</v>
      </c>
      <c r="M1317" s="368" t="s">
        <v>1384</v>
      </c>
      <c r="N1317" s="368" t="s">
        <v>867</v>
      </c>
      <c r="O1317" s="376">
        <v>98255</v>
      </c>
      <c r="P1317" s="368" t="s">
        <v>1385</v>
      </c>
      <c r="Q1317" s="368" t="s">
        <v>1386</v>
      </c>
      <c r="R1317" s="368" t="s">
        <v>867</v>
      </c>
      <c r="S1317" s="368" t="s">
        <v>867</v>
      </c>
      <c r="T1317" s="368" t="s">
        <v>362</v>
      </c>
      <c r="U1317" s="368" t="s">
        <v>867</v>
      </c>
      <c r="V1317" s="368" t="s">
        <v>867</v>
      </c>
      <c r="W1317" s="368" t="s">
        <v>1378</v>
      </c>
      <c r="X1317" s="368">
        <v>1500</v>
      </c>
      <c r="Y1317" s="368">
        <v>99</v>
      </c>
      <c r="Z1317" s="368"/>
      <c r="AA1317" s="368"/>
      <c r="AB1317" s="368"/>
      <c r="AC1317" s="368"/>
      <c r="AD1317" s="368"/>
      <c r="AE1317" s="368"/>
      <c r="AF1317" s="377"/>
      <c r="AJ1317" s="337">
        <v>297</v>
      </c>
    </row>
    <row r="1318" spans="1:36">
      <c r="A1318" s="332">
        <f t="shared" si="46"/>
        <v>298</v>
      </c>
      <c r="G1318" s="349" t="s">
        <v>2273</v>
      </c>
      <c r="H1318" s="368" t="s">
        <v>2274</v>
      </c>
      <c r="I1318" s="368" t="s">
        <v>2275</v>
      </c>
      <c r="J1318" s="368" t="s">
        <v>1375</v>
      </c>
      <c r="K1318" s="368" t="s">
        <v>2275</v>
      </c>
      <c r="L1318" s="368" t="s">
        <v>1375</v>
      </c>
      <c r="M1318" s="368" t="s">
        <v>1384</v>
      </c>
      <c r="N1318" s="368" t="s">
        <v>867</v>
      </c>
      <c r="O1318" s="376">
        <v>33937</v>
      </c>
      <c r="P1318" s="368" t="s">
        <v>1385</v>
      </c>
      <c r="Q1318" s="368" t="s">
        <v>1386</v>
      </c>
      <c r="R1318" s="368" t="s">
        <v>867</v>
      </c>
      <c r="S1318" s="368" t="s">
        <v>864</v>
      </c>
      <c r="T1318" s="368" t="s">
        <v>1387</v>
      </c>
      <c r="U1318" s="368" t="s">
        <v>867</v>
      </c>
      <c r="V1318" s="368" t="s">
        <v>867</v>
      </c>
      <c r="W1318" s="368" t="s">
        <v>1378</v>
      </c>
      <c r="X1318" s="368">
        <v>0</v>
      </c>
      <c r="Y1318" s="368">
        <v>99</v>
      </c>
      <c r="Z1318" s="368"/>
      <c r="AA1318" s="368"/>
      <c r="AB1318" s="368"/>
      <c r="AC1318" s="368"/>
      <c r="AD1318" s="368"/>
      <c r="AE1318" s="368"/>
      <c r="AF1318" s="377"/>
      <c r="AJ1318" s="337">
        <v>298</v>
      </c>
    </row>
    <row r="1319" spans="1:36">
      <c r="A1319" s="332">
        <f t="shared" si="46"/>
        <v>299</v>
      </c>
      <c r="G1319" s="349" t="s">
        <v>2276</v>
      </c>
      <c r="H1319" s="368" t="s">
        <v>2277</v>
      </c>
      <c r="I1319" s="368" t="s">
        <v>2278</v>
      </c>
      <c r="J1319" s="368" t="s">
        <v>1375</v>
      </c>
      <c r="K1319" s="368" t="s">
        <v>2278</v>
      </c>
      <c r="L1319" s="368" t="s">
        <v>1375</v>
      </c>
      <c r="M1319" s="368" t="s">
        <v>1376</v>
      </c>
      <c r="N1319" s="368" t="s">
        <v>867</v>
      </c>
      <c r="O1319" s="376">
        <v>47856</v>
      </c>
      <c r="P1319" s="368" t="s">
        <v>1447</v>
      </c>
      <c r="Q1319" s="368" t="s">
        <v>1386</v>
      </c>
      <c r="R1319" s="368" t="s">
        <v>867</v>
      </c>
      <c r="S1319" s="368" t="s">
        <v>864</v>
      </c>
      <c r="T1319" s="368" t="s">
        <v>362</v>
      </c>
      <c r="U1319" s="368" t="s">
        <v>867</v>
      </c>
      <c r="V1319" s="368" t="s">
        <v>867</v>
      </c>
      <c r="W1319" s="368" t="s">
        <v>1378</v>
      </c>
      <c r="X1319" s="368">
        <v>575</v>
      </c>
      <c r="Y1319" s="368">
        <v>99</v>
      </c>
      <c r="Z1319" s="368"/>
      <c r="AA1319" s="368"/>
      <c r="AB1319" s="368"/>
      <c r="AC1319" s="368"/>
      <c r="AD1319" s="368"/>
      <c r="AE1319" s="368"/>
      <c r="AF1319" s="377"/>
      <c r="AJ1319" s="337">
        <v>299</v>
      </c>
    </row>
    <row r="1320" spans="1:36">
      <c r="A1320" s="332">
        <f t="shared" si="46"/>
        <v>300</v>
      </c>
      <c r="G1320" s="349" t="s">
        <v>2279</v>
      </c>
      <c r="H1320" s="368" t="s">
        <v>2280</v>
      </c>
      <c r="I1320" s="368" t="s">
        <v>2281</v>
      </c>
      <c r="J1320" s="368" t="s">
        <v>1375</v>
      </c>
      <c r="K1320" s="368" t="s">
        <v>2281</v>
      </c>
      <c r="L1320" s="368" t="s">
        <v>1375</v>
      </c>
      <c r="M1320" s="368" t="s">
        <v>1384</v>
      </c>
      <c r="N1320" s="368" t="s">
        <v>867</v>
      </c>
      <c r="O1320" s="376">
        <v>35667</v>
      </c>
      <c r="P1320" s="368" t="s">
        <v>1385</v>
      </c>
      <c r="Q1320" s="368" t="s">
        <v>1443</v>
      </c>
      <c r="R1320" s="368" t="s">
        <v>867</v>
      </c>
      <c r="S1320" s="368" t="s">
        <v>864</v>
      </c>
      <c r="T1320" s="368" t="s">
        <v>362</v>
      </c>
      <c r="U1320" s="368" t="s">
        <v>867</v>
      </c>
      <c r="V1320" s="368" t="s">
        <v>867</v>
      </c>
      <c r="W1320" s="368" t="s">
        <v>1378</v>
      </c>
      <c r="X1320" s="368">
        <v>0</v>
      </c>
      <c r="Y1320" s="368">
        <v>99</v>
      </c>
      <c r="Z1320" s="368"/>
      <c r="AA1320" s="368"/>
      <c r="AB1320" s="368"/>
      <c r="AC1320" s="368"/>
      <c r="AD1320" s="368"/>
      <c r="AE1320" s="368"/>
      <c r="AF1320" s="377"/>
      <c r="AJ1320" s="337">
        <v>300</v>
      </c>
    </row>
    <row r="1321" spans="1:36">
      <c r="A1321" s="332">
        <f t="shared" si="46"/>
        <v>301</v>
      </c>
      <c r="G1321" s="349" t="s">
        <v>2282</v>
      </c>
      <c r="H1321" s="368" t="s">
        <v>2283</v>
      </c>
      <c r="I1321" s="368" t="s">
        <v>2284</v>
      </c>
      <c r="J1321" s="368" t="s">
        <v>1375</v>
      </c>
      <c r="K1321" s="368" t="s">
        <v>2284</v>
      </c>
      <c r="L1321" s="368" t="s">
        <v>1375</v>
      </c>
      <c r="M1321" s="368" t="s">
        <v>1384</v>
      </c>
      <c r="N1321" s="368" t="s">
        <v>867</v>
      </c>
      <c r="O1321" s="376">
        <v>41471</v>
      </c>
      <c r="P1321" s="368" t="s">
        <v>1385</v>
      </c>
      <c r="Q1321" s="368" t="s">
        <v>1386</v>
      </c>
      <c r="R1321" s="368" t="s">
        <v>867</v>
      </c>
      <c r="S1321" s="368" t="s">
        <v>864</v>
      </c>
      <c r="T1321" s="368" t="s">
        <v>362</v>
      </c>
      <c r="U1321" s="368" t="s">
        <v>867</v>
      </c>
      <c r="V1321" s="368" t="s">
        <v>867</v>
      </c>
      <c r="W1321" s="368" t="s">
        <v>1378</v>
      </c>
      <c r="X1321" s="368">
        <v>0</v>
      </c>
      <c r="Y1321" s="368">
        <v>99</v>
      </c>
      <c r="Z1321" s="368"/>
      <c r="AA1321" s="368"/>
      <c r="AB1321" s="368"/>
      <c r="AC1321" s="368"/>
      <c r="AD1321" s="368"/>
      <c r="AE1321" s="368"/>
      <c r="AF1321" s="377"/>
      <c r="AJ1321" s="337">
        <v>301</v>
      </c>
    </row>
    <row r="1322" spans="1:36">
      <c r="A1322" s="332">
        <f t="shared" si="46"/>
        <v>302</v>
      </c>
      <c r="G1322" s="349" t="s">
        <v>2285</v>
      </c>
      <c r="H1322" s="368" t="s">
        <v>2286</v>
      </c>
      <c r="I1322" s="368" t="s">
        <v>2287</v>
      </c>
      <c r="J1322" s="368" t="s">
        <v>1375</v>
      </c>
      <c r="K1322" s="368" t="s">
        <v>2287</v>
      </c>
      <c r="L1322" s="368" t="s">
        <v>1375</v>
      </c>
      <c r="M1322" s="368" t="s">
        <v>1384</v>
      </c>
      <c r="N1322" s="368" t="s">
        <v>867</v>
      </c>
      <c r="O1322" s="376">
        <v>38266</v>
      </c>
      <c r="P1322" s="368" t="s">
        <v>1385</v>
      </c>
      <c r="Q1322" s="368" t="s">
        <v>1443</v>
      </c>
      <c r="R1322" s="368" t="s">
        <v>867</v>
      </c>
      <c r="S1322" s="368" t="s">
        <v>864</v>
      </c>
      <c r="T1322" s="368" t="s">
        <v>362</v>
      </c>
      <c r="U1322" s="368" t="s">
        <v>867</v>
      </c>
      <c r="V1322" s="368" t="s">
        <v>867</v>
      </c>
      <c r="W1322" s="368" t="s">
        <v>1378</v>
      </c>
      <c r="X1322" s="368">
        <v>0</v>
      </c>
      <c r="Y1322" s="368">
        <v>99</v>
      </c>
      <c r="Z1322" s="368"/>
      <c r="AA1322" s="368"/>
      <c r="AB1322" s="368"/>
      <c r="AC1322" s="368"/>
      <c r="AD1322" s="368"/>
      <c r="AE1322" s="368"/>
      <c r="AF1322" s="377"/>
      <c r="AJ1322" s="337">
        <v>302</v>
      </c>
    </row>
    <row r="1323" spans="1:36">
      <c r="A1323" s="332">
        <f t="shared" si="46"/>
        <v>303</v>
      </c>
      <c r="G1323" s="349" t="s">
        <v>2288</v>
      </c>
      <c r="H1323" s="368" t="s">
        <v>2289</v>
      </c>
      <c r="I1323" s="368" t="s">
        <v>2290</v>
      </c>
      <c r="J1323" s="368" t="s">
        <v>1433</v>
      </c>
      <c r="K1323" s="368" t="s">
        <v>2290</v>
      </c>
      <c r="L1323" s="368" t="s">
        <v>1433</v>
      </c>
      <c r="M1323" s="368" t="s">
        <v>1376</v>
      </c>
      <c r="N1323" s="368" t="s">
        <v>867</v>
      </c>
      <c r="O1323" s="376">
        <v>57669</v>
      </c>
      <c r="P1323" s="368" t="s">
        <v>1385</v>
      </c>
      <c r="Q1323" s="368" t="s">
        <v>1443</v>
      </c>
      <c r="R1323" s="368" t="s">
        <v>867</v>
      </c>
      <c r="S1323" s="368" t="s">
        <v>864</v>
      </c>
      <c r="T1323" s="368" t="s">
        <v>362</v>
      </c>
      <c r="U1323" s="368" t="s">
        <v>867</v>
      </c>
      <c r="V1323" s="368" t="s">
        <v>867</v>
      </c>
      <c r="W1323" s="368" t="s">
        <v>1378</v>
      </c>
      <c r="X1323" s="368">
        <v>0</v>
      </c>
      <c r="Y1323" s="368">
        <v>99</v>
      </c>
      <c r="Z1323" s="368"/>
      <c r="AA1323" s="368"/>
      <c r="AB1323" s="368"/>
      <c r="AC1323" s="368"/>
      <c r="AD1323" s="368"/>
      <c r="AE1323" s="368"/>
      <c r="AF1323" s="377"/>
      <c r="AJ1323" s="337">
        <v>303</v>
      </c>
    </row>
    <row r="1324" spans="1:36">
      <c r="A1324" s="332">
        <f t="shared" si="46"/>
        <v>304</v>
      </c>
      <c r="G1324" s="349" t="s">
        <v>2291</v>
      </c>
      <c r="H1324" s="368" t="s">
        <v>2292</v>
      </c>
      <c r="I1324" s="368" t="s">
        <v>2293</v>
      </c>
      <c r="J1324" s="368" t="s">
        <v>1399</v>
      </c>
      <c r="K1324" s="368" t="s">
        <v>2293</v>
      </c>
      <c r="L1324" s="368" t="s">
        <v>1399</v>
      </c>
      <c r="M1324" s="368" t="s">
        <v>1384</v>
      </c>
      <c r="N1324" s="368" t="s">
        <v>867</v>
      </c>
      <c r="O1324" s="376">
        <v>66282</v>
      </c>
      <c r="P1324" s="368" t="s">
        <v>1385</v>
      </c>
      <c r="Q1324" s="368" t="s">
        <v>1386</v>
      </c>
      <c r="R1324" s="368" t="s">
        <v>867</v>
      </c>
      <c r="S1324" s="368" t="s">
        <v>864</v>
      </c>
      <c r="T1324" s="368" t="s">
        <v>362</v>
      </c>
      <c r="U1324" s="368" t="s">
        <v>867</v>
      </c>
      <c r="V1324" s="368" t="s">
        <v>867</v>
      </c>
      <c r="W1324" s="368" t="s">
        <v>1378</v>
      </c>
      <c r="X1324" s="368">
        <v>0</v>
      </c>
      <c r="Y1324" s="368">
        <v>99</v>
      </c>
      <c r="Z1324" s="368"/>
      <c r="AA1324" s="368"/>
      <c r="AB1324" s="368"/>
      <c r="AC1324" s="368"/>
      <c r="AD1324" s="368"/>
      <c r="AE1324" s="368"/>
      <c r="AF1324" s="377"/>
      <c r="AJ1324" s="337">
        <v>304</v>
      </c>
    </row>
    <row r="1325" spans="1:36">
      <c r="A1325" s="332">
        <f t="shared" si="46"/>
        <v>305</v>
      </c>
      <c r="G1325" s="349" t="s">
        <v>2294</v>
      </c>
      <c r="H1325" s="368" t="s">
        <v>2295</v>
      </c>
      <c r="I1325" s="368" t="s">
        <v>1904</v>
      </c>
      <c r="J1325" s="368" t="s">
        <v>1375</v>
      </c>
      <c r="K1325" s="368" t="s">
        <v>1904</v>
      </c>
      <c r="L1325" s="368" t="s">
        <v>1375</v>
      </c>
      <c r="M1325" s="368" t="s">
        <v>1384</v>
      </c>
      <c r="N1325" s="368" t="s">
        <v>867</v>
      </c>
      <c r="O1325" s="376">
        <v>98384</v>
      </c>
      <c r="P1325" s="368" t="s">
        <v>1385</v>
      </c>
      <c r="Q1325" s="368" t="s">
        <v>1386</v>
      </c>
      <c r="R1325" s="368" t="s">
        <v>867</v>
      </c>
      <c r="S1325" s="368" t="s">
        <v>864</v>
      </c>
      <c r="T1325" s="368" t="s">
        <v>362</v>
      </c>
      <c r="U1325" s="368" t="s">
        <v>867</v>
      </c>
      <c r="V1325" s="368" t="s">
        <v>867</v>
      </c>
      <c r="W1325" s="368" t="s">
        <v>1378</v>
      </c>
      <c r="X1325" s="368">
        <v>0</v>
      </c>
      <c r="Y1325" s="368">
        <v>99</v>
      </c>
      <c r="Z1325" s="368"/>
      <c r="AA1325" s="368"/>
      <c r="AB1325" s="368"/>
      <c r="AC1325" s="368"/>
      <c r="AD1325" s="368"/>
      <c r="AE1325" s="368"/>
      <c r="AF1325" s="377"/>
      <c r="AJ1325" s="337">
        <v>305</v>
      </c>
    </row>
    <row r="1326" spans="1:36">
      <c r="A1326" s="332">
        <f t="shared" si="46"/>
        <v>306</v>
      </c>
      <c r="G1326" s="349" t="s">
        <v>2296</v>
      </c>
      <c r="H1326" s="368" t="s">
        <v>2297</v>
      </c>
      <c r="I1326" s="368" t="s">
        <v>2298</v>
      </c>
      <c r="J1326" s="368" t="s">
        <v>1375</v>
      </c>
      <c r="K1326" s="368" t="s">
        <v>2298</v>
      </c>
      <c r="L1326" s="368" t="s">
        <v>1375</v>
      </c>
      <c r="M1326" s="368" t="s">
        <v>1384</v>
      </c>
      <c r="N1326" s="368" t="s">
        <v>867</v>
      </c>
      <c r="O1326" s="376">
        <v>66768</v>
      </c>
      <c r="P1326" s="368" t="s">
        <v>1385</v>
      </c>
      <c r="Q1326" s="368" t="s">
        <v>1386</v>
      </c>
      <c r="R1326" s="368" t="s">
        <v>867</v>
      </c>
      <c r="S1326" s="368" t="s">
        <v>864</v>
      </c>
      <c r="T1326" s="368" t="s">
        <v>1387</v>
      </c>
      <c r="U1326" s="368" t="s">
        <v>867</v>
      </c>
      <c r="V1326" s="368" t="s">
        <v>867</v>
      </c>
      <c r="W1326" s="368" t="s">
        <v>1378</v>
      </c>
      <c r="X1326" s="368">
        <v>0</v>
      </c>
      <c r="Y1326" s="368">
        <v>99</v>
      </c>
      <c r="Z1326" s="368"/>
      <c r="AA1326" s="368"/>
      <c r="AB1326" s="368"/>
      <c r="AC1326" s="368"/>
      <c r="AD1326" s="368"/>
      <c r="AE1326" s="368"/>
      <c r="AF1326" s="377"/>
      <c r="AJ1326" s="337">
        <v>306</v>
      </c>
    </row>
    <row r="1327" spans="1:36">
      <c r="A1327" s="332">
        <f t="shared" si="46"/>
        <v>307</v>
      </c>
      <c r="G1327" s="349" t="s">
        <v>2299</v>
      </c>
      <c r="H1327" s="368" t="s">
        <v>2300</v>
      </c>
      <c r="I1327" s="368" t="s">
        <v>2301</v>
      </c>
      <c r="J1327" s="368" t="s">
        <v>1375</v>
      </c>
      <c r="K1327" s="368" t="s">
        <v>2301</v>
      </c>
      <c r="L1327" s="368" t="s">
        <v>1375</v>
      </c>
      <c r="M1327" s="368" t="s">
        <v>1384</v>
      </c>
      <c r="N1327" s="368" t="s">
        <v>867</v>
      </c>
      <c r="O1327" s="376">
        <v>93185</v>
      </c>
      <c r="P1327" s="368" t="s">
        <v>1385</v>
      </c>
      <c r="Q1327" s="368" t="s">
        <v>1386</v>
      </c>
      <c r="R1327" s="368" t="s">
        <v>867</v>
      </c>
      <c r="S1327" s="368" t="s">
        <v>867</v>
      </c>
      <c r="T1327" s="368" t="s">
        <v>362</v>
      </c>
      <c r="U1327" s="368" t="s">
        <v>867</v>
      </c>
      <c r="V1327" s="368" t="s">
        <v>867</v>
      </c>
      <c r="W1327" s="368" t="s">
        <v>1378</v>
      </c>
      <c r="X1327" s="368">
        <v>100</v>
      </c>
      <c r="Y1327" s="368">
        <v>99</v>
      </c>
      <c r="Z1327" s="368"/>
      <c r="AA1327" s="368"/>
      <c r="AB1327" s="368"/>
      <c r="AC1327" s="368"/>
      <c r="AD1327" s="368"/>
      <c r="AE1327" s="368"/>
      <c r="AF1327" s="377"/>
      <c r="AJ1327" s="337">
        <v>307</v>
      </c>
    </row>
    <row r="1328" spans="1:36">
      <c r="A1328" s="332">
        <f t="shared" si="46"/>
        <v>308</v>
      </c>
      <c r="G1328" s="349" t="s">
        <v>2302</v>
      </c>
      <c r="H1328" s="368" t="s">
        <v>2303</v>
      </c>
      <c r="I1328" s="368" t="s">
        <v>2304</v>
      </c>
      <c r="J1328" s="368" t="s">
        <v>1375</v>
      </c>
      <c r="K1328" s="368" t="s">
        <v>2304</v>
      </c>
      <c r="L1328" s="368" t="s">
        <v>1375</v>
      </c>
      <c r="M1328" s="368" t="s">
        <v>1384</v>
      </c>
      <c r="N1328" s="368" t="s">
        <v>867</v>
      </c>
      <c r="O1328" s="376">
        <v>94547</v>
      </c>
      <c r="P1328" s="368" t="s">
        <v>1385</v>
      </c>
      <c r="Q1328" s="368" t="s">
        <v>1386</v>
      </c>
      <c r="R1328" s="368" t="s">
        <v>867</v>
      </c>
      <c r="S1328" s="368" t="s">
        <v>864</v>
      </c>
      <c r="T1328" s="368" t="s">
        <v>362</v>
      </c>
      <c r="U1328" s="368" t="s">
        <v>867</v>
      </c>
      <c r="V1328" s="368" t="s">
        <v>867</v>
      </c>
      <c r="W1328" s="368" t="s">
        <v>1378</v>
      </c>
      <c r="X1328" s="368">
        <v>0</v>
      </c>
      <c r="Y1328" s="368">
        <v>99</v>
      </c>
      <c r="Z1328" s="368"/>
      <c r="AA1328" s="368"/>
      <c r="AB1328" s="368"/>
      <c r="AC1328" s="368"/>
      <c r="AD1328" s="368"/>
      <c r="AE1328" s="368"/>
      <c r="AF1328" s="377"/>
      <c r="AJ1328" s="337">
        <v>308</v>
      </c>
    </row>
    <row r="1329" spans="1:36">
      <c r="A1329" s="332">
        <f t="shared" si="46"/>
        <v>309</v>
      </c>
      <c r="G1329" s="349" t="s">
        <v>2305</v>
      </c>
      <c r="H1329" s="368" t="s">
        <v>2306</v>
      </c>
      <c r="I1329" s="368" t="s">
        <v>2307</v>
      </c>
      <c r="J1329" s="368" t="s">
        <v>1375</v>
      </c>
      <c r="K1329" s="368" t="s">
        <v>2307</v>
      </c>
      <c r="L1329" s="368" t="s">
        <v>1375</v>
      </c>
      <c r="M1329" s="368" t="s">
        <v>1384</v>
      </c>
      <c r="N1329" s="368" t="s">
        <v>867</v>
      </c>
      <c r="O1329" s="376">
        <v>97117</v>
      </c>
      <c r="P1329" s="368" t="s">
        <v>1385</v>
      </c>
      <c r="Q1329" s="368" t="s">
        <v>1386</v>
      </c>
      <c r="R1329" s="368" t="s">
        <v>867</v>
      </c>
      <c r="S1329" s="368" t="s">
        <v>864</v>
      </c>
      <c r="T1329" s="368" t="s">
        <v>362</v>
      </c>
      <c r="U1329" s="368" t="s">
        <v>867</v>
      </c>
      <c r="V1329" s="368" t="s">
        <v>867</v>
      </c>
      <c r="W1329" s="368" t="s">
        <v>1378</v>
      </c>
      <c r="X1329" s="368">
        <v>0</v>
      </c>
      <c r="Y1329" s="368">
        <v>99</v>
      </c>
      <c r="Z1329" s="368"/>
      <c r="AA1329" s="368"/>
      <c r="AB1329" s="368"/>
      <c r="AC1329" s="368"/>
      <c r="AD1329" s="368"/>
      <c r="AE1329" s="368"/>
      <c r="AF1329" s="377"/>
      <c r="AJ1329" s="337">
        <v>309</v>
      </c>
    </row>
    <row r="1330" spans="1:36">
      <c r="A1330" s="332">
        <f t="shared" si="46"/>
        <v>310</v>
      </c>
      <c r="G1330" s="349" t="s">
        <v>2308</v>
      </c>
      <c r="H1330" s="368" t="s">
        <v>2309</v>
      </c>
      <c r="I1330" s="368" t="s">
        <v>2310</v>
      </c>
      <c r="J1330" s="368" t="s">
        <v>1375</v>
      </c>
      <c r="K1330" s="368" t="s">
        <v>2310</v>
      </c>
      <c r="L1330" s="368" t="s">
        <v>1375</v>
      </c>
      <c r="M1330" s="368" t="s">
        <v>1376</v>
      </c>
      <c r="N1330" s="368" t="s">
        <v>867</v>
      </c>
      <c r="O1330" s="376">
        <v>26682</v>
      </c>
      <c r="P1330" s="368" t="s">
        <v>1385</v>
      </c>
      <c r="Q1330" s="368" t="s">
        <v>1386</v>
      </c>
      <c r="R1330" s="368" t="s">
        <v>867</v>
      </c>
      <c r="S1330" s="368" t="s">
        <v>864</v>
      </c>
      <c r="T1330" s="368" t="s">
        <v>362</v>
      </c>
      <c r="U1330" s="368" t="s">
        <v>867</v>
      </c>
      <c r="V1330" s="368" t="s">
        <v>867</v>
      </c>
      <c r="W1330" s="368" t="s">
        <v>1378</v>
      </c>
      <c r="X1330" s="368">
        <v>0</v>
      </c>
      <c r="Y1330" s="368">
        <v>99</v>
      </c>
      <c r="Z1330" s="368"/>
      <c r="AA1330" s="368"/>
      <c r="AB1330" s="368"/>
      <c r="AC1330" s="368"/>
      <c r="AD1330" s="368"/>
      <c r="AE1330" s="368"/>
      <c r="AF1330" s="377"/>
      <c r="AJ1330" s="337">
        <v>310</v>
      </c>
    </row>
    <row r="1331" spans="1:36">
      <c r="A1331" s="332">
        <f t="shared" si="46"/>
        <v>311</v>
      </c>
      <c r="G1331" s="349" t="s">
        <v>2311</v>
      </c>
      <c r="H1331" s="368" t="s">
        <v>2237</v>
      </c>
      <c r="I1331" s="368" t="s">
        <v>2312</v>
      </c>
      <c r="J1331" s="368" t="s">
        <v>1399</v>
      </c>
      <c r="K1331" s="368" t="s">
        <v>2312</v>
      </c>
      <c r="L1331" s="368" t="s">
        <v>1399</v>
      </c>
      <c r="M1331" s="368" t="s">
        <v>1384</v>
      </c>
      <c r="N1331" s="368" t="s">
        <v>867</v>
      </c>
      <c r="O1331" s="376">
        <v>10247</v>
      </c>
      <c r="P1331" s="368" t="s">
        <v>1385</v>
      </c>
      <c r="Q1331" s="368" t="s">
        <v>1386</v>
      </c>
      <c r="R1331" s="368" t="s">
        <v>867</v>
      </c>
      <c r="S1331" s="368" t="s">
        <v>867</v>
      </c>
      <c r="T1331" s="368" t="s">
        <v>362</v>
      </c>
      <c r="U1331" s="368" t="s">
        <v>867</v>
      </c>
      <c r="V1331" s="368" t="s">
        <v>867</v>
      </c>
      <c r="W1331" s="368" t="s">
        <v>1378</v>
      </c>
      <c r="X1331" s="368">
        <v>0</v>
      </c>
      <c r="Y1331" s="368">
        <v>99</v>
      </c>
      <c r="Z1331" s="368"/>
      <c r="AA1331" s="368"/>
      <c r="AB1331" s="368"/>
      <c r="AC1331" s="368"/>
      <c r="AD1331" s="368"/>
      <c r="AE1331" s="368"/>
      <c r="AF1331" s="377"/>
      <c r="AJ1331" s="337">
        <v>311</v>
      </c>
    </row>
    <row r="1332" spans="1:36">
      <c r="A1332" s="332">
        <f t="shared" si="46"/>
        <v>312</v>
      </c>
      <c r="G1332" s="349" t="s">
        <v>2313</v>
      </c>
      <c r="H1332" s="368" t="s">
        <v>2314</v>
      </c>
      <c r="I1332" s="368" t="s">
        <v>2315</v>
      </c>
      <c r="J1332" s="368" t="s">
        <v>1375</v>
      </c>
      <c r="K1332" s="368" t="s">
        <v>2315</v>
      </c>
      <c r="L1332" s="368" t="s">
        <v>1375</v>
      </c>
      <c r="M1332" s="368" t="s">
        <v>1376</v>
      </c>
      <c r="N1332" s="368" t="s">
        <v>867</v>
      </c>
      <c r="O1332" s="376">
        <v>82576</v>
      </c>
      <c r="P1332" s="368" t="s">
        <v>1447</v>
      </c>
      <c r="Q1332" s="368" t="s">
        <v>1386</v>
      </c>
      <c r="R1332" s="368" t="s">
        <v>867</v>
      </c>
      <c r="S1332" s="368" t="s">
        <v>864</v>
      </c>
      <c r="T1332" s="368" t="s">
        <v>362</v>
      </c>
      <c r="U1332" s="368" t="s">
        <v>867</v>
      </c>
      <c r="V1332" s="368" t="s">
        <v>867</v>
      </c>
      <c r="W1332" s="368" t="s">
        <v>1378</v>
      </c>
      <c r="X1332" s="368">
        <v>0</v>
      </c>
      <c r="Y1332" s="368">
        <v>99</v>
      </c>
      <c r="Z1332" s="368"/>
      <c r="AA1332" s="368"/>
      <c r="AB1332" s="368"/>
      <c r="AC1332" s="368"/>
      <c r="AD1332" s="368"/>
      <c r="AE1332" s="368"/>
      <c r="AF1332" s="377"/>
      <c r="AJ1332" s="337">
        <v>312</v>
      </c>
    </row>
    <row r="1333" spans="1:36">
      <c r="A1333" s="332">
        <f t="shared" si="46"/>
        <v>313</v>
      </c>
      <c r="G1333" s="349" t="s">
        <v>2316</v>
      </c>
      <c r="H1333" s="368" t="s">
        <v>2317</v>
      </c>
      <c r="I1333" s="368" t="s">
        <v>2318</v>
      </c>
      <c r="J1333" s="368" t="s">
        <v>1375</v>
      </c>
      <c r="K1333" s="368" t="s">
        <v>2318</v>
      </c>
      <c r="L1333" s="368" t="s">
        <v>1375</v>
      </c>
      <c r="M1333" s="368" t="s">
        <v>1376</v>
      </c>
      <c r="N1333" s="368" t="s">
        <v>867</v>
      </c>
      <c r="O1333" s="376">
        <v>63355</v>
      </c>
      <c r="P1333" s="368" t="s">
        <v>1385</v>
      </c>
      <c r="Q1333" s="368" t="s">
        <v>1443</v>
      </c>
      <c r="R1333" s="368" t="s">
        <v>867</v>
      </c>
      <c r="S1333" s="368" t="s">
        <v>864</v>
      </c>
      <c r="T1333" s="368" t="s">
        <v>362</v>
      </c>
      <c r="U1333" s="368" t="s">
        <v>867</v>
      </c>
      <c r="V1333" s="368" t="s">
        <v>867</v>
      </c>
      <c r="W1333" s="368" t="s">
        <v>1378</v>
      </c>
      <c r="X1333" s="368">
        <v>0</v>
      </c>
      <c r="Y1333" s="368">
        <v>99</v>
      </c>
      <c r="Z1333" s="368"/>
      <c r="AA1333" s="368"/>
      <c r="AB1333" s="368"/>
      <c r="AC1333" s="368"/>
      <c r="AD1333" s="368"/>
      <c r="AE1333" s="368"/>
      <c r="AF1333" s="377"/>
      <c r="AJ1333" s="337">
        <v>313</v>
      </c>
    </row>
    <row r="1334" spans="1:36">
      <c r="A1334" s="332">
        <f t="shared" si="46"/>
        <v>314</v>
      </c>
      <c r="G1334" s="349" t="s">
        <v>2319</v>
      </c>
      <c r="H1334" s="368" t="s">
        <v>2320</v>
      </c>
      <c r="I1334" s="368" t="s">
        <v>1613</v>
      </c>
      <c r="J1334" s="368" t="s">
        <v>1375</v>
      </c>
      <c r="K1334" s="368" t="s">
        <v>1613</v>
      </c>
      <c r="L1334" s="368" t="s">
        <v>1375</v>
      </c>
      <c r="M1334" s="368" t="s">
        <v>1384</v>
      </c>
      <c r="N1334" s="368" t="s">
        <v>867</v>
      </c>
      <c r="O1334" s="376">
        <v>46149</v>
      </c>
      <c r="P1334" s="368" t="s">
        <v>1385</v>
      </c>
      <c r="Q1334" s="368" t="s">
        <v>1386</v>
      </c>
      <c r="R1334" s="368" t="s">
        <v>867</v>
      </c>
      <c r="S1334" s="368" t="s">
        <v>864</v>
      </c>
      <c r="T1334" s="368" t="s">
        <v>362</v>
      </c>
      <c r="U1334" s="368" t="s">
        <v>867</v>
      </c>
      <c r="V1334" s="368" t="s">
        <v>867</v>
      </c>
      <c r="W1334" s="368" t="s">
        <v>1378</v>
      </c>
      <c r="X1334" s="368">
        <v>1640</v>
      </c>
      <c r="Y1334" s="368">
        <v>99</v>
      </c>
      <c r="Z1334" s="368"/>
      <c r="AA1334" s="368"/>
      <c r="AB1334" s="368"/>
      <c r="AC1334" s="368"/>
      <c r="AD1334" s="368"/>
      <c r="AE1334" s="368"/>
      <c r="AF1334" s="377"/>
      <c r="AJ1334" s="337">
        <v>314</v>
      </c>
    </row>
    <row r="1335" spans="1:36">
      <c r="A1335" s="332">
        <f t="shared" si="46"/>
        <v>315</v>
      </c>
      <c r="G1335" s="349" t="s">
        <v>2321</v>
      </c>
      <c r="H1335" s="368" t="s">
        <v>2322</v>
      </c>
      <c r="I1335" s="368" t="s">
        <v>2323</v>
      </c>
      <c r="J1335" s="368" t="s">
        <v>1375</v>
      </c>
      <c r="K1335" s="368" t="s">
        <v>2323</v>
      </c>
      <c r="L1335" s="368" t="s">
        <v>1375</v>
      </c>
      <c r="M1335" s="368" t="s">
        <v>1384</v>
      </c>
      <c r="N1335" s="368" t="s">
        <v>867</v>
      </c>
      <c r="O1335" s="376">
        <v>54350</v>
      </c>
      <c r="P1335" s="368" t="s">
        <v>1385</v>
      </c>
      <c r="Q1335" s="368" t="s">
        <v>1443</v>
      </c>
      <c r="R1335" s="368" t="s">
        <v>867</v>
      </c>
      <c r="S1335" s="368" t="s">
        <v>864</v>
      </c>
      <c r="T1335" s="368" t="s">
        <v>1387</v>
      </c>
      <c r="U1335" s="368" t="s">
        <v>867</v>
      </c>
      <c r="V1335" s="368" t="s">
        <v>867</v>
      </c>
      <c r="W1335" s="368" t="s">
        <v>1378</v>
      </c>
      <c r="X1335" s="368">
        <v>200</v>
      </c>
      <c r="Y1335" s="368">
        <v>99</v>
      </c>
      <c r="Z1335" s="368"/>
      <c r="AA1335" s="368"/>
      <c r="AB1335" s="368"/>
      <c r="AC1335" s="368"/>
      <c r="AD1335" s="368"/>
      <c r="AE1335" s="368"/>
      <c r="AF1335" s="377"/>
      <c r="AJ1335" s="337">
        <v>315</v>
      </c>
    </row>
    <row r="1336" spans="1:36">
      <c r="A1336" s="332">
        <f t="shared" si="46"/>
        <v>316</v>
      </c>
      <c r="G1336" s="349" t="s">
        <v>2324</v>
      </c>
      <c r="H1336" s="368" t="s">
        <v>2325</v>
      </c>
      <c r="I1336" s="368" t="s">
        <v>2326</v>
      </c>
      <c r="J1336" s="368" t="s">
        <v>1375</v>
      </c>
      <c r="K1336" s="368" t="s">
        <v>2326</v>
      </c>
      <c r="L1336" s="368" t="s">
        <v>1375</v>
      </c>
      <c r="M1336" s="368" t="s">
        <v>1384</v>
      </c>
      <c r="N1336" s="368" t="s">
        <v>867</v>
      </c>
      <c r="O1336" s="376">
        <v>42408</v>
      </c>
      <c r="P1336" s="368" t="s">
        <v>1385</v>
      </c>
      <c r="Q1336" s="368" t="s">
        <v>1386</v>
      </c>
      <c r="R1336" s="368" t="s">
        <v>867</v>
      </c>
      <c r="S1336" s="368" t="s">
        <v>864</v>
      </c>
      <c r="T1336" s="368" t="s">
        <v>362</v>
      </c>
      <c r="U1336" s="368" t="s">
        <v>867</v>
      </c>
      <c r="V1336" s="368" t="s">
        <v>867</v>
      </c>
      <c r="W1336" s="368" t="s">
        <v>1378</v>
      </c>
      <c r="X1336" s="368">
        <v>0</v>
      </c>
      <c r="Y1336" s="368">
        <v>99</v>
      </c>
      <c r="Z1336" s="368"/>
      <c r="AA1336" s="368"/>
      <c r="AB1336" s="368"/>
      <c r="AC1336" s="368"/>
      <c r="AD1336" s="368"/>
      <c r="AE1336" s="368"/>
      <c r="AF1336" s="377"/>
      <c r="AJ1336" s="337">
        <v>316</v>
      </c>
    </row>
    <row r="1337" spans="1:36">
      <c r="A1337" s="332">
        <f t="shared" si="46"/>
        <v>317</v>
      </c>
      <c r="G1337" s="349" t="s">
        <v>2327</v>
      </c>
      <c r="H1337" s="368" t="s">
        <v>2328</v>
      </c>
      <c r="I1337" s="368" t="s">
        <v>2329</v>
      </c>
      <c r="J1337" s="368" t="s">
        <v>1433</v>
      </c>
      <c r="K1337" s="368" t="s">
        <v>2329</v>
      </c>
      <c r="L1337" s="368" t="s">
        <v>1433</v>
      </c>
      <c r="M1337" s="368" t="s">
        <v>1376</v>
      </c>
      <c r="N1337" s="368" t="s">
        <v>867</v>
      </c>
      <c r="O1337" s="376">
        <v>89307</v>
      </c>
      <c r="P1337" s="368" t="s">
        <v>339</v>
      </c>
      <c r="Q1337" s="368" t="s">
        <v>1443</v>
      </c>
      <c r="R1337" s="368" t="s">
        <v>867</v>
      </c>
      <c r="S1337" s="368" t="s">
        <v>864</v>
      </c>
      <c r="T1337" s="368" t="s">
        <v>362</v>
      </c>
      <c r="U1337" s="368" t="s">
        <v>867</v>
      </c>
      <c r="V1337" s="368" t="s">
        <v>867</v>
      </c>
      <c r="W1337" s="368" t="s">
        <v>1378</v>
      </c>
      <c r="X1337" s="368">
        <v>0</v>
      </c>
      <c r="Y1337" s="368">
        <v>99</v>
      </c>
      <c r="Z1337" s="368"/>
      <c r="AA1337" s="368"/>
      <c r="AB1337" s="368"/>
      <c r="AC1337" s="368"/>
      <c r="AD1337" s="368"/>
      <c r="AE1337" s="368"/>
      <c r="AF1337" s="377"/>
      <c r="AJ1337" s="337">
        <v>317</v>
      </c>
    </row>
    <row r="1338" spans="1:36">
      <c r="A1338" s="332">
        <f t="shared" si="46"/>
        <v>318</v>
      </c>
      <c r="G1338" s="349" t="s">
        <v>2330</v>
      </c>
      <c r="H1338" s="368" t="s">
        <v>2331</v>
      </c>
      <c r="I1338" s="368" t="s">
        <v>1604</v>
      </c>
      <c r="J1338" s="368" t="s">
        <v>1375</v>
      </c>
      <c r="K1338" s="368" t="s">
        <v>1604</v>
      </c>
      <c r="L1338" s="368" t="s">
        <v>1375</v>
      </c>
      <c r="M1338" s="368" t="s">
        <v>1384</v>
      </c>
      <c r="N1338" s="368" t="s">
        <v>867</v>
      </c>
      <c r="O1338" s="376">
        <v>30949</v>
      </c>
      <c r="P1338" s="368" t="s">
        <v>1385</v>
      </c>
      <c r="Q1338" s="368" t="s">
        <v>1386</v>
      </c>
      <c r="R1338" s="368" t="s">
        <v>867</v>
      </c>
      <c r="S1338" s="368" t="s">
        <v>864</v>
      </c>
      <c r="T1338" s="368" t="s">
        <v>362</v>
      </c>
      <c r="U1338" s="368" t="s">
        <v>867</v>
      </c>
      <c r="V1338" s="368" t="s">
        <v>867</v>
      </c>
      <c r="W1338" s="368" t="s">
        <v>1378</v>
      </c>
      <c r="X1338" s="368">
        <v>2250</v>
      </c>
      <c r="Y1338" s="368">
        <v>99</v>
      </c>
      <c r="Z1338" s="368"/>
      <c r="AA1338" s="368"/>
      <c r="AB1338" s="368"/>
      <c r="AC1338" s="368"/>
      <c r="AD1338" s="368"/>
      <c r="AE1338" s="368"/>
      <c r="AF1338" s="377"/>
      <c r="AJ1338" s="337">
        <v>318</v>
      </c>
    </row>
    <row r="1339" spans="1:36">
      <c r="A1339" s="332">
        <f t="shared" si="46"/>
        <v>319</v>
      </c>
      <c r="G1339" s="349" t="s">
        <v>2332</v>
      </c>
      <c r="H1339" s="368" t="s">
        <v>2333</v>
      </c>
      <c r="I1339" s="368" t="s">
        <v>2334</v>
      </c>
      <c r="J1339" s="368" t="s">
        <v>1375</v>
      </c>
      <c r="K1339" s="368" t="s">
        <v>2334</v>
      </c>
      <c r="L1339" s="368" t="s">
        <v>1375</v>
      </c>
      <c r="M1339" s="368" t="s">
        <v>1384</v>
      </c>
      <c r="N1339" s="368" t="s">
        <v>867</v>
      </c>
      <c r="O1339" s="376">
        <v>92557</v>
      </c>
      <c r="P1339" s="368" t="s">
        <v>1385</v>
      </c>
      <c r="Q1339" s="368" t="s">
        <v>1386</v>
      </c>
      <c r="R1339" s="368" t="s">
        <v>867</v>
      </c>
      <c r="S1339" s="368" t="s">
        <v>864</v>
      </c>
      <c r="T1339" s="368" t="s">
        <v>362</v>
      </c>
      <c r="U1339" s="368" t="s">
        <v>867</v>
      </c>
      <c r="V1339" s="368" t="s">
        <v>867</v>
      </c>
      <c r="W1339" s="368" t="s">
        <v>1378</v>
      </c>
      <c r="X1339" s="368">
        <v>0</v>
      </c>
      <c r="Y1339" s="368">
        <v>99</v>
      </c>
      <c r="Z1339" s="368"/>
      <c r="AA1339" s="368"/>
      <c r="AB1339" s="368"/>
      <c r="AC1339" s="368"/>
      <c r="AD1339" s="368"/>
      <c r="AE1339" s="368"/>
      <c r="AF1339" s="377"/>
      <c r="AJ1339" s="337">
        <v>319</v>
      </c>
    </row>
    <row r="1340" spans="1:36">
      <c r="A1340" s="332">
        <f t="shared" si="46"/>
        <v>320</v>
      </c>
      <c r="G1340" s="349" t="s">
        <v>2335</v>
      </c>
      <c r="H1340" s="368" t="s">
        <v>2336</v>
      </c>
      <c r="I1340" s="368" t="s">
        <v>2337</v>
      </c>
      <c r="J1340" s="368" t="s">
        <v>1522</v>
      </c>
      <c r="K1340" s="368" t="s">
        <v>2337</v>
      </c>
      <c r="L1340" s="368" t="s">
        <v>1522</v>
      </c>
      <c r="M1340" s="368" t="s">
        <v>1376</v>
      </c>
      <c r="N1340" s="368" t="s">
        <v>867</v>
      </c>
      <c r="O1340" s="376">
        <v>18215</v>
      </c>
      <c r="P1340" s="368" t="s">
        <v>1447</v>
      </c>
      <c r="Q1340" s="368" t="s">
        <v>1443</v>
      </c>
      <c r="R1340" s="368" t="s">
        <v>867</v>
      </c>
      <c r="S1340" s="368" t="s">
        <v>864</v>
      </c>
      <c r="T1340" s="368" t="s">
        <v>362</v>
      </c>
      <c r="U1340" s="368" t="s">
        <v>867</v>
      </c>
      <c r="V1340" s="368" t="s">
        <v>867</v>
      </c>
      <c r="W1340" s="368" t="s">
        <v>1378</v>
      </c>
      <c r="X1340" s="368">
        <v>600</v>
      </c>
      <c r="Y1340" s="368">
        <v>99</v>
      </c>
      <c r="Z1340" s="368"/>
      <c r="AA1340" s="368"/>
      <c r="AB1340" s="368"/>
      <c r="AC1340" s="368"/>
      <c r="AD1340" s="368"/>
      <c r="AE1340" s="368"/>
      <c r="AF1340" s="377"/>
      <c r="AJ1340" s="337">
        <v>320</v>
      </c>
    </row>
    <row r="1341" spans="1:36">
      <c r="A1341" s="332">
        <f t="shared" si="46"/>
        <v>321</v>
      </c>
      <c r="G1341" s="349" t="s">
        <v>2338</v>
      </c>
      <c r="H1341" s="368" t="s">
        <v>2339</v>
      </c>
      <c r="I1341" s="368" t="s">
        <v>2340</v>
      </c>
      <c r="J1341" s="368" t="s">
        <v>1375</v>
      </c>
      <c r="K1341" s="368" t="s">
        <v>2340</v>
      </c>
      <c r="L1341" s="368" t="s">
        <v>1375</v>
      </c>
      <c r="M1341" s="368" t="s">
        <v>1384</v>
      </c>
      <c r="N1341" s="368" t="s">
        <v>867</v>
      </c>
      <c r="O1341" s="376">
        <v>79824</v>
      </c>
      <c r="P1341" s="368" t="s">
        <v>1385</v>
      </c>
      <c r="Q1341" s="368" t="s">
        <v>1386</v>
      </c>
      <c r="R1341" s="368" t="s">
        <v>867</v>
      </c>
      <c r="S1341" s="368" t="s">
        <v>864</v>
      </c>
      <c r="T1341" s="368" t="s">
        <v>362</v>
      </c>
      <c r="U1341" s="368" t="s">
        <v>867</v>
      </c>
      <c r="V1341" s="368" t="s">
        <v>867</v>
      </c>
      <c r="W1341" s="368" t="s">
        <v>1378</v>
      </c>
      <c r="X1341" s="368">
        <v>2900</v>
      </c>
      <c r="Y1341" s="368">
        <v>99</v>
      </c>
      <c r="Z1341" s="368"/>
      <c r="AA1341" s="368"/>
      <c r="AB1341" s="368"/>
      <c r="AC1341" s="368"/>
      <c r="AD1341" s="368"/>
      <c r="AE1341" s="368"/>
      <c r="AF1341" s="377"/>
      <c r="AJ1341" s="337">
        <v>321</v>
      </c>
    </row>
    <row r="1342" spans="1:36">
      <c r="A1342" s="332">
        <f t="shared" si="46"/>
        <v>322</v>
      </c>
      <c r="G1342" s="349" t="s">
        <v>2341</v>
      </c>
      <c r="H1342" s="368" t="s">
        <v>2342</v>
      </c>
      <c r="I1342" s="368" t="s">
        <v>1574</v>
      </c>
      <c r="J1342" s="368" t="s">
        <v>1375</v>
      </c>
      <c r="K1342" s="368" t="s">
        <v>1574</v>
      </c>
      <c r="L1342" s="368" t="s">
        <v>1375</v>
      </c>
      <c r="M1342" s="368" t="s">
        <v>1384</v>
      </c>
      <c r="N1342" s="368" t="s">
        <v>867</v>
      </c>
      <c r="O1342" s="376">
        <v>7494</v>
      </c>
      <c r="P1342" s="368" t="s">
        <v>1385</v>
      </c>
      <c r="Q1342" s="368" t="s">
        <v>1386</v>
      </c>
      <c r="R1342" s="368" t="s">
        <v>867</v>
      </c>
      <c r="S1342" s="368" t="s">
        <v>864</v>
      </c>
      <c r="T1342" s="368" t="s">
        <v>362</v>
      </c>
      <c r="U1342" s="368" t="s">
        <v>867</v>
      </c>
      <c r="V1342" s="368" t="s">
        <v>867</v>
      </c>
      <c r="W1342" s="368" t="s">
        <v>1378</v>
      </c>
      <c r="X1342" s="368">
        <v>800</v>
      </c>
      <c r="Y1342" s="368">
        <v>99</v>
      </c>
      <c r="Z1342" s="368"/>
      <c r="AA1342" s="368"/>
      <c r="AB1342" s="368"/>
      <c r="AC1342" s="368"/>
      <c r="AD1342" s="368"/>
      <c r="AE1342" s="368"/>
      <c r="AF1342" s="377"/>
      <c r="AJ1342" s="337">
        <v>322</v>
      </c>
    </row>
    <row r="1343" spans="1:36">
      <c r="A1343" s="332">
        <f t="shared" ref="A1343:A1406" si="47">1+A1342</f>
        <v>323</v>
      </c>
      <c r="G1343" s="349" t="s">
        <v>2343</v>
      </c>
      <c r="H1343" s="368" t="s">
        <v>2344</v>
      </c>
      <c r="I1343" s="368" t="s">
        <v>2345</v>
      </c>
      <c r="J1343" s="368" t="s">
        <v>1375</v>
      </c>
      <c r="K1343" s="368" t="s">
        <v>2345</v>
      </c>
      <c r="L1343" s="368" t="s">
        <v>1375</v>
      </c>
      <c r="M1343" s="368" t="s">
        <v>1384</v>
      </c>
      <c r="N1343" s="368" t="s">
        <v>867</v>
      </c>
      <c r="O1343" s="376">
        <v>63450</v>
      </c>
      <c r="P1343" s="368" t="s">
        <v>1385</v>
      </c>
      <c r="Q1343" s="368" t="s">
        <v>1386</v>
      </c>
      <c r="R1343" s="368" t="s">
        <v>867</v>
      </c>
      <c r="S1343" s="368" t="s">
        <v>867</v>
      </c>
      <c r="T1343" s="368" t="s">
        <v>362</v>
      </c>
      <c r="U1343" s="368" t="s">
        <v>867</v>
      </c>
      <c r="V1343" s="368" t="s">
        <v>867</v>
      </c>
      <c r="W1343" s="368" t="s">
        <v>1378</v>
      </c>
      <c r="X1343" s="368">
        <v>0</v>
      </c>
      <c r="Y1343" s="368">
        <v>99</v>
      </c>
      <c r="Z1343" s="368"/>
      <c r="AA1343" s="368"/>
      <c r="AB1343" s="368"/>
      <c r="AC1343" s="368"/>
      <c r="AD1343" s="368"/>
      <c r="AE1343" s="368"/>
      <c r="AF1343" s="377"/>
      <c r="AJ1343" s="337">
        <v>323</v>
      </c>
    </row>
    <row r="1344" spans="1:36">
      <c r="A1344" s="332">
        <f t="shared" si="47"/>
        <v>324</v>
      </c>
      <c r="G1344" s="349" t="s">
        <v>2346</v>
      </c>
      <c r="H1344" s="368" t="s">
        <v>2347</v>
      </c>
      <c r="I1344" s="368" t="s">
        <v>2348</v>
      </c>
      <c r="J1344" s="368" t="s">
        <v>1375</v>
      </c>
      <c r="K1344" s="368" t="s">
        <v>2348</v>
      </c>
      <c r="L1344" s="368" t="s">
        <v>1375</v>
      </c>
      <c r="M1344" s="368" t="s">
        <v>1384</v>
      </c>
      <c r="N1344" s="368" t="s">
        <v>867</v>
      </c>
      <c r="O1344" s="376">
        <v>75808</v>
      </c>
      <c r="P1344" s="368" t="s">
        <v>1385</v>
      </c>
      <c r="Q1344" s="368" t="s">
        <v>1386</v>
      </c>
      <c r="R1344" s="368" t="s">
        <v>867</v>
      </c>
      <c r="S1344" s="368" t="s">
        <v>864</v>
      </c>
      <c r="T1344" s="368" t="s">
        <v>362</v>
      </c>
      <c r="U1344" s="368" t="s">
        <v>867</v>
      </c>
      <c r="V1344" s="368" t="s">
        <v>867</v>
      </c>
      <c r="W1344" s="368" t="s">
        <v>1378</v>
      </c>
      <c r="X1344" s="368">
        <v>1400</v>
      </c>
      <c r="Y1344" s="368">
        <v>99</v>
      </c>
      <c r="Z1344" s="368"/>
      <c r="AA1344" s="368"/>
      <c r="AB1344" s="368"/>
      <c r="AC1344" s="368"/>
      <c r="AD1344" s="368"/>
      <c r="AE1344" s="368"/>
      <c r="AF1344" s="377"/>
      <c r="AJ1344" s="337">
        <v>324</v>
      </c>
    </row>
    <row r="1345" spans="1:36">
      <c r="A1345" s="332">
        <f t="shared" si="47"/>
        <v>325</v>
      </c>
      <c r="G1345" s="349" t="s">
        <v>2349</v>
      </c>
      <c r="H1345" s="368" t="s">
        <v>1424</v>
      </c>
      <c r="I1345" s="368" t="s">
        <v>2350</v>
      </c>
      <c r="J1345" s="368" t="s">
        <v>1403</v>
      </c>
      <c r="K1345" s="368" t="s">
        <v>2350</v>
      </c>
      <c r="L1345" s="368" t="s">
        <v>1403</v>
      </c>
      <c r="M1345" s="368" t="s">
        <v>1700</v>
      </c>
      <c r="N1345" s="368" t="s">
        <v>867</v>
      </c>
      <c r="O1345" s="376">
        <v>30150</v>
      </c>
      <c r="P1345" s="368" t="s">
        <v>1447</v>
      </c>
      <c r="Q1345" s="368" t="s">
        <v>1386</v>
      </c>
      <c r="R1345" s="368" t="s">
        <v>867</v>
      </c>
      <c r="S1345" s="368" t="s">
        <v>864</v>
      </c>
      <c r="T1345" s="368" t="s">
        <v>362</v>
      </c>
      <c r="U1345" s="368" t="s">
        <v>867</v>
      </c>
      <c r="V1345" s="368" t="s">
        <v>867</v>
      </c>
      <c r="W1345" s="368" t="s">
        <v>1378</v>
      </c>
      <c r="X1345" s="368">
        <v>2600</v>
      </c>
      <c r="Y1345" s="368">
        <v>99</v>
      </c>
      <c r="Z1345" s="368"/>
      <c r="AA1345" s="368"/>
      <c r="AB1345" s="368"/>
      <c r="AC1345" s="368"/>
      <c r="AD1345" s="368"/>
      <c r="AE1345" s="368"/>
      <c r="AF1345" s="377"/>
      <c r="AJ1345" s="337">
        <v>325</v>
      </c>
    </row>
    <row r="1346" spans="1:36">
      <c r="A1346" s="332">
        <f t="shared" si="47"/>
        <v>326</v>
      </c>
      <c r="G1346" s="349" t="s">
        <v>2351</v>
      </c>
      <c r="H1346" s="368" t="s">
        <v>2352</v>
      </c>
      <c r="I1346" s="368" t="s">
        <v>2353</v>
      </c>
      <c r="J1346" s="368" t="s">
        <v>1375</v>
      </c>
      <c r="K1346" s="368" t="s">
        <v>2353</v>
      </c>
      <c r="L1346" s="368" t="s">
        <v>1375</v>
      </c>
      <c r="M1346" s="368" t="s">
        <v>1376</v>
      </c>
      <c r="N1346" s="368" t="s">
        <v>867</v>
      </c>
      <c r="O1346" s="376">
        <v>70782</v>
      </c>
      <c r="P1346" s="368" t="s">
        <v>1385</v>
      </c>
      <c r="Q1346" s="368" t="s">
        <v>1462</v>
      </c>
      <c r="R1346" s="368" t="s">
        <v>867</v>
      </c>
      <c r="S1346" s="368" t="s">
        <v>864</v>
      </c>
      <c r="T1346" s="368" t="s">
        <v>362</v>
      </c>
      <c r="U1346" s="368" t="s">
        <v>867</v>
      </c>
      <c r="V1346" s="368" t="s">
        <v>867</v>
      </c>
      <c r="W1346" s="368" t="s">
        <v>1378</v>
      </c>
      <c r="X1346" s="368">
        <v>0</v>
      </c>
      <c r="Y1346" s="368">
        <v>99</v>
      </c>
      <c r="Z1346" s="368"/>
      <c r="AA1346" s="368"/>
      <c r="AB1346" s="368"/>
      <c r="AC1346" s="368"/>
      <c r="AD1346" s="368"/>
      <c r="AE1346" s="368"/>
      <c r="AF1346" s="377"/>
      <c r="AJ1346" s="337">
        <v>326</v>
      </c>
    </row>
    <row r="1347" spans="1:36">
      <c r="A1347" s="332">
        <f t="shared" si="47"/>
        <v>327</v>
      </c>
      <c r="G1347" s="349" t="s">
        <v>2354</v>
      </c>
      <c r="H1347" s="368" t="s">
        <v>2355</v>
      </c>
      <c r="I1347" s="368" t="s">
        <v>2086</v>
      </c>
      <c r="J1347" s="368" t="s">
        <v>1375</v>
      </c>
      <c r="K1347" s="368" t="s">
        <v>2086</v>
      </c>
      <c r="L1347" s="368" t="s">
        <v>1375</v>
      </c>
      <c r="M1347" s="368" t="s">
        <v>1384</v>
      </c>
      <c r="N1347" s="368" t="s">
        <v>867</v>
      </c>
      <c r="O1347" s="376">
        <v>6539</v>
      </c>
      <c r="P1347" s="368" t="s">
        <v>1385</v>
      </c>
      <c r="Q1347" s="368" t="s">
        <v>1386</v>
      </c>
      <c r="R1347" s="368" t="s">
        <v>867</v>
      </c>
      <c r="S1347" s="368" t="s">
        <v>864</v>
      </c>
      <c r="T1347" s="368" t="s">
        <v>362</v>
      </c>
      <c r="U1347" s="368" t="s">
        <v>867</v>
      </c>
      <c r="V1347" s="368" t="s">
        <v>867</v>
      </c>
      <c r="W1347" s="368" t="s">
        <v>1378</v>
      </c>
      <c r="X1347" s="368">
        <v>1200</v>
      </c>
      <c r="Y1347" s="368">
        <v>99</v>
      </c>
      <c r="Z1347" s="368"/>
      <c r="AA1347" s="368"/>
      <c r="AB1347" s="368"/>
      <c r="AC1347" s="368"/>
      <c r="AD1347" s="368"/>
      <c r="AE1347" s="368"/>
      <c r="AF1347" s="377"/>
      <c r="AJ1347" s="337">
        <v>327</v>
      </c>
    </row>
    <row r="1348" spans="1:36">
      <c r="A1348" s="332">
        <f t="shared" si="47"/>
        <v>328</v>
      </c>
      <c r="G1348" s="349" t="s">
        <v>2356</v>
      </c>
      <c r="H1348" s="368" t="s">
        <v>2357</v>
      </c>
      <c r="I1348" s="368" t="s">
        <v>2358</v>
      </c>
      <c r="J1348" s="368" t="s">
        <v>1375</v>
      </c>
      <c r="K1348" s="368" t="s">
        <v>2358</v>
      </c>
      <c r="L1348" s="368" t="s">
        <v>1375</v>
      </c>
      <c r="M1348" s="368" t="s">
        <v>1384</v>
      </c>
      <c r="N1348" s="368" t="s">
        <v>867</v>
      </c>
      <c r="O1348" s="376">
        <v>77316</v>
      </c>
      <c r="P1348" s="368" t="s">
        <v>1385</v>
      </c>
      <c r="Q1348" s="368" t="s">
        <v>1386</v>
      </c>
      <c r="R1348" s="368" t="s">
        <v>867</v>
      </c>
      <c r="S1348" s="368" t="s">
        <v>864</v>
      </c>
      <c r="T1348" s="368" t="s">
        <v>362</v>
      </c>
      <c r="U1348" s="368" t="s">
        <v>867</v>
      </c>
      <c r="V1348" s="368" t="s">
        <v>867</v>
      </c>
      <c r="W1348" s="368" t="s">
        <v>1378</v>
      </c>
      <c r="X1348" s="368">
        <v>0</v>
      </c>
      <c r="Y1348" s="368">
        <v>99</v>
      </c>
      <c r="Z1348" s="368"/>
      <c r="AA1348" s="368"/>
      <c r="AB1348" s="368"/>
      <c r="AC1348" s="368"/>
      <c r="AD1348" s="368"/>
      <c r="AE1348" s="368"/>
      <c r="AF1348" s="377"/>
      <c r="AJ1348" s="337">
        <v>328</v>
      </c>
    </row>
    <row r="1349" spans="1:36">
      <c r="A1349" s="332">
        <f t="shared" si="47"/>
        <v>329</v>
      </c>
      <c r="G1349" s="349" t="s">
        <v>2359</v>
      </c>
      <c r="H1349" s="368" t="s">
        <v>2360</v>
      </c>
      <c r="I1349" s="368" t="s">
        <v>2361</v>
      </c>
      <c r="J1349" s="368" t="s">
        <v>1375</v>
      </c>
      <c r="K1349" s="368" t="s">
        <v>2361</v>
      </c>
      <c r="L1349" s="368" t="s">
        <v>1375</v>
      </c>
      <c r="M1349" s="368" t="s">
        <v>1376</v>
      </c>
      <c r="N1349" s="368" t="s">
        <v>867</v>
      </c>
      <c r="O1349" s="376">
        <v>97284</v>
      </c>
      <c r="P1349" s="368" t="s">
        <v>1385</v>
      </c>
      <c r="Q1349" s="368" t="s">
        <v>1386</v>
      </c>
      <c r="R1349" s="368" t="s">
        <v>867</v>
      </c>
      <c r="S1349" s="368" t="s">
        <v>864</v>
      </c>
      <c r="T1349" s="368" t="s">
        <v>1387</v>
      </c>
      <c r="U1349" s="368" t="s">
        <v>867</v>
      </c>
      <c r="V1349" s="368" t="s">
        <v>867</v>
      </c>
      <c r="W1349" s="368" t="s">
        <v>1378</v>
      </c>
      <c r="X1349" s="368">
        <v>0</v>
      </c>
      <c r="Y1349" s="368">
        <v>99</v>
      </c>
      <c r="Z1349" s="368"/>
      <c r="AA1349" s="368"/>
      <c r="AB1349" s="368"/>
      <c r="AC1349" s="368"/>
      <c r="AD1349" s="368"/>
      <c r="AE1349" s="368"/>
      <c r="AF1349" s="377"/>
      <c r="AJ1349" s="337">
        <v>329</v>
      </c>
    </row>
    <row r="1350" spans="1:36">
      <c r="A1350" s="332">
        <f t="shared" si="47"/>
        <v>330</v>
      </c>
      <c r="G1350" s="349" t="s">
        <v>2362</v>
      </c>
      <c r="H1350" s="368" t="s">
        <v>2363</v>
      </c>
      <c r="I1350" s="368" t="s">
        <v>2364</v>
      </c>
      <c r="J1350" s="368" t="s">
        <v>1375</v>
      </c>
      <c r="K1350" s="368" t="s">
        <v>2364</v>
      </c>
      <c r="L1350" s="368" t="s">
        <v>1375</v>
      </c>
      <c r="M1350" s="368" t="s">
        <v>1384</v>
      </c>
      <c r="N1350" s="368" t="s">
        <v>867</v>
      </c>
      <c r="O1350" s="376">
        <v>75531</v>
      </c>
      <c r="P1350" s="368" t="s">
        <v>1385</v>
      </c>
      <c r="Q1350" s="368" t="s">
        <v>1386</v>
      </c>
      <c r="R1350" s="368" t="s">
        <v>867</v>
      </c>
      <c r="S1350" s="368" t="s">
        <v>864</v>
      </c>
      <c r="T1350" s="368" t="s">
        <v>362</v>
      </c>
      <c r="U1350" s="368" t="s">
        <v>867</v>
      </c>
      <c r="V1350" s="368" t="s">
        <v>867</v>
      </c>
      <c r="W1350" s="368" t="s">
        <v>1378</v>
      </c>
      <c r="X1350" s="368">
        <v>0</v>
      </c>
      <c r="Y1350" s="368">
        <v>99</v>
      </c>
      <c r="Z1350" s="368"/>
      <c r="AA1350" s="368"/>
      <c r="AB1350" s="368"/>
      <c r="AC1350" s="368"/>
      <c r="AD1350" s="368"/>
      <c r="AE1350" s="368"/>
      <c r="AF1350" s="377"/>
      <c r="AJ1350" s="337">
        <v>330</v>
      </c>
    </row>
    <row r="1351" spans="1:36">
      <c r="A1351" s="332">
        <f t="shared" si="47"/>
        <v>331</v>
      </c>
      <c r="G1351" s="349" t="s">
        <v>2365</v>
      </c>
      <c r="H1351" s="368" t="s">
        <v>2366</v>
      </c>
      <c r="I1351" s="368" t="s">
        <v>1940</v>
      </c>
      <c r="J1351" s="368" t="s">
        <v>1399</v>
      </c>
      <c r="K1351" s="368" t="s">
        <v>1940</v>
      </c>
      <c r="L1351" s="368" t="s">
        <v>1399</v>
      </c>
      <c r="M1351" s="368" t="s">
        <v>1384</v>
      </c>
      <c r="N1351" s="368" t="s">
        <v>867</v>
      </c>
      <c r="O1351" s="376">
        <v>8844</v>
      </c>
      <c r="P1351" s="368" t="s">
        <v>1385</v>
      </c>
      <c r="Q1351" s="368" t="s">
        <v>1386</v>
      </c>
      <c r="R1351" s="368" t="s">
        <v>867</v>
      </c>
      <c r="S1351" s="368" t="s">
        <v>864</v>
      </c>
      <c r="T1351" s="368" t="s">
        <v>362</v>
      </c>
      <c r="U1351" s="368" t="s">
        <v>867</v>
      </c>
      <c r="V1351" s="368" t="s">
        <v>867</v>
      </c>
      <c r="W1351" s="368" t="s">
        <v>1378</v>
      </c>
      <c r="X1351" s="368">
        <v>300</v>
      </c>
      <c r="Y1351" s="368">
        <v>99</v>
      </c>
      <c r="Z1351" s="368"/>
      <c r="AA1351" s="368"/>
      <c r="AB1351" s="368"/>
      <c r="AC1351" s="368"/>
      <c r="AD1351" s="368"/>
      <c r="AE1351" s="368"/>
      <c r="AF1351" s="377"/>
      <c r="AJ1351" s="337">
        <v>331</v>
      </c>
    </row>
    <row r="1352" spans="1:36">
      <c r="A1352" s="332">
        <f t="shared" si="47"/>
        <v>332</v>
      </c>
      <c r="G1352" s="349" t="s">
        <v>2367</v>
      </c>
      <c r="H1352" s="368" t="s">
        <v>2368</v>
      </c>
      <c r="I1352" s="368" t="s">
        <v>1398</v>
      </c>
      <c r="J1352" s="368" t="s">
        <v>1403</v>
      </c>
      <c r="K1352" s="368" t="s">
        <v>1398</v>
      </c>
      <c r="L1352" s="368" t="s">
        <v>1403</v>
      </c>
      <c r="M1352" s="368" t="s">
        <v>1376</v>
      </c>
      <c r="N1352" s="368" t="s">
        <v>867</v>
      </c>
      <c r="O1352" s="376">
        <v>93598</v>
      </c>
      <c r="P1352" s="368" t="s">
        <v>1385</v>
      </c>
      <c r="Q1352" s="368" t="s">
        <v>1386</v>
      </c>
      <c r="R1352" s="368" t="s">
        <v>867</v>
      </c>
      <c r="S1352" s="368" t="s">
        <v>864</v>
      </c>
      <c r="T1352" s="368" t="s">
        <v>1387</v>
      </c>
      <c r="U1352" s="368" t="s">
        <v>867</v>
      </c>
      <c r="V1352" s="368" t="s">
        <v>867</v>
      </c>
      <c r="W1352" s="368" t="s">
        <v>1378</v>
      </c>
      <c r="X1352" s="368">
        <v>0</v>
      </c>
      <c r="Y1352" s="368">
        <v>99</v>
      </c>
      <c r="Z1352" s="368"/>
      <c r="AA1352" s="368"/>
      <c r="AB1352" s="368"/>
      <c r="AC1352" s="368"/>
      <c r="AD1352" s="368"/>
      <c r="AE1352" s="368"/>
      <c r="AF1352" s="377"/>
      <c r="AJ1352" s="337">
        <v>332</v>
      </c>
    </row>
    <row r="1353" spans="1:36">
      <c r="A1353" s="332">
        <f t="shared" si="47"/>
        <v>333</v>
      </c>
      <c r="G1353" s="349" t="s">
        <v>2369</v>
      </c>
      <c r="H1353" s="368" t="s">
        <v>2370</v>
      </c>
      <c r="I1353" s="368" t="s">
        <v>2371</v>
      </c>
      <c r="J1353" s="368" t="s">
        <v>1375</v>
      </c>
      <c r="K1353" s="368" t="s">
        <v>2371</v>
      </c>
      <c r="L1353" s="368" t="s">
        <v>1375</v>
      </c>
      <c r="M1353" s="368" t="s">
        <v>1384</v>
      </c>
      <c r="N1353" s="368" t="s">
        <v>867</v>
      </c>
      <c r="O1353" s="376">
        <v>81068</v>
      </c>
      <c r="P1353" s="368" t="s">
        <v>1385</v>
      </c>
      <c r="Q1353" s="368" t="s">
        <v>1386</v>
      </c>
      <c r="R1353" s="368" t="s">
        <v>867</v>
      </c>
      <c r="S1353" s="368" t="s">
        <v>867</v>
      </c>
      <c r="T1353" s="368" t="s">
        <v>362</v>
      </c>
      <c r="U1353" s="368" t="s">
        <v>867</v>
      </c>
      <c r="V1353" s="368" t="s">
        <v>867</v>
      </c>
      <c r="W1353" s="368" t="s">
        <v>1378</v>
      </c>
      <c r="X1353" s="368">
        <v>1650</v>
      </c>
      <c r="Y1353" s="368">
        <v>99</v>
      </c>
      <c r="Z1353" s="368"/>
      <c r="AA1353" s="368"/>
      <c r="AB1353" s="368"/>
      <c r="AC1353" s="368"/>
      <c r="AD1353" s="368"/>
      <c r="AE1353" s="368"/>
      <c r="AF1353" s="377"/>
      <c r="AJ1353" s="337">
        <v>333</v>
      </c>
    </row>
    <row r="1354" spans="1:36">
      <c r="A1354" s="332">
        <f t="shared" si="47"/>
        <v>334</v>
      </c>
      <c r="G1354" s="349" t="s">
        <v>2372</v>
      </c>
      <c r="H1354" s="368" t="s">
        <v>2373</v>
      </c>
      <c r="I1354" s="368" t="s">
        <v>2374</v>
      </c>
      <c r="J1354" s="368" t="s">
        <v>1375</v>
      </c>
      <c r="K1354" s="368" t="s">
        <v>2374</v>
      </c>
      <c r="L1354" s="368" t="s">
        <v>1375</v>
      </c>
      <c r="M1354" s="368" t="s">
        <v>1376</v>
      </c>
      <c r="N1354" s="368" t="s">
        <v>867</v>
      </c>
      <c r="O1354" s="376">
        <v>90155</v>
      </c>
      <c r="P1354" s="368" t="s">
        <v>1385</v>
      </c>
      <c r="Q1354" s="368" t="s">
        <v>1386</v>
      </c>
      <c r="R1354" s="368" t="s">
        <v>867</v>
      </c>
      <c r="S1354" s="368" t="s">
        <v>864</v>
      </c>
      <c r="T1354" s="368" t="s">
        <v>362</v>
      </c>
      <c r="U1354" s="368" t="s">
        <v>867</v>
      </c>
      <c r="V1354" s="368" t="s">
        <v>867</v>
      </c>
      <c r="W1354" s="368" t="s">
        <v>1378</v>
      </c>
      <c r="X1354" s="368">
        <v>8550</v>
      </c>
      <c r="Y1354" s="368">
        <v>99</v>
      </c>
      <c r="Z1354" s="368"/>
      <c r="AA1354" s="368"/>
      <c r="AB1354" s="368"/>
      <c r="AC1354" s="368"/>
      <c r="AD1354" s="368"/>
      <c r="AE1354" s="368"/>
      <c r="AF1354" s="377"/>
      <c r="AJ1354" s="337">
        <v>334</v>
      </c>
    </row>
    <row r="1355" spans="1:36">
      <c r="A1355" s="332">
        <f t="shared" si="47"/>
        <v>335</v>
      </c>
      <c r="G1355" s="349" t="s">
        <v>2375</v>
      </c>
      <c r="H1355" s="368" t="s">
        <v>2376</v>
      </c>
      <c r="I1355" s="368" t="s">
        <v>2377</v>
      </c>
      <c r="J1355" s="368" t="s">
        <v>1399</v>
      </c>
      <c r="K1355" s="368" t="s">
        <v>2377</v>
      </c>
      <c r="L1355" s="368" t="s">
        <v>1399</v>
      </c>
      <c r="M1355" s="368" t="s">
        <v>1384</v>
      </c>
      <c r="N1355" s="368" t="s">
        <v>867</v>
      </c>
      <c r="O1355" s="376">
        <v>9766</v>
      </c>
      <c r="P1355" s="368" t="s">
        <v>1385</v>
      </c>
      <c r="Q1355" s="368" t="s">
        <v>1386</v>
      </c>
      <c r="R1355" s="368" t="s">
        <v>867</v>
      </c>
      <c r="S1355" s="368" t="s">
        <v>864</v>
      </c>
      <c r="T1355" s="368" t="s">
        <v>362</v>
      </c>
      <c r="U1355" s="368" t="s">
        <v>867</v>
      </c>
      <c r="V1355" s="368" t="s">
        <v>867</v>
      </c>
      <c r="W1355" s="368" t="s">
        <v>1378</v>
      </c>
      <c r="X1355" s="368">
        <v>0</v>
      </c>
      <c r="Y1355" s="368">
        <v>99</v>
      </c>
      <c r="Z1355" s="368"/>
      <c r="AA1355" s="368"/>
      <c r="AB1355" s="368"/>
      <c r="AC1355" s="368"/>
      <c r="AD1355" s="368"/>
      <c r="AE1355" s="368"/>
      <c r="AF1355" s="377"/>
      <c r="AJ1355" s="337">
        <v>335</v>
      </c>
    </row>
    <row r="1356" spans="1:36">
      <c r="A1356" s="332">
        <f t="shared" si="47"/>
        <v>336</v>
      </c>
      <c r="G1356" s="349" t="s">
        <v>2378</v>
      </c>
      <c r="H1356" s="368" t="s">
        <v>2379</v>
      </c>
      <c r="I1356" s="368" t="s">
        <v>2380</v>
      </c>
      <c r="J1356" s="368" t="s">
        <v>1375</v>
      </c>
      <c r="K1356" s="368" t="s">
        <v>2380</v>
      </c>
      <c r="L1356" s="368" t="s">
        <v>1375</v>
      </c>
      <c r="M1356" s="368" t="s">
        <v>1384</v>
      </c>
      <c r="N1356" s="368" t="s">
        <v>867</v>
      </c>
      <c r="O1356" s="376">
        <v>65951</v>
      </c>
      <c r="P1356" s="368" t="s">
        <v>1385</v>
      </c>
      <c r="Q1356" s="368" t="s">
        <v>1386</v>
      </c>
      <c r="R1356" s="368" t="s">
        <v>867</v>
      </c>
      <c r="S1356" s="368" t="s">
        <v>864</v>
      </c>
      <c r="T1356" s="368" t="s">
        <v>362</v>
      </c>
      <c r="U1356" s="368" t="s">
        <v>867</v>
      </c>
      <c r="V1356" s="368" t="s">
        <v>867</v>
      </c>
      <c r="W1356" s="368" t="s">
        <v>1378</v>
      </c>
      <c r="X1356" s="368">
        <v>3200</v>
      </c>
      <c r="Y1356" s="368">
        <v>99</v>
      </c>
      <c r="Z1356" s="368"/>
      <c r="AA1356" s="368"/>
      <c r="AB1356" s="368"/>
      <c r="AC1356" s="368"/>
      <c r="AD1356" s="368"/>
      <c r="AE1356" s="368"/>
      <c r="AF1356" s="377"/>
      <c r="AJ1356" s="337">
        <v>336</v>
      </c>
    </row>
    <row r="1357" spans="1:36">
      <c r="A1357" s="332">
        <f t="shared" si="47"/>
        <v>337</v>
      </c>
      <c r="G1357" s="349" t="s">
        <v>2381</v>
      </c>
      <c r="H1357" s="368" t="s">
        <v>2382</v>
      </c>
      <c r="I1357" s="368" t="s">
        <v>2383</v>
      </c>
      <c r="J1357" s="368" t="s">
        <v>1375</v>
      </c>
      <c r="K1357" s="368" t="s">
        <v>2383</v>
      </c>
      <c r="L1357" s="368" t="s">
        <v>1375</v>
      </c>
      <c r="M1357" s="368" t="s">
        <v>1384</v>
      </c>
      <c r="N1357" s="368" t="s">
        <v>867</v>
      </c>
      <c r="O1357" s="376">
        <v>16324</v>
      </c>
      <c r="P1357" s="368" t="s">
        <v>1385</v>
      </c>
      <c r="Q1357" s="368" t="s">
        <v>1386</v>
      </c>
      <c r="R1357" s="368" t="s">
        <v>867</v>
      </c>
      <c r="S1357" s="368" t="s">
        <v>864</v>
      </c>
      <c r="T1357" s="368" t="s">
        <v>362</v>
      </c>
      <c r="U1357" s="368" t="s">
        <v>867</v>
      </c>
      <c r="V1357" s="368" t="s">
        <v>867</v>
      </c>
      <c r="W1357" s="368" t="s">
        <v>1378</v>
      </c>
      <c r="X1357" s="368">
        <v>0</v>
      </c>
      <c r="Y1357" s="368">
        <v>99</v>
      </c>
      <c r="Z1357" s="368"/>
      <c r="AA1357" s="368"/>
      <c r="AB1357" s="368"/>
      <c r="AC1357" s="368"/>
      <c r="AD1357" s="368"/>
      <c r="AE1357" s="368"/>
      <c r="AF1357" s="377"/>
      <c r="AJ1357" s="337">
        <v>337</v>
      </c>
    </row>
    <row r="1358" spans="1:36">
      <c r="A1358" s="332">
        <f t="shared" si="47"/>
        <v>338</v>
      </c>
      <c r="G1358" s="349" t="s">
        <v>2384</v>
      </c>
      <c r="H1358" s="368" t="s">
        <v>2385</v>
      </c>
      <c r="I1358" s="368" t="s">
        <v>2386</v>
      </c>
      <c r="J1358" s="368" t="s">
        <v>1375</v>
      </c>
      <c r="K1358" s="368" t="s">
        <v>2386</v>
      </c>
      <c r="L1358" s="368" t="s">
        <v>1375</v>
      </c>
      <c r="M1358" s="368" t="s">
        <v>1384</v>
      </c>
      <c r="N1358" s="368" t="s">
        <v>867</v>
      </c>
      <c r="O1358" s="376">
        <v>54311</v>
      </c>
      <c r="P1358" s="368" t="s">
        <v>1385</v>
      </c>
      <c r="Q1358" s="368" t="s">
        <v>1386</v>
      </c>
      <c r="R1358" s="368" t="s">
        <v>867</v>
      </c>
      <c r="S1358" s="368" t="s">
        <v>864</v>
      </c>
      <c r="T1358" s="368" t="s">
        <v>362</v>
      </c>
      <c r="U1358" s="368" t="s">
        <v>867</v>
      </c>
      <c r="V1358" s="368" t="s">
        <v>867</v>
      </c>
      <c r="W1358" s="368" t="s">
        <v>1378</v>
      </c>
      <c r="X1358" s="368">
        <v>200</v>
      </c>
      <c r="Y1358" s="368">
        <v>99</v>
      </c>
      <c r="Z1358" s="368"/>
      <c r="AA1358" s="368"/>
      <c r="AB1358" s="368"/>
      <c r="AC1358" s="368"/>
      <c r="AD1358" s="368"/>
      <c r="AE1358" s="368"/>
      <c r="AF1358" s="377"/>
      <c r="AJ1358" s="337">
        <v>338</v>
      </c>
    </row>
    <row r="1359" spans="1:36">
      <c r="A1359" s="332">
        <f t="shared" si="47"/>
        <v>339</v>
      </c>
      <c r="G1359" s="349" t="s">
        <v>2387</v>
      </c>
      <c r="H1359" s="368" t="s">
        <v>2388</v>
      </c>
      <c r="I1359" s="368" t="s">
        <v>2389</v>
      </c>
      <c r="J1359" s="368" t="s">
        <v>1375</v>
      </c>
      <c r="K1359" s="368" t="s">
        <v>2389</v>
      </c>
      <c r="L1359" s="368" t="s">
        <v>1375</v>
      </c>
      <c r="M1359" s="368" t="s">
        <v>1376</v>
      </c>
      <c r="N1359" s="368" t="s">
        <v>867</v>
      </c>
      <c r="O1359" s="376">
        <v>72674</v>
      </c>
      <c r="P1359" s="368" t="s">
        <v>339</v>
      </c>
      <c r="Q1359" s="368" t="s">
        <v>1443</v>
      </c>
      <c r="R1359" s="368" t="s">
        <v>867</v>
      </c>
      <c r="S1359" s="368" t="s">
        <v>864</v>
      </c>
      <c r="T1359" s="368" t="s">
        <v>362</v>
      </c>
      <c r="U1359" s="368" t="s">
        <v>867</v>
      </c>
      <c r="V1359" s="368" t="s">
        <v>867</v>
      </c>
      <c r="W1359" s="368" t="s">
        <v>1378</v>
      </c>
      <c r="X1359" s="368">
        <v>2000</v>
      </c>
      <c r="Y1359" s="368">
        <v>99</v>
      </c>
      <c r="Z1359" s="368"/>
      <c r="AA1359" s="368"/>
      <c r="AB1359" s="368"/>
      <c r="AC1359" s="368"/>
      <c r="AD1359" s="368"/>
      <c r="AE1359" s="368"/>
      <c r="AF1359" s="377"/>
      <c r="AJ1359" s="337">
        <v>339</v>
      </c>
    </row>
    <row r="1360" spans="1:36">
      <c r="A1360" s="332">
        <f t="shared" si="47"/>
        <v>340</v>
      </c>
      <c r="G1360" s="349" t="s">
        <v>2390</v>
      </c>
      <c r="H1360" s="368" t="s">
        <v>2391</v>
      </c>
      <c r="I1360" s="368" t="s">
        <v>2392</v>
      </c>
      <c r="J1360" s="368" t="s">
        <v>1375</v>
      </c>
      <c r="K1360" s="368" t="s">
        <v>2392</v>
      </c>
      <c r="L1360" s="368" t="s">
        <v>1375</v>
      </c>
      <c r="M1360" s="368" t="s">
        <v>1376</v>
      </c>
      <c r="N1360" s="368" t="s">
        <v>867</v>
      </c>
      <c r="O1360" s="376">
        <v>55474</v>
      </c>
      <c r="P1360" s="368" t="s">
        <v>1385</v>
      </c>
      <c r="Q1360" s="368" t="s">
        <v>1443</v>
      </c>
      <c r="R1360" s="368" t="s">
        <v>867</v>
      </c>
      <c r="S1360" s="368" t="s">
        <v>864</v>
      </c>
      <c r="T1360" s="368" t="s">
        <v>362</v>
      </c>
      <c r="U1360" s="368" t="s">
        <v>867</v>
      </c>
      <c r="V1360" s="368" t="s">
        <v>867</v>
      </c>
      <c r="W1360" s="368" t="s">
        <v>1378</v>
      </c>
      <c r="X1360" s="368">
        <v>0</v>
      </c>
      <c r="Y1360" s="368">
        <v>99</v>
      </c>
      <c r="Z1360" s="368"/>
      <c r="AA1360" s="368"/>
      <c r="AB1360" s="368"/>
      <c r="AC1360" s="368"/>
      <c r="AD1360" s="368"/>
      <c r="AE1360" s="368"/>
      <c r="AF1360" s="377"/>
      <c r="AJ1360" s="337">
        <v>340</v>
      </c>
    </row>
    <row r="1361" spans="1:36">
      <c r="A1361" s="332">
        <f t="shared" si="47"/>
        <v>341</v>
      </c>
      <c r="G1361" s="349" t="s">
        <v>2393</v>
      </c>
      <c r="H1361" s="368" t="s">
        <v>1439</v>
      </c>
      <c r="I1361" s="368" t="s">
        <v>2394</v>
      </c>
      <c r="J1361" s="368" t="s">
        <v>1433</v>
      </c>
      <c r="K1361" s="368" t="s">
        <v>2394</v>
      </c>
      <c r="L1361" s="368" t="s">
        <v>1433</v>
      </c>
      <c r="M1361" s="368" t="s">
        <v>1384</v>
      </c>
      <c r="N1361" s="368" t="s">
        <v>867</v>
      </c>
      <c r="O1361" s="376">
        <v>56469</v>
      </c>
      <c r="P1361" s="368" t="s">
        <v>1385</v>
      </c>
      <c r="Q1361" s="368" t="s">
        <v>1443</v>
      </c>
      <c r="R1361" s="368" t="s">
        <v>867</v>
      </c>
      <c r="S1361" s="368" t="s">
        <v>864</v>
      </c>
      <c r="T1361" s="368" t="s">
        <v>362</v>
      </c>
      <c r="U1361" s="368" t="s">
        <v>867</v>
      </c>
      <c r="V1361" s="368" t="s">
        <v>867</v>
      </c>
      <c r="W1361" s="368" t="s">
        <v>1378</v>
      </c>
      <c r="X1361" s="368">
        <v>0</v>
      </c>
      <c r="Y1361" s="368">
        <v>99</v>
      </c>
      <c r="Z1361" s="368"/>
      <c r="AA1361" s="368"/>
      <c r="AB1361" s="368"/>
      <c r="AC1361" s="368"/>
      <c r="AD1361" s="368"/>
      <c r="AE1361" s="368"/>
      <c r="AF1361" s="377"/>
      <c r="AJ1361" s="337">
        <v>341</v>
      </c>
    </row>
    <row r="1362" spans="1:36">
      <c r="A1362" s="332">
        <f t="shared" si="47"/>
        <v>342</v>
      </c>
      <c r="G1362" s="349" t="s">
        <v>2395</v>
      </c>
      <c r="H1362" s="368" t="s">
        <v>2396</v>
      </c>
      <c r="I1362" s="368" t="s">
        <v>2397</v>
      </c>
      <c r="J1362" s="368" t="s">
        <v>1399</v>
      </c>
      <c r="K1362" s="368" t="s">
        <v>2397</v>
      </c>
      <c r="L1362" s="368" t="s">
        <v>1399</v>
      </c>
      <c r="M1362" s="368" t="s">
        <v>1376</v>
      </c>
      <c r="N1362" s="368" t="s">
        <v>867</v>
      </c>
      <c r="O1362" s="376">
        <v>81143</v>
      </c>
      <c r="P1362" s="368" t="s">
        <v>1447</v>
      </c>
      <c r="Q1362" s="368" t="s">
        <v>1443</v>
      </c>
      <c r="R1362" s="368" t="s">
        <v>867</v>
      </c>
      <c r="S1362" s="368" t="s">
        <v>864</v>
      </c>
      <c r="T1362" s="368" t="s">
        <v>362</v>
      </c>
      <c r="U1362" s="368" t="s">
        <v>867</v>
      </c>
      <c r="V1362" s="368" t="s">
        <v>867</v>
      </c>
      <c r="W1362" s="368" t="s">
        <v>1378</v>
      </c>
      <c r="X1362" s="368">
        <v>0</v>
      </c>
      <c r="Y1362" s="368">
        <v>99</v>
      </c>
      <c r="Z1362" s="368"/>
      <c r="AA1362" s="368"/>
      <c r="AB1362" s="368"/>
      <c r="AC1362" s="368"/>
      <c r="AD1362" s="368"/>
      <c r="AE1362" s="368"/>
      <c r="AF1362" s="377"/>
      <c r="AJ1362" s="337">
        <v>342</v>
      </c>
    </row>
    <row r="1363" spans="1:36">
      <c r="A1363" s="332">
        <f t="shared" si="47"/>
        <v>343</v>
      </c>
      <c r="G1363" s="349" t="s">
        <v>2398</v>
      </c>
      <c r="H1363" s="368" t="s">
        <v>2399</v>
      </c>
      <c r="I1363" s="368" t="s">
        <v>2400</v>
      </c>
      <c r="J1363" s="368" t="s">
        <v>1375</v>
      </c>
      <c r="K1363" s="368" t="s">
        <v>2400</v>
      </c>
      <c r="L1363" s="368" t="s">
        <v>1375</v>
      </c>
      <c r="M1363" s="368" t="s">
        <v>1376</v>
      </c>
      <c r="N1363" s="368" t="s">
        <v>867</v>
      </c>
      <c r="O1363" s="376">
        <v>98487</v>
      </c>
      <c r="P1363" s="368" t="s">
        <v>1385</v>
      </c>
      <c r="Q1363" s="368" t="s">
        <v>1386</v>
      </c>
      <c r="R1363" s="368" t="s">
        <v>867</v>
      </c>
      <c r="S1363" s="368" t="s">
        <v>864</v>
      </c>
      <c r="T1363" s="368" t="s">
        <v>362</v>
      </c>
      <c r="U1363" s="368" t="s">
        <v>867</v>
      </c>
      <c r="V1363" s="368" t="s">
        <v>867</v>
      </c>
      <c r="W1363" s="368" t="s">
        <v>1378</v>
      </c>
      <c r="X1363" s="368">
        <v>0</v>
      </c>
      <c r="Y1363" s="368">
        <v>99</v>
      </c>
      <c r="Z1363" s="368"/>
      <c r="AA1363" s="368"/>
      <c r="AB1363" s="368"/>
      <c r="AC1363" s="368"/>
      <c r="AD1363" s="368"/>
      <c r="AE1363" s="368"/>
      <c r="AF1363" s="377"/>
      <c r="AJ1363" s="337">
        <v>343</v>
      </c>
    </row>
    <row r="1364" spans="1:36">
      <c r="A1364" s="332">
        <f t="shared" si="47"/>
        <v>344</v>
      </c>
      <c r="G1364" s="349" t="s">
        <v>2401</v>
      </c>
      <c r="H1364" s="368" t="s">
        <v>2402</v>
      </c>
      <c r="I1364" s="368" t="s">
        <v>2403</v>
      </c>
      <c r="J1364" s="368" t="s">
        <v>1375</v>
      </c>
      <c r="K1364" s="368" t="s">
        <v>2403</v>
      </c>
      <c r="L1364" s="368" t="s">
        <v>1375</v>
      </c>
      <c r="M1364" s="368" t="s">
        <v>1376</v>
      </c>
      <c r="N1364" s="368" t="s">
        <v>867</v>
      </c>
      <c r="O1364" s="376">
        <v>41837</v>
      </c>
      <c r="P1364" s="368" t="s">
        <v>1385</v>
      </c>
      <c r="Q1364" s="368" t="s">
        <v>1386</v>
      </c>
      <c r="R1364" s="368" t="s">
        <v>867</v>
      </c>
      <c r="S1364" s="368" t="s">
        <v>864</v>
      </c>
      <c r="T1364" s="368" t="s">
        <v>362</v>
      </c>
      <c r="U1364" s="368" t="s">
        <v>867</v>
      </c>
      <c r="V1364" s="368" t="s">
        <v>867</v>
      </c>
      <c r="W1364" s="368" t="s">
        <v>1378</v>
      </c>
      <c r="X1364" s="368">
        <v>860</v>
      </c>
      <c r="Y1364" s="368">
        <v>99</v>
      </c>
      <c r="Z1364" s="368"/>
      <c r="AA1364" s="368"/>
      <c r="AB1364" s="368"/>
      <c r="AC1364" s="368"/>
      <c r="AD1364" s="368"/>
      <c r="AE1364" s="368"/>
      <c r="AF1364" s="377"/>
      <c r="AJ1364" s="337">
        <v>344</v>
      </c>
    </row>
    <row r="1365" spans="1:36">
      <c r="A1365" s="332">
        <f t="shared" si="47"/>
        <v>345</v>
      </c>
      <c r="G1365" s="349" t="s">
        <v>2404</v>
      </c>
      <c r="H1365" s="368" t="s">
        <v>2405</v>
      </c>
      <c r="I1365" s="368" t="s">
        <v>2406</v>
      </c>
      <c r="J1365" s="368" t="s">
        <v>1442</v>
      </c>
      <c r="K1365" s="368" t="s">
        <v>2406</v>
      </c>
      <c r="L1365" s="368" t="s">
        <v>1442</v>
      </c>
      <c r="M1365" s="368" t="s">
        <v>1384</v>
      </c>
      <c r="N1365" s="368" t="s">
        <v>867</v>
      </c>
      <c r="O1365" s="376">
        <v>11361</v>
      </c>
      <c r="P1365" s="368" t="s">
        <v>1385</v>
      </c>
      <c r="Q1365" s="368" t="s">
        <v>1386</v>
      </c>
      <c r="R1365" s="368" t="s">
        <v>867</v>
      </c>
      <c r="S1365" s="368" t="s">
        <v>864</v>
      </c>
      <c r="T1365" s="368" t="s">
        <v>362</v>
      </c>
      <c r="U1365" s="368" t="s">
        <v>867</v>
      </c>
      <c r="V1365" s="368" t="s">
        <v>867</v>
      </c>
      <c r="W1365" s="368" t="s">
        <v>1378</v>
      </c>
      <c r="X1365" s="368">
        <v>0</v>
      </c>
      <c r="Y1365" s="368">
        <v>99</v>
      </c>
      <c r="Z1365" s="368"/>
      <c r="AA1365" s="368"/>
      <c r="AB1365" s="368"/>
      <c r="AC1365" s="368"/>
      <c r="AD1365" s="368"/>
      <c r="AE1365" s="368"/>
      <c r="AF1365" s="377"/>
      <c r="AJ1365" s="337">
        <v>345</v>
      </c>
    </row>
    <row r="1366" spans="1:36">
      <c r="A1366" s="332">
        <f t="shared" si="47"/>
        <v>346</v>
      </c>
      <c r="G1366" s="349" t="s">
        <v>2407</v>
      </c>
      <c r="H1366" s="368" t="s">
        <v>2408</v>
      </c>
      <c r="I1366" s="368" t="s">
        <v>2409</v>
      </c>
      <c r="J1366" s="368" t="s">
        <v>1375</v>
      </c>
      <c r="K1366" s="368" t="s">
        <v>2409</v>
      </c>
      <c r="L1366" s="368" t="s">
        <v>1375</v>
      </c>
      <c r="M1366" s="368" t="s">
        <v>1384</v>
      </c>
      <c r="N1366" s="368" t="s">
        <v>867</v>
      </c>
      <c r="O1366" s="376">
        <v>57749</v>
      </c>
      <c r="P1366" s="368" t="s">
        <v>339</v>
      </c>
      <c r="Q1366" s="368" t="s">
        <v>1386</v>
      </c>
      <c r="R1366" s="368" t="s">
        <v>867</v>
      </c>
      <c r="S1366" s="368" t="s">
        <v>864</v>
      </c>
      <c r="T1366" s="368" t="s">
        <v>362</v>
      </c>
      <c r="U1366" s="368" t="s">
        <v>867</v>
      </c>
      <c r="V1366" s="368" t="s">
        <v>867</v>
      </c>
      <c r="W1366" s="368" t="s">
        <v>1378</v>
      </c>
      <c r="X1366" s="368">
        <v>3050</v>
      </c>
      <c r="Y1366" s="368">
        <v>99</v>
      </c>
      <c r="Z1366" s="368"/>
      <c r="AA1366" s="368"/>
      <c r="AB1366" s="368"/>
      <c r="AC1366" s="368"/>
      <c r="AD1366" s="368"/>
      <c r="AE1366" s="368"/>
      <c r="AF1366" s="377"/>
      <c r="AJ1366" s="337">
        <v>346</v>
      </c>
    </row>
    <row r="1367" spans="1:36">
      <c r="A1367" s="332">
        <f t="shared" si="47"/>
        <v>347</v>
      </c>
      <c r="G1367" s="349" t="s">
        <v>2410</v>
      </c>
      <c r="H1367" s="368" t="s">
        <v>2411</v>
      </c>
      <c r="I1367" s="368" t="s">
        <v>2412</v>
      </c>
      <c r="J1367" s="368" t="s">
        <v>1375</v>
      </c>
      <c r="K1367" s="368" t="s">
        <v>2412</v>
      </c>
      <c r="L1367" s="368" t="s">
        <v>1375</v>
      </c>
      <c r="M1367" s="368" t="s">
        <v>1376</v>
      </c>
      <c r="N1367" s="368" t="s">
        <v>867</v>
      </c>
      <c r="O1367" s="376">
        <v>29774</v>
      </c>
      <c r="P1367" s="368" t="s">
        <v>1385</v>
      </c>
      <c r="Q1367" s="368" t="s">
        <v>1386</v>
      </c>
      <c r="R1367" s="368" t="s">
        <v>867</v>
      </c>
      <c r="S1367" s="368" t="s">
        <v>864</v>
      </c>
      <c r="T1367" s="368" t="s">
        <v>362</v>
      </c>
      <c r="U1367" s="368" t="s">
        <v>867</v>
      </c>
      <c r="V1367" s="368" t="s">
        <v>867</v>
      </c>
      <c r="W1367" s="368" t="s">
        <v>1378</v>
      </c>
      <c r="X1367" s="368">
        <v>0</v>
      </c>
      <c r="Y1367" s="368">
        <v>99</v>
      </c>
      <c r="Z1367" s="368"/>
      <c r="AA1367" s="368"/>
      <c r="AB1367" s="368"/>
      <c r="AC1367" s="368"/>
      <c r="AD1367" s="368"/>
      <c r="AE1367" s="368"/>
      <c r="AF1367" s="377"/>
      <c r="AJ1367" s="337">
        <v>347</v>
      </c>
    </row>
    <row r="1368" spans="1:36">
      <c r="A1368" s="332">
        <f t="shared" si="47"/>
        <v>348</v>
      </c>
      <c r="G1368" s="349" t="s">
        <v>2413</v>
      </c>
      <c r="H1368" s="368" t="s">
        <v>2414</v>
      </c>
      <c r="I1368" s="368" t="s">
        <v>2415</v>
      </c>
      <c r="J1368" s="368" t="s">
        <v>1375</v>
      </c>
      <c r="K1368" s="368" t="s">
        <v>2415</v>
      </c>
      <c r="L1368" s="368" t="s">
        <v>1375</v>
      </c>
      <c r="M1368" s="368" t="s">
        <v>1376</v>
      </c>
      <c r="N1368" s="368" t="s">
        <v>867</v>
      </c>
      <c r="O1368" s="376">
        <v>60772</v>
      </c>
      <c r="P1368" s="368" t="s">
        <v>1385</v>
      </c>
      <c r="Q1368" s="368" t="s">
        <v>1386</v>
      </c>
      <c r="R1368" s="368" t="s">
        <v>867</v>
      </c>
      <c r="S1368" s="368" t="s">
        <v>864</v>
      </c>
      <c r="T1368" s="368" t="s">
        <v>362</v>
      </c>
      <c r="U1368" s="368" t="s">
        <v>867</v>
      </c>
      <c r="V1368" s="368" t="s">
        <v>867</v>
      </c>
      <c r="W1368" s="368" t="s">
        <v>1378</v>
      </c>
      <c r="X1368" s="368">
        <v>1400</v>
      </c>
      <c r="Y1368" s="368">
        <v>99</v>
      </c>
      <c r="Z1368" s="368"/>
      <c r="AA1368" s="368"/>
      <c r="AB1368" s="368"/>
      <c r="AC1368" s="368"/>
      <c r="AD1368" s="368"/>
      <c r="AE1368" s="368"/>
      <c r="AF1368" s="377"/>
      <c r="AJ1368" s="337">
        <v>348</v>
      </c>
    </row>
    <row r="1369" spans="1:36">
      <c r="A1369" s="332">
        <f t="shared" si="47"/>
        <v>349</v>
      </c>
      <c r="G1369" s="349" t="s">
        <v>2416</v>
      </c>
      <c r="H1369" s="368" t="s">
        <v>2417</v>
      </c>
      <c r="I1369" s="368" t="s">
        <v>2418</v>
      </c>
      <c r="J1369" s="368" t="s">
        <v>1375</v>
      </c>
      <c r="K1369" s="368" t="s">
        <v>2418</v>
      </c>
      <c r="L1369" s="368" t="s">
        <v>1375</v>
      </c>
      <c r="M1369" s="368" t="s">
        <v>1384</v>
      </c>
      <c r="N1369" s="368" t="s">
        <v>867</v>
      </c>
      <c r="O1369" s="376">
        <v>54384</v>
      </c>
      <c r="P1369" s="368" t="s">
        <v>1385</v>
      </c>
      <c r="Q1369" s="368" t="s">
        <v>1462</v>
      </c>
      <c r="R1369" s="368" t="s">
        <v>867</v>
      </c>
      <c r="S1369" s="368" t="s">
        <v>864</v>
      </c>
      <c r="T1369" s="368" t="s">
        <v>362</v>
      </c>
      <c r="U1369" s="368" t="s">
        <v>867</v>
      </c>
      <c r="V1369" s="368" t="s">
        <v>867</v>
      </c>
      <c r="W1369" s="368" t="s">
        <v>1378</v>
      </c>
      <c r="X1369" s="368">
        <v>0</v>
      </c>
      <c r="Y1369" s="368">
        <v>99</v>
      </c>
      <c r="Z1369" s="368"/>
      <c r="AA1369" s="368"/>
      <c r="AB1369" s="368"/>
      <c r="AC1369" s="368"/>
      <c r="AD1369" s="368"/>
      <c r="AE1369" s="368"/>
      <c r="AF1369" s="377"/>
      <c r="AJ1369" s="337">
        <v>349</v>
      </c>
    </row>
    <row r="1370" spans="1:36">
      <c r="A1370" s="332">
        <f t="shared" si="47"/>
        <v>350</v>
      </c>
      <c r="G1370" s="349" t="s">
        <v>2419</v>
      </c>
      <c r="H1370" s="368" t="s">
        <v>2420</v>
      </c>
      <c r="I1370" s="368" t="s">
        <v>1404</v>
      </c>
      <c r="J1370" s="368" t="s">
        <v>1375</v>
      </c>
      <c r="K1370" s="368" t="s">
        <v>1404</v>
      </c>
      <c r="L1370" s="368" t="s">
        <v>1375</v>
      </c>
      <c r="M1370" s="368" t="s">
        <v>1384</v>
      </c>
      <c r="N1370" s="368" t="s">
        <v>867</v>
      </c>
      <c r="O1370" s="376">
        <v>97769</v>
      </c>
      <c r="P1370" s="368" t="s">
        <v>1385</v>
      </c>
      <c r="Q1370" s="368" t="s">
        <v>1386</v>
      </c>
      <c r="R1370" s="368" t="s">
        <v>867</v>
      </c>
      <c r="S1370" s="368" t="s">
        <v>867</v>
      </c>
      <c r="T1370" s="368" t="s">
        <v>362</v>
      </c>
      <c r="U1370" s="368" t="s">
        <v>867</v>
      </c>
      <c r="V1370" s="368" t="s">
        <v>867</v>
      </c>
      <c r="W1370" s="368" t="s">
        <v>1378</v>
      </c>
      <c r="X1370" s="368">
        <v>0</v>
      </c>
      <c r="Y1370" s="368">
        <v>99</v>
      </c>
      <c r="Z1370" s="368"/>
      <c r="AA1370" s="368"/>
      <c r="AB1370" s="368"/>
      <c r="AC1370" s="368"/>
      <c r="AD1370" s="368"/>
      <c r="AE1370" s="368"/>
      <c r="AF1370" s="377"/>
      <c r="AJ1370" s="337">
        <v>350</v>
      </c>
    </row>
    <row r="1371" spans="1:36">
      <c r="A1371" s="332">
        <f t="shared" si="47"/>
        <v>351</v>
      </c>
      <c r="G1371" s="349" t="s">
        <v>2421</v>
      </c>
      <c r="H1371" s="368" t="s">
        <v>1717</v>
      </c>
      <c r="I1371" s="368" t="s">
        <v>2422</v>
      </c>
      <c r="J1371" s="368" t="s">
        <v>1442</v>
      </c>
      <c r="K1371" s="368" t="s">
        <v>2422</v>
      </c>
      <c r="L1371" s="368" t="s">
        <v>1442</v>
      </c>
      <c r="M1371" s="368" t="s">
        <v>1384</v>
      </c>
      <c r="N1371" s="368" t="s">
        <v>867</v>
      </c>
      <c r="O1371" s="376">
        <v>768</v>
      </c>
      <c r="P1371" s="368" t="s">
        <v>1385</v>
      </c>
      <c r="Q1371" s="368" t="s">
        <v>1386</v>
      </c>
      <c r="R1371" s="368" t="s">
        <v>867</v>
      </c>
      <c r="S1371" s="368" t="s">
        <v>864</v>
      </c>
      <c r="T1371" s="368" t="s">
        <v>362</v>
      </c>
      <c r="U1371" s="368" t="s">
        <v>867</v>
      </c>
      <c r="V1371" s="368" t="s">
        <v>867</v>
      </c>
      <c r="W1371" s="368" t="s">
        <v>1378</v>
      </c>
      <c r="X1371" s="368">
        <v>0</v>
      </c>
      <c r="Y1371" s="368">
        <v>99</v>
      </c>
      <c r="Z1371" s="368"/>
      <c r="AA1371" s="368"/>
      <c r="AB1371" s="368"/>
      <c r="AC1371" s="368"/>
      <c r="AD1371" s="368"/>
      <c r="AE1371" s="368"/>
      <c r="AF1371" s="377"/>
      <c r="AJ1371" s="337">
        <v>351</v>
      </c>
    </row>
    <row r="1372" spans="1:36">
      <c r="A1372" s="332">
        <f t="shared" si="47"/>
        <v>352</v>
      </c>
      <c r="G1372" s="349" t="s">
        <v>2423</v>
      </c>
      <c r="H1372" s="368" t="s">
        <v>2424</v>
      </c>
      <c r="I1372" s="368" t="s">
        <v>2425</v>
      </c>
      <c r="J1372" s="368" t="s">
        <v>1442</v>
      </c>
      <c r="K1372" s="368" t="s">
        <v>2425</v>
      </c>
      <c r="L1372" s="368" t="s">
        <v>1442</v>
      </c>
      <c r="M1372" s="368" t="s">
        <v>1384</v>
      </c>
      <c r="N1372" s="368" t="s">
        <v>867</v>
      </c>
      <c r="O1372" s="376">
        <v>55463</v>
      </c>
      <c r="P1372" s="368" t="s">
        <v>1385</v>
      </c>
      <c r="Q1372" s="368" t="s">
        <v>1443</v>
      </c>
      <c r="R1372" s="368" t="s">
        <v>867</v>
      </c>
      <c r="S1372" s="368" t="s">
        <v>864</v>
      </c>
      <c r="T1372" s="368" t="s">
        <v>362</v>
      </c>
      <c r="U1372" s="368" t="s">
        <v>867</v>
      </c>
      <c r="V1372" s="368" t="s">
        <v>867</v>
      </c>
      <c r="W1372" s="368" t="s">
        <v>1378</v>
      </c>
      <c r="X1372" s="368">
        <v>1600</v>
      </c>
      <c r="Y1372" s="368">
        <v>99</v>
      </c>
      <c r="Z1372" s="368"/>
      <c r="AA1372" s="368"/>
      <c r="AB1372" s="368"/>
      <c r="AC1372" s="368"/>
      <c r="AD1372" s="368"/>
      <c r="AE1372" s="368"/>
      <c r="AF1372" s="377"/>
      <c r="AJ1372" s="337">
        <v>352</v>
      </c>
    </row>
    <row r="1373" spans="1:36">
      <c r="A1373" s="332">
        <f t="shared" si="47"/>
        <v>353</v>
      </c>
      <c r="G1373" s="349" t="s">
        <v>2426</v>
      </c>
      <c r="H1373" s="368" t="s">
        <v>2427</v>
      </c>
      <c r="I1373" s="368" t="s">
        <v>2428</v>
      </c>
      <c r="J1373" s="368" t="s">
        <v>1403</v>
      </c>
      <c r="K1373" s="368" t="s">
        <v>2428</v>
      </c>
      <c r="L1373" s="368" t="s">
        <v>1403</v>
      </c>
      <c r="M1373" s="368" t="s">
        <v>1422</v>
      </c>
      <c r="N1373" s="368" t="s">
        <v>867</v>
      </c>
      <c r="O1373" s="376">
        <v>58828</v>
      </c>
      <c r="P1373" s="368" t="s">
        <v>339</v>
      </c>
      <c r="Q1373" s="368" t="s">
        <v>1386</v>
      </c>
      <c r="R1373" s="368" t="s">
        <v>867</v>
      </c>
      <c r="S1373" s="368" t="s">
        <v>864</v>
      </c>
      <c r="T1373" s="368" t="s">
        <v>362</v>
      </c>
      <c r="U1373" s="368" t="s">
        <v>867</v>
      </c>
      <c r="V1373" s="368" t="s">
        <v>867</v>
      </c>
      <c r="W1373" s="368" t="s">
        <v>1378</v>
      </c>
      <c r="X1373" s="368">
        <v>1000</v>
      </c>
      <c r="Y1373" s="368">
        <v>99</v>
      </c>
      <c r="Z1373" s="368"/>
      <c r="AA1373" s="368"/>
      <c r="AB1373" s="368"/>
      <c r="AC1373" s="368"/>
      <c r="AD1373" s="368"/>
      <c r="AE1373" s="368"/>
      <c r="AF1373" s="377"/>
      <c r="AJ1373" s="337">
        <v>353</v>
      </c>
    </row>
    <row r="1374" spans="1:36">
      <c r="A1374" s="332">
        <f t="shared" si="47"/>
        <v>354</v>
      </c>
      <c r="G1374" s="349" t="s">
        <v>2429</v>
      </c>
      <c r="H1374" s="368" t="s">
        <v>2237</v>
      </c>
      <c r="I1374" s="368" t="s">
        <v>2430</v>
      </c>
      <c r="J1374" s="368" t="s">
        <v>1375</v>
      </c>
      <c r="K1374" s="368" t="s">
        <v>2430</v>
      </c>
      <c r="L1374" s="368" t="s">
        <v>1375</v>
      </c>
      <c r="M1374" s="368" t="s">
        <v>1384</v>
      </c>
      <c r="N1374" s="368" t="s">
        <v>867</v>
      </c>
      <c r="O1374" s="376">
        <v>71330</v>
      </c>
      <c r="P1374" s="368" t="s">
        <v>1385</v>
      </c>
      <c r="Q1374" s="368" t="s">
        <v>1386</v>
      </c>
      <c r="R1374" s="368" t="s">
        <v>867</v>
      </c>
      <c r="S1374" s="368" t="s">
        <v>864</v>
      </c>
      <c r="T1374" s="368" t="s">
        <v>362</v>
      </c>
      <c r="U1374" s="368" t="s">
        <v>867</v>
      </c>
      <c r="V1374" s="368" t="s">
        <v>867</v>
      </c>
      <c r="W1374" s="368" t="s">
        <v>1378</v>
      </c>
      <c r="X1374" s="368">
        <v>0</v>
      </c>
      <c r="Y1374" s="368">
        <v>99</v>
      </c>
      <c r="Z1374" s="368"/>
      <c r="AA1374" s="368"/>
      <c r="AB1374" s="368"/>
      <c r="AC1374" s="368"/>
      <c r="AD1374" s="368"/>
      <c r="AE1374" s="368"/>
      <c r="AF1374" s="377"/>
      <c r="AJ1374" s="337">
        <v>354</v>
      </c>
    </row>
    <row r="1375" spans="1:36">
      <c r="A1375" s="332">
        <f t="shared" si="47"/>
        <v>355</v>
      </c>
      <c r="G1375" s="349" t="s">
        <v>2431</v>
      </c>
      <c r="H1375" s="368" t="s">
        <v>2432</v>
      </c>
      <c r="I1375" s="368" t="s">
        <v>2433</v>
      </c>
      <c r="J1375" s="368" t="s">
        <v>1375</v>
      </c>
      <c r="K1375" s="368" t="s">
        <v>2433</v>
      </c>
      <c r="L1375" s="368" t="s">
        <v>1375</v>
      </c>
      <c r="M1375" s="368" t="s">
        <v>1384</v>
      </c>
      <c r="N1375" s="368" t="s">
        <v>867</v>
      </c>
      <c r="O1375" s="376">
        <v>63162</v>
      </c>
      <c r="P1375" s="368" t="s">
        <v>1385</v>
      </c>
      <c r="Q1375" s="368" t="s">
        <v>1443</v>
      </c>
      <c r="R1375" s="368" t="s">
        <v>867</v>
      </c>
      <c r="S1375" s="368" t="s">
        <v>864</v>
      </c>
      <c r="T1375" s="368" t="s">
        <v>362</v>
      </c>
      <c r="U1375" s="368" t="s">
        <v>867</v>
      </c>
      <c r="V1375" s="368" t="s">
        <v>867</v>
      </c>
      <c r="W1375" s="368" t="s">
        <v>1378</v>
      </c>
      <c r="X1375" s="368">
        <v>0</v>
      </c>
      <c r="Y1375" s="368">
        <v>99</v>
      </c>
      <c r="Z1375" s="368"/>
      <c r="AA1375" s="368"/>
      <c r="AB1375" s="368"/>
      <c r="AC1375" s="368"/>
      <c r="AD1375" s="368"/>
      <c r="AE1375" s="368"/>
      <c r="AF1375" s="377"/>
      <c r="AJ1375" s="337">
        <v>355</v>
      </c>
    </row>
    <row r="1376" spans="1:36">
      <c r="A1376" s="332">
        <f t="shared" si="47"/>
        <v>356</v>
      </c>
      <c r="G1376" s="349" t="s">
        <v>2434</v>
      </c>
      <c r="H1376" s="368" t="s">
        <v>2435</v>
      </c>
      <c r="I1376" s="368" t="s">
        <v>2436</v>
      </c>
      <c r="J1376" s="368" t="s">
        <v>1375</v>
      </c>
      <c r="K1376" s="368" t="s">
        <v>2436</v>
      </c>
      <c r="L1376" s="368" t="s">
        <v>1375</v>
      </c>
      <c r="M1376" s="368" t="s">
        <v>1384</v>
      </c>
      <c r="N1376" s="368" t="s">
        <v>867</v>
      </c>
      <c r="O1376" s="376">
        <v>56522</v>
      </c>
      <c r="P1376" s="368" t="s">
        <v>1385</v>
      </c>
      <c r="Q1376" s="368" t="s">
        <v>1443</v>
      </c>
      <c r="R1376" s="368" t="s">
        <v>867</v>
      </c>
      <c r="S1376" s="368" t="s">
        <v>864</v>
      </c>
      <c r="T1376" s="368" t="s">
        <v>362</v>
      </c>
      <c r="U1376" s="368" t="s">
        <v>867</v>
      </c>
      <c r="V1376" s="368" t="s">
        <v>867</v>
      </c>
      <c r="W1376" s="368" t="s">
        <v>1378</v>
      </c>
      <c r="X1376" s="368">
        <v>0</v>
      </c>
      <c r="Y1376" s="368">
        <v>99</v>
      </c>
      <c r="Z1376" s="368"/>
      <c r="AA1376" s="368"/>
      <c r="AB1376" s="368"/>
      <c r="AC1376" s="368"/>
      <c r="AD1376" s="368"/>
      <c r="AE1376" s="368"/>
      <c r="AF1376" s="377"/>
      <c r="AJ1376" s="337">
        <v>356</v>
      </c>
    </row>
    <row r="1377" spans="1:36">
      <c r="A1377" s="332">
        <f t="shared" si="47"/>
        <v>357</v>
      </c>
      <c r="G1377" s="349" t="s">
        <v>2437</v>
      </c>
      <c r="H1377" s="368" t="s">
        <v>2438</v>
      </c>
      <c r="I1377" s="368" t="s">
        <v>2439</v>
      </c>
      <c r="J1377" s="368" t="s">
        <v>1375</v>
      </c>
      <c r="K1377" s="368" t="s">
        <v>2439</v>
      </c>
      <c r="L1377" s="368" t="s">
        <v>1375</v>
      </c>
      <c r="M1377" s="368" t="s">
        <v>1384</v>
      </c>
      <c r="N1377" s="368" t="s">
        <v>867</v>
      </c>
      <c r="O1377" s="376">
        <v>13908</v>
      </c>
      <c r="P1377" s="368" t="s">
        <v>1385</v>
      </c>
      <c r="Q1377" s="368" t="s">
        <v>1386</v>
      </c>
      <c r="R1377" s="368" t="s">
        <v>867</v>
      </c>
      <c r="S1377" s="368" t="s">
        <v>864</v>
      </c>
      <c r="T1377" s="368" t="s">
        <v>362</v>
      </c>
      <c r="U1377" s="368" t="s">
        <v>867</v>
      </c>
      <c r="V1377" s="368" t="s">
        <v>867</v>
      </c>
      <c r="W1377" s="368" t="s">
        <v>1378</v>
      </c>
      <c r="X1377" s="368">
        <v>0</v>
      </c>
      <c r="Y1377" s="368">
        <v>99</v>
      </c>
      <c r="Z1377" s="368"/>
      <c r="AA1377" s="368"/>
      <c r="AB1377" s="368"/>
      <c r="AC1377" s="368"/>
      <c r="AD1377" s="368"/>
      <c r="AE1377" s="368"/>
      <c r="AF1377" s="377"/>
      <c r="AJ1377" s="337">
        <v>357</v>
      </c>
    </row>
    <row r="1378" spans="1:36">
      <c r="A1378" s="332">
        <f t="shared" si="47"/>
        <v>358</v>
      </c>
      <c r="G1378" s="349" t="s">
        <v>2440</v>
      </c>
      <c r="H1378" s="368" t="s">
        <v>2441</v>
      </c>
      <c r="I1378" s="368" t="s">
        <v>2442</v>
      </c>
      <c r="J1378" s="368" t="s">
        <v>1399</v>
      </c>
      <c r="K1378" s="368" t="s">
        <v>2442</v>
      </c>
      <c r="L1378" s="368" t="s">
        <v>1399</v>
      </c>
      <c r="M1378" s="368" t="s">
        <v>1384</v>
      </c>
      <c r="N1378" s="368" t="s">
        <v>867</v>
      </c>
      <c r="O1378" s="376">
        <v>72464</v>
      </c>
      <c r="P1378" s="368" t="s">
        <v>1385</v>
      </c>
      <c r="Q1378" s="368" t="s">
        <v>1386</v>
      </c>
      <c r="R1378" s="368" t="s">
        <v>867</v>
      </c>
      <c r="S1378" s="368" t="s">
        <v>864</v>
      </c>
      <c r="T1378" s="368" t="s">
        <v>362</v>
      </c>
      <c r="U1378" s="368" t="s">
        <v>867</v>
      </c>
      <c r="V1378" s="368" t="s">
        <v>867</v>
      </c>
      <c r="W1378" s="368" t="s">
        <v>1378</v>
      </c>
      <c r="X1378" s="368">
        <v>1000</v>
      </c>
      <c r="Y1378" s="368">
        <v>99</v>
      </c>
      <c r="Z1378" s="368"/>
      <c r="AA1378" s="368"/>
      <c r="AB1378" s="368"/>
      <c r="AC1378" s="368"/>
      <c r="AD1378" s="368"/>
      <c r="AE1378" s="368"/>
      <c r="AF1378" s="377"/>
      <c r="AJ1378" s="337">
        <v>358</v>
      </c>
    </row>
    <row r="1379" spans="1:36">
      <c r="A1379" s="332">
        <f t="shared" si="47"/>
        <v>359</v>
      </c>
      <c r="G1379" s="349" t="s">
        <v>2443</v>
      </c>
      <c r="H1379" s="368" t="s">
        <v>2444</v>
      </c>
      <c r="I1379" s="368" t="s">
        <v>2111</v>
      </c>
      <c r="J1379" s="368" t="s">
        <v>1375</v>
      </c>
      <c r="K1379" s="368" t="s">
        <v>2111</v>
      </c>
      <c r="L1379" s="368" t="s">
        <v>1375</v>
      </c>
      <c r="M1379" s="368" t="s">
        <v>1384</v>
      </c>
      <c r="N1379" s="368" t="s">
        <v>867</v>
      </c>
      <c r="O1379" s="376">
        <v>7623</v>
      </c>
      <c r="P1379" s="368" t="s">
        <v>1385</v>
      </c>
      <c r="Q1379" s="368" t="s">
        <v>1443</v>
      </c>
      <c r="R1379" s="368" t="s">
        <v>867</v>
      </c>
      <c r="S1379" s="368" t="s">
        <v>864</v>
      </c>
      <c r="T1379" s="368" t="s">
        <v>362</v>
      </c>
      <c r="U1379" s="368" t="s">
        <v>867</v>
      </c>
      <c r="V1379" s="368" t="s">
        <v>867</v>
      </c>
      <c r="W1379" s="368" t="s">
        <v>1378</v>
      </c>
      <c r="X1379" s="368">
        <v>0</v>
      </c>
      <c r="Y1379" s="368">
        <v>99</v>
      </c>
      <c r="Z1379" s="368"/>
      <c r="AA1379" s="368"/>
      <c r="AB1379" s="368"/>
      <c r="AC1379" s="368"/>
      <c r="AD1379" s="368"/>
      <c r="AE1379" s="368"/>
      <c r="AF1379" s="377"/>
      <c r="AJ1379" s="337">
        <v>359</v>
      </c>
    </row>
    <row r="1380" spans="1:36">
      <c r="A1380" s="332">
        <f t="shared" si="47"/>
        <v>360</v>
      </c>
      <c r="G1380" s="349" t="s">
        <v>2445</v>
      </c>
      <c r="H1380" s="368" t="s">
        <v>2446</v>
      </c>
      <c r="I1380" s="368" t="s">
        <v>2447</v>
      </c>
      <c r="J1380" s="368" t="s">
        <v>1375</v>
      </c>
      <c r="K1380" s="368" t="s">
        <v>2447</v>
      </c>
      <c r="L1380" s="368" t="s">
        <v>1375</v>
      </c>
      <c r="M1380" s="368" t="s">
        <v>1376</v>
      </c>
      <c r="N1380" s="368" t="s">
        <v>867</v>
      </c>
      <c r="O1380" s="376">
        <v>19380</v>
      </c>
      <c r="P1380" s="368" t="s">
        <v>1385</v>
      </c>
      <c r="Q1380" s="368" t="s">
        <v>1443</v>
      </c>
      <c r="R1380" s="368" t="s">
        <v>867</v>
      </c>
      <c r="S1380" s="368" t="s">
        <v>864</v>
      </c>
      <c r="T1380" s="368" t="s">
        <v>362</v>
      </c>
      <c r="U1380" s="368" t="s">
        <v>867</v>
      </c>
      <c r="V1380" s="368" t="s">
        <v>867</v>
      </c>
      <c r="W1380" s="368" t="s">
        <v>1378</v>
      </c>
      <c r="X1380" s="368">
        <v>0</v>
      </c>
      <c r="Y1380" s="368">
        <v>99</v>
      </c>
      <c r="Z1380" s="368"/>
      <c r="AA1380" s="368"/>
      <c r="AB1380" s="368"/>
      <c r="AC1380" s="368"/>
      <c r="AD1380" s="368"/>
      <c r="AE1380" s="368"/>
      <c r="AF1380" s="377"/>
      <c r="AJ1380" s="337">
        <v>360</v>
      </c>
    </row>
    <row r="1381" spans="1:36">
      <c r="A1381" s="332">
        <f t="shared" si="47"/>
        <v>361</v>
      </c>
      <c r="G1381" s="349" t="s">
        <v>2448</v>
      </c>
      <c r="H1381" s="368" t="s">
        <v>2449</v>
      </c>
      <c r="I1381" s="368" t="s">
        <v>1505</v>
      </c>
      <c r="J1381" s="368" t="s">
        <v>1375</v>
      </c>
      <c r="K1381" s="368" t="s">
        <v>1505</v>
      </c>
      <c r="L1381" s="368" t="s">
        <v>1375</v>
      </c>
      <c r="M1381" s="368" t="s">
        <v>1384</v>
      </c>
      <c r="N1381" s="368" t="s">
        <v>867</v>
      </c>
      <c r="O1381" s="376">
        <v>80053</v>
      </c>
      <c r="P1381" s="368" t="s">
        <v>1385</v>
      </c>
      <c r="Q1381" s="368" t="s">
        <v>1386</v>
      </c>
      <c r="R1381" s="368" t="s">
        <v>867</v>
      </c>
      <c r="S1381" s="368" t="s">
        <v>864</v>
      </c>
      <c r="T1381" s="368" t="s">
        <v>362</v>
      </c>
      <c r="U1381" s="368" t="s">
        <v>867</v>
      </c>
      <c r="V1381" s="368" t="s">
        <v>867</v>
      </c>
      <c r="W1381" s="368" t="s">
        <v>1378</v>
      </c>
      <c r="X1381" s="368">
        <v>0</v>
      </c>
      <c r="Y1381" s="368">
        <v>99</v>
      </c>
      <c r="Z1381" s="368"/>
      <c r="AA1381" s="368"/>
      <c r="AB1381" s="368"/>
      <c r="AC1381" s="368"/>
      <c r="AD1381" s="368"/>
      <c r="AE1381" s="368"/>
      <c r="AF1381" s="377"/>
      <c r="AJ1381" s="337">
        <v>361</v>
      </c>
    </row>
    <row r="1382" spans="1:36">
      <c r="A1382" s="332">
        <f t="shared" si="47"/>
        <v>362</v>
      </c>
      <c r="G1382" s="349" t="s">
        <v>2450</v>
      </c>
      <c r="H1382" s="368" t="s">
        <v>2451</v>
      </c>
      <c r="I1382" s="368" t="s">
        <v>2452</v>
      </c>
      <c r="J1382" s="368" t="s">
        <v>1399</v>
      </c>
      <c r="K1382" s="368" t="s">
        <v>2452</v>
      </c>
      <c r="L1382" s="368" t="s">
        <v>1399</v>
      </c>
      <c r="M1382" s="368" t="s">
        <v>1384</v>
      </c>
      <c r="N1382" s="368" t="s">
        <v>867</v>
      </c>
      <c r="O1382" s="376">
        <v>31200</v>
      </c>
      <c r="P1382" s="368" t="s">
        <v>1385</v>
      </c>
      <c r="Q1382" s="368" t="s">
        <v>1386</v>
      </c>
      <c r="R1382" s="368" t="s">
        <v>867</v>
      </c>
      <c r="S1382" s="368" t="s">
        <v>864</v>
      </c>
      <c r="T1382" s="368" t="s">
        <v>1387</v>
      </c>
      <c r="U1382" s="368" t="s">
        <v>867</v>
      </c>
      <c r="V1382" s="368" t="s">
        <v>867</v>
      </c>
      <c r="W1382" s="368" t="s">
        <v>1378</v>
      </c>
      <c r="X1382" s="368">
        <v>0</v>
      </c>
      <c r="Y1382" s="368">
        <v>99</v>
      </c>
      <c r="Z1382" s="368"/>
      <c r="AA1382" s="368"/>
      <c r="AB1382" s="368"/>
      <c r="AC1382" s="368"/>
      <c r="AD1382" s="368"/>
      <c r="AE1382" s="368"/>
      <c r="AF1382" s="377"/>
      <c r="AJ1382" s="337">
        <v>362</v>
      </c>
    </row>
    <row r="1383" spans="1:36">
      <c r="A1383" s="332">
        <f t="shared" si="47"/>
        <v>363</v>
      </c>
      <c r="G1383" s="349" t="s">
        <v>2453</v>
      </c>
      <c r="H1383" s="368" t="s">
        <v>2454</v>
      </c>
      <c r="I1383" s="368" t="s">
        <v>1983</v>
      </c>
      <c r="J1383" s="368" t="s">
        <v>1375</v>
      </c>
      <c r="K1383" s="368" t="s">
        <v>1983</v>
      </c>
      <c r="L1383" s="368" t="s">
        <v>1375</v>
      </c>
      <c r="M1383" s="368" t="s">
        <v>1384</v>
      </c>
      <c r="N1383" s="368" t="s">
        <v>867</v>
      </c>
      <c r="O1383" s="376">
        <v>69156</v>
      </c>
      <c r="P1383" s="368" t="s">
        <v>1385</v>
      </c>
      <c r="Q1383" s="368" t="s">
        <v>1386</v>
      </c>
      <c r="R1383" s="368" t="s">
        <v>867</v>
      </c>
      <c r="S1383" s="368" t="s">
        <v>864</v>
      </c>
      <c r="T1383" s="368" t="s">
        <v>362</v>
      </c>
      <c r="U1383" s="368" t="s">
        <v>867</v>
      </c>
      <c r="V1383" s="368" t="s">
        <v>867</v>
      </c>
      <c r="W1383" s="368" t="s">
        <v>1378</v>
      </c>
      <c r="X1383" s="368">
        <v>0</v>
      </c>
      <c r="Y1383" s="368">
        <v>99</v>
      </c>
      <c r="Z1383" s="368"/>
      <c r="AA1383" s="368"/>
      <c r="AB1383" s="368"/>
      <c r="AC1383" s="368"/>
      <c r="AD1383" s="368"/>
      <c r="AE1383" s="368"/>
      <c r="AF1383" s="377"/>
      <c r="AJ1383" s="337">
        <v>363</v>
      </c>
    </row>
    <row r="1384" spans="1:36">
      <c r="A1384" s="332">
        <f t="shared" si="47"/>
        <v>364</v>
      </c>
      <c r="G1384" s="349" t="s">
        <v>2455</v>
      </c>
      <c r="H1384" s="368" t="s">
        <v>2456</v>
      </c>
      <c r="I1384" s="368" t="s">
        <v>2457</v>
      </c>
      <c r="J1384" s="368" t="s">
        <v>1375</v>
      </c>
      <c r="K1384" s="368" t="s">
        <v>2457</v>
      </c>
      <c r="L1384" s="368" t="s">
        <v>1375</v>
      </c>
      <c r="M1384" s="368" t="s">
        <v>1384</v>
      </c>
      <c r="N1384" s="368" t="s">
        <v>867</v>
      </c>
      <c r="O1384" s="376">
        <v>69806</v>
      </c>
      <c r="P1384" s="368" t="s">
        <v>1385</v>
      </c>
      <c r="Q1384" s="368" t="s">
        <v>1386</v>
      </c>
      <c r="R1384" s="368" t="s">
        <v>867</v>
      </c>
      <c r="S1384" s="368" t="s">
        <v>864</v>
      </c>
      <c r="T1384" s="368" t="s">
        <v>362</v>
      </c>
      <c r="U1384" s="368" t="s">
        <v>867</v>
      </c>
      <c r="V1384" s="368" t="s">
        <v>867</v>
      </c>
      <c r="W1384" s="368" t="s">
        <v>1378</v>
      </c>
      <c r="X1384" s="368">
        <v>10020</v>
      </c>
      <c r="Y1384" s="368">
        <v>99</v>
      </c>
      <c r="Z1384" s="368"/>
      <c r="AA1384" s="368"/>
      <c r="AB1384" s="368"/>
      <c r="AC1384" s="368"/>
      <c r="AD1384" s="368"/>
      <c r="AE1384" s="368"/>
      <c r="AF1384" s="377"/>
      <c r="AJ1384" s="337">
        <v>364</v>
      </c>
    </row>
    <row r="1385" spans="1:36">
      <c r="A1385" s="332">
        <f t="shared" si="47"/>
        <v>365</v>
      </c>
      <c r="G1385" s="349" t="s">
        <v>2458</v>
      </c>
      <c r="H1385" s="368" t="s">
        <v>2459</v>
      </c>
      <c r="I1385" s="368" t="s">
        <v>2460</v>
      </c>
      <c r="J1385" s="368" t="s">
        <v>1375</v>
      </c>
      <c r="K1385" s="368" t="s">
        <v>2460</v>
      </c>
      <c r="L1385" s="368" t="s">
        <v>1375</v>
      </c>
      <c r="M1385" s="368" t="s">
        <v>1384</v>
      </c>
      <c r="N1385" s="368" t="s">
        <v>867</v>
      </c>
      <c r="O1385" s="376">
        <v>4404</v>
      </c>
      <c r="P1385" s="368" t="s">
        <v>1385</v>
      </c>
      <c r="Q1385" s="368" t="s">
        <v>1386</v>
      </c>
      <c r="R1385" s="368" t="s">
        <v>867</v>
      </c>
      <c r="S1385" s="368" t="s">
        <v>864</v>
      </c>
      <c r="T1385" s="368" t="s">
        <v>362</v>
      </c>
      <c r="U1385" s="368" t="s">
        <v>867</v>
      </c>
      <c r="V1385" s="368" t="s">
        <v>867</v>
      </c>
      <c r="W1385" s="368" t="s">
        <v>1378</v>
      </c>
      <c r="X1385" s="368">
        <v>0</v>
      </c>
      <c r="Y1385" s="368">
        <v>99</v>
      </c>
      <c r="Z1385" s="368"/>
      <c r="AA1385" s="368"/>
      <c r="AB1385" s="368"/>
      <c r="AC1385" s="368"/>
      <c r="AD1385" s="368"/>
      <c r="AE1385" s="368"/>
      <c r="AF1385" s="377"/>
      <c r="AJ1385" s="337">
        <v>365</v>
      </c>
    </row>
    <row r="1386" spans="1:36">
      <c r="A1386" s="332">
        <f t="shared" si="47"/>
        <v>366</v>
      </c>
      <c r="G1386" s="349" t="s">
        <v>2461</v>
      </c>
      <c r="H1386" s="368" t="s">
        <v>2462</v>
      </c>
      <c r="I1386" s="368" t="s">
        <v>2463</v>
      </c>
      <c r="J1386" s="368" t="s">
        <v>1375</v>
      </c>
      <c r="K1386" s="368" t="s">
        <v>2463</v>
      </c>
      <c r="L1386" s="368" t="s">
        <v>1375</v>
      </c>
      <c r="M1386" s="368" t="s">
        <v>1422</v>
      </c>
      <c r="N1386" s="368" t="s">
        <v>867</v>
      </c>
      <c r="O1386" s="376">
        <v>93069</v>
      </c>
      <c r="P1386" s="368" t="s">
        <v>1385</v>
      </c>
      <c r="Q1386" s="368" t="s">
        <v>1386</v>
      </c>
      <c r="R1386" s="368" t="s">
        <v>867</v>
      </c>
      <c r="S1386" s="368" t="s">
        <v>864</v>
      </c>
      <c r="T1386" s="368" t="s">
        <v>362</v>
      </c>
      <c r="U1386" s="368" t="s">
        <v>867</v>
      </c>
      <c r="V1386" s="368" t="s">
        <v>867</v>
      </c>
      <c r="W1386" s="368" t="s">
        <v>1378</v>
      </c>
      <c r="X1386" s="368">
        <v>0</v>
      </c>
      <c r="Y1386" s="368">
        <v>99</v>
      </c>
      <c r="Z1386" s="368"/>
      <c r="AA1386" s="368"/>
      <c r="AB1386" s="368"/>
      <c r="AC1386" s="368"/>
      <c r="AD1386" s="368"/>
      <c r="AE1386" s="368"/>
      <c r="AF1386" s="377"/>
      <c r="AJ1386" s="337">
        <v>366</v>
      </c>
    </row>
    <row r="1387" spans="1:36">
      <c r="A1387" s="332">
        <f t="shared" si="47"/>
        <v>367</v>
      </c>
      <c r="G1387" s="349" t="s">
        <v>2464</v>
      </c>
      <c r="H1387" s="368" t="s">
        <v>2465</v>
      </c>
      <c r="I1387" s="368" t="s">
        <v>2466</v>
      </c>
      <c r="J1387" s="368" t="s">
        <v>1375</v>
      </c>
      <c r="K1387" s="368" t="s">
        <v>2466</v>
      </c>
      <c r="L1387" s="368" t="s">
        <v>1375</v>
      </c>
      <c r="M1387" s="368" t="s">
        <v>1384</v>
      </c>
      <c r="N1387" s="368" t="s">
        <v>867</v>
      </c>
      <c r="O1387" s="376">
        <v>75740</v>
      </c>
      <c r="P1387" s="368" t="s">
        <v>1385</v>
      </c>
      <c r="Q1387" s="368" t="s">
        <v>1386</v>
      </c>
      <c r="R1387" s="368" t="s">
        <v>867</v>
      </c>
      <c r="S1387" s="368" t="s">
        <v>864</v>
      </c>
      <c r="T1387" s="368" t="s">
        <v>362</v>
      </c>
      <c r="U1387" s="368" t="s">
        <v>867</v>
      </c>
      <c r="V1387" s="368" t="s">
        <v>867</v>
      </c>
      <c r="W1387" s="368" t="s">
        <v>1378</v>
      </c>
      <c r="X1387" s="368">
        <v>1000</v>
      </c>
      <c r="Y1387" s="368">
        <v>99</v>
      </c>
      <c r="Z1387" s="368"/>
      <c r="AA1387" s="368"/>
      <c r="AB1387" s="368"/>
      <c r="AC1387" s="368"/>
      <c r="AD1387" s="368"/>
      <c r="AE1387" s="368"/>
      <c r="AF1387" s="377"/>
      <c r="AJ1387" s="337">
        <v>367</v>
      </c>
    </row>
    <row r="1388" spans="1:36">
      <c r="A1388" s="332">
        <f t="shared" si="47"/>
        <v>368</v>
      </c>
      <c r="G1388" s="349" t="s">
        <v>2467</v>
      </c>
      <c r="H1388" s="368" t="s">
        <v>2468</v>
      </c>
      <c r="I1388" s="368" t="s">
        <v>2469</v>
      </c>
      <c r="J1388" s="368" t="s">
        <v>1375</v>
      </c>
      <c r="K1388" s="368" t="s">
        <v>2469</v>
      </c>
      <c r="L1388" s="368" t="s">
        <v>1375</v>
      </c>
      <c r="M1388" s="368" t="s">
        <v>1384</v>
      </c>
      <c r="N1388" s="368" t="s">
        <v>867</v>
      </c>
      <c r="O1388" s="376">
        <v>8807</v>
      </c>
      <c r="P1388" s="368" t="s">
        <v>1385</v>
      </c>
      <c r="Q1388" s="368" t="s">
        <v>1443</v>
      </c>
      <c r="R1388" s="368" t="s">
        <v>867</v>
      </c>
      <c r="S1388" s="368" t="s">
        <v>867</v>
      </c>
      <c r="T1388" s="368" t="s">
        <v>362</v>
      </c>
      <c r="U1388" s="368" t="s">
        <v>867</v>
      </c>
      <c r="V1388" s="368" t="s">
        <v>867</v>
      </c>
      <c r="W1388" s="368" t="s">
        <v>1378</v>
      </c>
      <c r="X1388" s="368">
        <v>3000</v>
      </c>
      <c r="Y1388" s="368">
        <v>99</v>
      </c>
      <c r="Z1388" s="368"/>
      <c r="AA1388" s="368"/>
      <c r="AB1388" s="368"/>
      <c r="AC1388" s="368"/>
      <c r="AD1388" s="368"/>
      <c r="AE1388" s="368"/>
      <c r="AF1388" s="377"/>
      <c r="AJ1388" s="337">
        <v>368</v>
      </c>
    </row>
    <row r="1389" spans="1:36">
      <c r="A1389" s="332">
        <f t="shared" si="47"/>
        <v>369</v>
      </c>
      <c r="G1389" s="349" t="s">
        <v>2470</v>
      </c>
      <c r="H1389" s="368" t="s">
        <v>2471</v>
      </c>
      <c r="I1389" s="368" t="s">
        <v>2472</v>
      </c>
      <c r="J1389" s="368" t="s">
        <v>1375</v>
      </c>
      <c r="K1389" s="368" t="s">
        <v>2472</v>
      </c>
      <c r="L1389" s="368" t="s">
        <v>1375</v>
      </c>
      <c r="M1389" s="368" t="s">
        <v>1384</v>
      </c>
      <c r="N1389" s="368" t="s">
        <v>867</v>
      </c>
      <c r="O1389" s="376">
        <v>48573</v>
      </c>
      <c r="P1389" s="368" t="s">
        <v>1385</v>
      </c>
      <c r="Q1389" s="368" t="s">
        <v>1386</v>
      </c>
      <c r="R1389" s="368" t="s">
        <v>867</v>
      </c>
      <c r="S1389" s="368" t="s">
        <v>864</v>
      </c>
      <c r="T1389" s="368" t="s">
        <v>362</v>
      </c>
      <c r="U1389" s="368" t="s">
        <v>867</v>
      </c>
      <c r="V1389" s="368" t="s">
        <v>867</v>
      </c>
      <c r="W1389" s="368" t="s">
        <v>1378</v>
      </c>
      <c r="X1389" s="368">
        <v>0</v>
      </c>
      <c r="Y1389" s="368">
        <v>99</v>
      </c>
      <c r="Z1389" s="368"/>
      <c r="AA1389" s="368"/>
      <c r="AB1389" s="368"/>
      <c r="AC1389" s="368"/>
      <c r="AD1389" s="368"/>
      <c r="AE1389" s="368"/>
      <c r="AF1389" s="377"/>
      <c r="AJ1389" s="337">
        <v>369</v>
      </c>
    </row>
    <row r="1390" spans="1:36">
      <c r="A1390" s="332">
        <f t="shared" si="47"/>
        <v>370</v>
      </c>
      <c r="G1390" s="349" t="s">
        <v>2473</v>
      </c>
      <c r="H1390" s="368" t="s">
        <v>2474</v>
      </c>
      <c r="I1390" s="368" t="s">
        <v>2475</v>
      </c>
      <c r="J1390" s="368" t="s">
        <v>1375</v>
      </c>
      <c r="K1390" s="368" t="s">
        <v>2475</v>
      </c>
      <c r="L1390" s="368" t="s">
        <v>1375</v>
      </c>
      <c r="M1390" s="368" t="s">
        <v>1384</v>
      </c>
      <c r="N1390" s="368" t="s">
        <v>867</v>
      </c>
      <c r="O1390" s="376">
        <v>33688</v>
      </c>
      <c r="P1390" s="368" t="s">
        <v>1385</v>
      </c>
      <c r="Q1390" s="368" t="s">
        <v>1386</v>
      </c>
      <c r="R1390" s="368" t="s">
        <v>867</v>
      </c>
      <c r="S1390" s="368" t="s">
        <v>864</v>
      </c>
      <c r="T1390" s="368" t="s">
        <v>362</v>
      </c>
      <c r="U1390" s="368" t="s">
        <v>867</v>
      </c>
      <c r="V1390" s="368" t="s">
        <v>867</v>
      </c>
      <c r="W1390" s="368" t="s">
        <v>1378</v>
      </c>
      <c r="X1390" s="368">
        <v>4690</v>
      </c>
      <c r="Y1390" s="368">
        <v>99</v>
      </c>
      <c r="Z1390" s="368"/>
      <c r="AA1390" s="368"/>
      <c r="AB1390" s="368"/>
      <c r="AC1390" s="368"/>
      <c r="AD1390" s="368"/>
      <c r="AE1390" s="368"/>
      <c r="AF1390" s="377"/>
      <c r="AJ1390" s="337">
        <v>370</v>
      </c>
    </row>
    <row r="1391" spans="1:36">
      <c r="A1391" s="332">
        <f t="shared" si="47"/>
        <v>371</v>
      </c>
      <c r="G1391" s="349" t="s">
        <v>2476</v>
      </c>
      <c r="H1391" s="368" t="s">
        <v>2477</v>
      </c>
      <c r="I1391" s="368" t="s">
        <v>2478</v>
      </c>
      <c r="J1391" s="368" t="s">
        <v>1375</v>
      </c>
      <c r="K1391" s="368" t="s">
        <v>2478</v>
      </c>
      <c r="L1391" s="368" t="s">
        <v>1375</v>
      </c>
      <c r="M1391" s="368" t="s">
        <v>1384</v>
      </c>
      <c r="N1391" s="368" t="s">
        <v>867</v>
      </c>
      <c r="O1391" s="376">
        <v>41126</v>
      </c>
      <c r="P1391" s="368" t="s">
        <v>1385</v>
      </c>
      <c r="Q1391" s="368" t="s">
        <v>1443</v>
      </c>
      <c r="R1391" s="368" t="s">
        <v>867</v>
      </c>
      <c r="S1391" s="368" t="s">
        <v>864</v>
      </c>
      <c r="T1391" s="368" t="s">
        <v>362</v>
      </c>
      <c r="U1391" s="368" t="s">
        <v>867</v>
      </c>
      <c r="V1391" s="368" t="s">
        <v>867</v>
      </c>
      <c r="W1391" s="368" t="s">
        <v>1378</v>
      </c>
      <c r="X1391" s="368">
        <v>0</v>
      </c>
      <c r="Y1391" s="368">
        <v>99</v>
      </c>
      <c r="Z1391" s="368"/>
      <c r="AA1391" s="368"/>
      <c r="AB1391" s="368"/>
      <c r="AC1391" s="368"/>
      <c r="AD1391" s="368"/>
      <c r="AE1391" s="368"/>
      <c r="AF1391" s="377"/>
      <c r="AJ1391" s="337">
        <v>371</v>
      </c>
    </row>
    <row r="1392" spans="1:36">
      <c r="A1392" s="332">
        <f t="shared" si="47"/>
        <v>372</v>
      </c>
      <c r="G1392" s="349" t="s">
        <v>2479</v>
      </c>
      <c r="H1392" s="368" t="s">
        <v>2480</v>
      </c>
      <c r="I1392" s="368" t="s">
        <v>2481</v>
      </c>
      <c r="J1392" s="368" t="s">
        <v>1433</v>
      </c>
      <c r="K1392" s="368" t="s">
        <v>2481</v>
      </c>
      <c r="L1392" s="368" t="s">
        <v>1433</v>
      </c>
      <c r="M1392" s="368" t="s">
        <v>1376</v>
      </c>
      <c r="N1392" s="368" t="s">
        <v>867</v>
      </c>
      <c r="O1392" s="376">
        <v>2684</v>
      </c>
      <c r="P1392" s="368" t="s">
        <v>1385</v>
      </c>
      <c r="Q1392" s="368" t="s">
        <v>1386</v>
      </c>
      <c r="R1392" s="368" t="s">
        <v>867</v>
      </c>
      <c r="S1392" s="368" t="s">
        <v>864</v>
      </c>
      <c r="T1392" s="368" t="s">
        <v>362</v>
      </c>
      <c r="U1392" s="368" t="s">
        <v>867</v>
      </c>
      <c r="V1392" s="368" t="s">
        <v>867</v>
      </c>
      <c r="W1392" s="368" t="s">
        <v>1378</v>
      </c>
      <c r="X1392" s="368">
        <v>0</v>
      </c>
      <c r="Y1392" s="368">
        <v>99</v>
      </c>
      <c r="Z1392" s="368"/>
      <c r="AA1392" s="368"/>
      <c r="AB1392" s="368"/>
      <c r="AC1392" s="368"/>
      <c r="AD1392" s="368"/>
      <c r="AE1392" s="368"/>
      <c r="AF1392" s="377"/>
      <c r="AJ1392" s="337">
        <v>372</v>
      </c>
    </row>
    <row r="1393" spans="1:36">
      <c r="A1393" s="332">
        <f t="shared" si="47"/>
        <v>373</v>
      </c>
      <c r="G1393" s="349" t="s">
        <v>2482</v>
      </c>
      <c r="H1393" s="368" t="s">
        <v>2483</v>
      </c>
      <c r="I1393" s="368" t="s">
        <v>2484</v>
      </c>
      <c r="J1393" s="368" t="s">
        <v>1375</v>
      </c>
      <c r="K1393" s="368" t="s">
        <v>2484</v>
      </c>
      <c r="L1393" s="368" t="s">
        <v>1375</v>
      </c>
      <c r="M1393" s="368" t="s">
        <v>1384</v>
      </c>
      <c r="N1393" s="368" t="s">
        <v>867</v>
      </c>
      <c r="O1393" s="376">
        <v>1138</v>
      </c>
      <c r="P1393" s="368" t="s">
        <v>1385</v>
      </c>
      <c r="Q1393" s="368" t="s">
        <v>1386</v>
      </c>
      <c r="R1393" s="368" t="s">
        <v>867</v>
      </c>
      <c r="S1393" s="368" t="s">
        <v>864</v>
      </c>
      <c r="T1393" s="368" t="s">
        <v>362</v>
      </c>
      <c r="U1393" s="368" t="s">
        <v>867</v>
      </c>
      <c r="V1393" s="368" t="s">
        <v>867</v>
      </c>
      <c r="W1393" s="368" t="s">
        <v>1378</v>
      </c>
      <c r="X1393" s="368">
        <v>0</v>
      </c>
      <c r="Y1393" s="368">
        <v>99</v>
      </c>
      <c r="Z1393" s="368"/>
      <c r="AA1393" s="368"/>
      <c r="AB1393" s="368"/>
      <c r="AC1393" s="368"/>
      <c r="AD1393" s="368"/>
      <c r="AE1393" s="368"/>
      <c r="AF1393" s="377"/>
      <c r="AJ1393" s="337">
        <v>373</v>
      </c>
    </row>
    <row r="1394" spans="1:36">
      <c r="A1394" s="332">
        <f t="shared" si="47"/>
        <v>374</v>
      </c>
      <c r="G1394" s="349" t="s">
        <v>2485</v>
      </c>
      <c r="H1394" s="368" t="s">
        <v>1737</v>
      </c>
      <c r="I1394" s="368" t="s">
        <v>2478</v>
      </c>
      <c r="J1394" s="368" t="s">
        <v>1375</v>
      </c>
      <c r="K1394" s="368" t="s">
        <v>2478</v>
      </c>
      <c r="L1394" s="368" t="s">
        <v>1375</v>
      </c>
      <c r="M1394" s="368" t="s">
        <v>1384</v>
      </c>
      <c r="N1394" s="368" t="s">
        <v>867</v>
      </c>
      <c r="O1394" s="376">
        <v>2140</v>
      </c>
      <c r="P1394" s="368" t="s">
        <v>1385</v>
      </c>
      <c r="Q1394" s="368" t="s">
        <v>1386</v>
      </c>
      <c r="R1394" s="368" t="s">
        <v>867</v>
      </c>
      <c r="S1394" s="368" t="s">
        <v>864</v>
      </c>
      <c r="T1394" s="368" t="s">
        <v>362</v>
      </c>
      <c r="U1394" s="368" t="s">
        <v>867</v>
      </c>
      <c r="V1394" s="368" t="s">
        <v>867</v>
      </c>
      <c r="W1394" s="368" t="s">
        <v>1378</v>
      </c>
      <c r="X1394" s="368">
        <v>0</v>
      </c>
      <c r="Y1394" s="368">
        <v>99</v>
      </c>
      <c r="Z1394" s="368"/>
      <c r="AA1394" s="368"/>
      <c r="AB1394" s="368"/>
      <c r="AC1394" s="368"/>
      <c r="AD1394" s="368"/>
      <c r="AE1394" s="368"/>
      <c r="AF1394" s="377"/>
      <c r="AJ1394" s="337">
        <v>374</v>
      </c>
    </row>
    <row r="1395" spans="1:36">
      <c r="A1395" s="332">
        <f t="shared" si="47"/>
        <v>375</v>
      </c>
      <c r="G1395" s="349" t="s">
        <v>2486</v>
      </c>
      <c r="H1395" s="368" t="s">
        <v>2487</v>
      </c>
      <c r="I1395" s="368" t="s">
        <v>2488</v>
      </c>
      <c r="J1395" s="368" t="s">
        <v>1399</v>
      </c>
      <c r="K1395" s="368" t="s">
        <v>2488</v>
      </c>
      <c r="L1395" s="368" t="s">
        <v>1399</v>
      </c>
      <c r="M1395" s="368" t="s">
        <v>1376</v>
      </c>
      <c r="N1395" s="368" t="s">
        <v>867</v>
      </c>
      <c r="O1395" s="376">
        <v>31031</v>
      </c>
      <c r="P1395" s="368" t="s">
        <v>1385</v>
      </c>
      <c r="Q1395" s="368" t="s">
        <v>1443</v>
      </c>
      <c r="R1395" s="368" t="s">
        <v>867</v>
      </c>
      <c r="S1395" s="368" t="s">
        <v>864</v>
      </c>
      <c r="T1395" s="368" t="s">
        <v>362</v>
      </c>
      <c r="U1395" s="368" t="s">
        <v>867</v>
      </c>
      <c r="V1395" s="368" t="s">
        <v>867</v>
      </c>
      <c r="W1395" s="368" t="s">
        <v>1378</v>
      </c>
      <c r="X1395" s="368">
        <v>0</v>
      </c>
      <c r="Y1395" s="368">
        <v>99</v>
      </c>
      <c r="Z1395" s="368"/>
      <c r="AA1395" s="368"/>
      <c r="AB1395" s="368"/>
      <c r="AC1395" s="368"/>
      <c r="AD1395" s="368"/>
      <c r="AE1395" s="368"/>
      <c r="AF1395" s="377"/>
      <c r="AJ1395" s="337">
        <v>375</v>
      </c>
    </row>
    <row r="1396" spans="1:36">
      <c r="A1396" s="332">
        <f t="shared" si="47"/>
        <v>376</v>
      </c>
      <c r="G1396" s="349" t="s">
        <v>2489</v>
      </c>
      <c r="H1396" s="368" t="s">
        <v>2490</v>
      </c>
      <c r="I1396" s="368" t="s">
        <v>2491</v>
      </c>
      <c r="J1396" s="368" t="s">
        <v>1375</v>
      </c>
      <c r="K1396" s="368" t="s">
        <v>2491</v>
      </c>
      <c r="L1396" s="368" t="s">
        <v>1375</v>
      </c>
      <c r="M1396" s="368" t="s">
        <v>1384</v>
      </c>
      <c r="N1396" s="368" t="s">
        <v>867</v>
      </c>
      <c r="O1396" s="376">
        <v>69490</v>
      </c>
      <c r="P1396" s="368" t="s">
        <v>1385</v>
      </c>
      <c r="Q1396" s="368" t="s">
        <v>1386</v>
      </c>
      <c r="R1396" s="368" t="s">
        <v>867</v>
      </c>
      <c r="S1396" s="368" t="s">
        <v>864</v>
      </c>
      <c r="T1396" s="368" t="s">
        <v>1387</v>
      </c>
      <c r="U1396" s="368" t="s">
        <v>867</v>
      </c>
      <c r="V1396" s="368" t="s">
        <v>867</v>
      </c>
      <c r="W1396" s="368" t="s">
        <v>1378</v>
      </c>
      <c r="X1396" s="368">
        <v>0</v>
      </c>
      <c r="Y1396" s="368">
        <v>99</v>
      </c>
      <c r="Z1396" s="368"/>
      <c r="AA1396" s="368"/>
      <c r="AB1396" s="368"/>
      <c r="AC1396" s="368"/>
      <c r="AD1396" s="368"/>
      <c r="AE1396" s="368"/>
      <c r="AF1396" s="377"/>
      <c r="AJ1396" s="337">
        <v>376</v>
      </c>
    </row>
    <row r="1397" spans="1:36">
      <c r="A1397" s="332">
        <f t="shared" si="47"/>
        <v>377</v>
      </c>
      <c r="G1397" s="349" t="s">
        <v>2492</v>
      </c>
      <c r="H1397" s="368" t="s">
        <v>2493</v>
      </c>
      <c r="I1397" s="368" t="s">
        <v>2494</v>
      </c>
      <c r="J1397" s="368" t="s">
        <v>1375</v>
      </c>
      <c r="K1397" s="368" t="s">
        <v>2494</v>
      </c>
      <c r="L1397" s="368" t="s">
        <v>1375</v>
      </c>
      <c r="M1397" s="368" t="s">
        <v>1384</v>
      </c>
      <c r="N1397" s="368" t="s">
        <v>867</v>
      </c>
      <c r="O1397" s="376">
        <v>71175</v>
      </c>
      <c r="P1397" s="368" t="s">
        <v>1385</v>
      </c>
      <c r="Q1397" s="368" t="s">
        <v>1386</v>
      </c>
      <c r="R1397" s="368" t="s">
        <v>867</v>
      </c>
      <c r="S1397" s="368" t="s">
        <v>864</v>
      </c>
      <c r="T1397" s="368" t="s">
        <v>362</v>
      </c>
      <c r="U1397" s="368" t="s">
        <v>867</v>
      </c>
      <c r="V1397" s="368" t="s">
        <v>867</v>
      </c>
      <c r="W1397" s="368" t="s">
        <v>1378</v>
      </c>
      <c r="X1397" s="368">
        <v>0</v>
      </c>
      <c r="Y1397" s="368">
        <v>99</v>
      </c>
      <c r="Z1397" s="368"/>
      <c r="AA1397" s="368"/>
      <c r="AB1397" s="368"/>
      <c r="AC1397" s="368"/>
      <c r="AD1397" s="368"/>
      <c r="AE1397" s="368"/>
      <c r="AF1397" s="377"/>
      <c r="AJ1397" s="337">
        <v>377</v>
      </c>
    </row>
    <row r="1398" spans="1:36">
      <c r="A1398" s="332">
        <f t="shared" si="47"/>
        <v>378</v>
      </c>
      <c r="G1398" s="349" t="s">
        <v>2495</v>
      </c>
      <c r="H1398" s="368" t="s">
        <v>2496</v>
      </c>
      <c r="I1398" s="368" t="s">
        <v>2472</v>
      </c>
      <c r="J1398" s="368" t="s">
        <v>1399</v>
      </c>
      <c r="K1398" s="368" t="s">
        <v>2472</v>
      </c>
      <c r="L1398" s="368" t="s">
        <v>1399</v>
      </c>
      <c r="M1398" s="368" t="s">
        <v>1384</v>
      </c>
      <c r="N1398" s="368" t="s">
        <v>867</v>
      </c>
      <c r="O1398" s="376">
        <v>33017</v>
      </c>
      <c r="P1398" s="368" t="s">
        <v>1385</v>
      </c>
      <c r="Q1398" s="368" t="s">
        <v>1386</v>
      </c>
      <c r="R1398" s="368" t="s">
        <v>867</v>
      </c>
      <c r="S1398" s="368" t="s">
        <v>864</v>
      </c>
      <c r="T1398" s="368" t="s">
        <v>362</v>
      </c>
      <c r="U1398" s="368" t="s">
        <v>867</v>
      </c>
      <c r="V1398" s="368" t="s">
        <v>867</v>
      </c>
      <c r="W1398" s="368" t="s">
        <v>1378</v>
      </c>
      <c r="X1398" s="368">
        <v>0</v>
      </c>
      <c r="Y1398" s="368">
        <v>99</v>
      </c>
      <c r="Z1398" s="368"/>
      <c r="AA1398" s="368"/>
      <c r="AB1398" s="368"/>
      <c r="AC1398" s="368"/>
      <c r="AD1398" s="368"/>
      <c r="AE1398" s="368"/>
      <c r="AF1398" s="377"/>
      <c r="AJ1398" s="337">
        <v>378</v>
      </c>
    </row>
    <row r="1399" spans="1:36">
      <c r="A1399" s="332">
        <f t="shared" si="47"/>
        <v>379</v>
      </c>
      <c r="G1399" s="349" t="s">
        <v>2497</v>
      </c>
      <c r="H1399" s="368" t="s">
        <v>2498</v>
      </c>
      <c r="I1399" s="368" t="s">
        <v>2499</v>
      </c>
      <c r="J1399" s="368" t="s">
        <v>1375</v>
      </c>
      <c r="K1399" s="368" t="s">
        <v>2499</v>
      </c>
      <c r="L1399" s="368" t="s">
        <v>1375</v>
      </c>
      <c r="M1399" s="368" t="s">
        <v>1384</v>
      </c>
      <c r="N1399" s="368" t="s">
        <v>867</v>
      </c>
      <c r="O1399" s="376">
        <v>16998</v>
      </c>
      <c r="P1399" s="368" t="s">
        <v>1385</v>
      </c>
      <c r="Q1399" s="368" t="s">
        <v>1386</v>
      </c>
      <c r="R1399" s="368" t="s">
        <v>867</v>
      </c>
      <c r="S1399" s="368" t="s">
        <v>864</v>
      </c>
      <c r="T1399" s="368" t="s">
        <v>362</v>
      </c>
      <c r="U1399" s="368" t="s">
        <v>867</v>
      </c>
      <c r="V1399" s="368" t="s">
        <v>867</v>
      </c>
      <c r="W1399" s="368" t="s">
        <v>1378</v>
      </c>
      <c r="X1399" s="368">
        <v>0</v>
      </c>
      <c r="Y1399" s="368">
        <v>99</v>
      </c>
      <c r="Z1399" s="368"/>
      <c r="AA1399" s="368"/>
      <c r="AB1399" s="368"/>
      <c r="AC1399" s="368"/>
      <c r="AD1399" s="368"/>
      <c r="AE1399" s="368"/>
      <c r="AF1399" s="377"/>
      <c r="AJ1399" s="337">
        <v>379</v>
      </c>
    </row>
    <row r="1400" spans="1:36">
      <c r="A1400" s="332">
        <f t="shared" si="47"/>
        <v>380</v>
      </c>
      <c r="G1400" s="349" t="s">
        <v>2500</v>
      </c>
      <c r="H1400" s="368" t="s">
        <v>2501</v>
      </c>
      <c r="I1400" s="368" t="s">
        <v>2502</v>
      </c>
      <c r="J1400" s="368" t="s">
        <v>1522</v>
      </c>
      <c r="K1400" s="368" t="s">
        <v>2502</v>
      </c>
      <c r="L1400" s="368" t="s">
        <v>1522</v>
      </c>
      <c r="M1400" s="368" t="s">
        <v>1384</v>
      </c>
      <c r="N1400" s="368" t="s">
        <v>867</v>
      </c>
      <c r="O1400" s="376">
        <v>10640</v>
      </c>
      <c r="P1400" s="368" t="s">
        <v>339</v>
      </c>
      <c r="Q1400" s="368" t="s">
        <v>1443</v>
      </c>
      <c r="R1400" s="368" t="s">
        <v>867</v>
      </c>
      <c r="S1400" s="368" t="s">
        <v>864</v>
      </c>
      <c r="T1400" s="368" t="s">
        <v>362</v>
      </c>
      <c r="U1400" s="368" t="s">
        <v>867</v>
      </c>
      <c r="V1400" s="368" t="s">
        <v>867</v>
      </c>
      <c r="W1400" s="368" t="s">
        <v>1378</v>
      </c>
      <c r="X1400" s="368">
        <v>0</v>
      </c>
      <c r="Y1400" s="368">
        <v>99</v>
      </c>
      <c r="Z1400" s="368"/>
      <c r="AA1400" s="368"/>
      <c r="AB1400" s="368"/>
      <c r="AC1400" s="368"/>
      <c r="AD1400" s="368"/>
      <c r="AE1400" s="368"/>
      <c r="AF1400" s="377"/>
      <c r="AJ1400" s="337">
        <v>380</v>
      </c>
    </row>
    <row r="1401" spans="1:36">
      <c r="A1401" s="332">
        <f t="shared" si="47"/>
        <v>381</v>
      </c>
      <c r="G1401" s="349" t="s">
        <v>2503</v>
      </c>
      <c r="H1401" s="368" t="s">
        <v>2504</v>
      </c>
      <c r="I1401" s="368" t="s">
        <v>2505</v>
      </c>
      <c r="J1401" s="368" t="s">
        <v>1433</v>
      </c>
      <c r="K1401" s="368" t="s">
        <v>2505</v>
      </c>
      <c r="L1401" s="368" t="s">
        <v>1433</v>
      </c>
      <c r="M1401" s="368" t="s">
        <v>1376</v>
      </c>
      <c r="N1401" s="368" t="s">
        <v>867</v>
      </c>
      <c r="O1401" s="376">
        <v>71099</v>
      </c>
      <c r="P1401" s="368" t="s">
        <v>339</v>
      </c>
      <c r="Q1401" s="368" t="s">
        <v>1386</v>
      </c>
      <c r="R1401" s="368" t="s">
        <v>867</v>
      </c>
      <c r="S1401" s="368" t="s">
        <v>864</v>
      </c>
      <c r="T1401" s="368" t="s">
        <v>362</v>
      </c>
      <c r="U1401" s="368" t="s">
        <v>867</v>
      </c>
      <c r="V1401" s="368" t="s">
        <v>867</v>
      </c>
      <c r="W1401" s="368" t="s">
        <v>1378</v>
      </c>
      <c r="X1401" s="368">
        <v>0</v>
      </c>
      <c r="Y1401" s="368">
        <v>99</v>
      </c>
      <c r="Z1401" s="368"/>
      <c r="AA1401" s="368"/>
      <c r="AB1401" s="368"/>
      <c r="AC1401" s="368"/>
      <c r="AD1401" s="368"/>
      <c r="AE1401" s="368"/>
      <c r="AF1401" s="377"/>
      <c r="AJ1401" s="337">
        <v>381</v>
      </c>
    </row>
    <row r="1402" spans="1:36">
      <c r="A1402" s="332">
        <f t="shared" si="47"/>
        <v>382</v>
      </c>
      <c r="G1402" s="349" t="s">
        <v>2506</v>
      </c>
      <c r="H1402" s="368" t="s">
        <v>2507</v>
      </c>
      <c r="I1402" s="368" t="s">
        <v>2508</v>
      </c>
      <c r="J1402" s="368" t="s">
        <v>1375</v>
      </c>
      <c r="K1402" s="368" t="s">
        <v>2508</v>
      </c>
      <c r="L1402" s="368" t="s">
        <v>1375</v>
      </c>
      <c r="M1402" s="368" t="s">
        <v>1384</v>
      </c>
      <c r="N1402" s="368" t="s">
        <v>867</v>
      </c>
      <c r="O1402" s="376">
        <v>55708</v>
      </c>
      <c r="P1402" s="368" t="s">
        <v>1385</v>
      </c>
      <c r="Q1402" s="368" t="s">
        <v>1386</v>
      </c>
      <c r="R1402" s="368" t="s">
        <v>867</v>
      </c>
      <c r="S1402" s="368" t="s">
        <v>867</v>
      </c>
      <c r="T1402" s="368" t="s">
        <v>362</v>
      </c>
      <c r="U1402" s="368" t="s">
        <v>867</v>
      </c>
      <c r="V1402" s="368" t="s">
        <v>867</v>
      </c>
      <c r="W1402" s="368" t="s">
        <v>1378</v>
      </c>
      <c r="X1402" s="368">
        <v>985</v>
      </c>
      <c r="Y1402" s="368">
        <v>99</v>
      </c>
      <c r="Z1402" s="368"/>
      <c r="AA1402" s="368"/>
      <c r="AB1402" s="368"/>
      <c r="AC1402" s="368"/>
      <c r="AD1402" s="368"/>
      <c r="AE1402" s="368"/>
      <c r="AF1402" s="377"/>
      <c r="AJ1402" s="337">
        <v>382</v>
      </c>
    </row>
    <row r="1403" spans="1:36">
      <c r="A1403" s="332">
        <f t="shared" si="47"/>
        <v>383</v>
      </c>
      <c r="G1403" s="349" t="s">
        <v>2509</v>
      </c>
      <c r="H1403" s="368" t="s">
        <v>2510</v>
      </c>
      <c r="I1403" s="368" t="s">
        <v>2511</v>
      </c>
      <c r="J1403" s="368" t="s">
        <v>1375</v>
      </c>
      <c r="K1403" s="368" t="s">
        <v>2511</v>
      </c>
      <c r="L1403" s="368" t="s">
        <v>1375</v>
      </c>
      <c r="M1403" s="368" t="s">
        <v>1384</v>
      </c>
      <c r="N1403" s="368" t="s">
        <v>867</v>
      </c>
      <c r="O1403" s="376">
        <v>78457</v>
      </c>
      <c r="P1403" s="368" t="s">
        <v>1385</v>
      </c>
      <c r="Q1403" s="368" t="s">
        <v>1386</v>
      </c>
      <c r="R1403" s="368" t="s">
        <v>867</v>
      </c>
      <c r="S1403" s="368" t="s">
        <v>864</v>
      </c>
      <c r="T1403" s="368" t="s">
        <v>362</v>
      </c>
      <c r="U1403" s="368" t="s">
        <v>867</v>
      </c>
      <c r="V1403" s="368" t="s">
        <v>867</v>
      </c>
      <c r="W1403" s="368" t="s">
        <v>1378</v>
      </c>
      <c r="X1403" s="368">
        <v>0</v>
      </c>
      <c r="Y1403" s="368">
        <v>99</v>
      </c>
      <c r="Z1403" s="368"/>
      <c r="AA1403" s="368"/>
      <c r="AB1403" s="368"/>
      <c r="AC1403" s="368"/>
      <c r="AD1403" s="368"/>
      <c r="AE1403" s="368"/>
      <c r="AF1403" s="377"/>
      <c r="AJ1403" s="337">
        <v>383</v>
      </c>
    </row>
    <row r="1404" spans="1:36">
      <c r="A1404" s="332">
        <f t="shared" si="47"/>
        <v>384</v>
      </c>
      <c r="G1404" s="349" t="s">
        <v>2512</v>
      </c>
      <c r="H1404" s="368" t="s">
        <v>2513</v>
      </c>
      <c r="I1404" s="368" t="s">
        <v>2514</v>
      </c>
      <c r="J1404" s="368" t="s">
        <v>1399</v>
      </c>
      <c r="K1404" s="368" t="s">
        <v>2514</v>
      </c>
      <c r="L1404" s="368" t="s">
        <v>1399</v>
      </c>
      <c r="M1404" s="368" t="s">
        <v>1384</v>
      </c>
      <c r="N1404" s="368" t="s">
        <v>867</v>
      </c>
      <c r="O1404" s="376">
        <v>14858</v>
      </c>
      <c r="P1404" s="368" t="s">
        <v>1385</v>
      </c>
      <c r="Q1404" s="368" t="s">
        <v>1386</v>
      </c>
      <c r="R1404" s="368" t="s">
        <v>867</v>
      </c>
      <c r="S1404" s="368" t="s">
        <v>864</v>
      </c>
      <c r="T1404" s="368" t="s">
        <v>362</v>
      </c>
      <c r="U1404" s="368" t="s">
        <v>867</v>
      </c>
      <c r="V1404" s="368" t="s">
        <v>867</v>
      </c>
      <c r="W1404" s="368" t="s">
        <v>1378</v>
      </c>
      <c r="X1404" s="368">
        <v>1500</v>
      </c>
      <c r="Y1404" s="368">
        <v>99</v>
      </c>
      <c r="Z1404" s="368"/>
      <c r="AA1404" s="368"/>
      <c r="AB1404" s="368"/>
      <c r="AC1404" s="368"/>
      <c r="AD1404" s="368"/>
      <c r="AE1404" s="368"/>
      <c r="AF1404" s="377"/>
      <c r="AJ1404" s="337">
        <v>384</v>
      </c>
    </row>
    <row r="1405" spans="1:36">
      <c r="A1405" s="332">
        <f t="shared" si="47"/>
        <v>385</v>
      </c>
      <c r="G1405" s="349" t="s">
        <v>2515</v>
      </c>
      <c r="H1405" s="368" t="s">
        <v>2516</v>
      </c>
      <c r="I1405" s="368" t="s">
        <v>1381</v>
      </c>
      <c r="J1405" s="368" t="s">
        <v>1403</v>
      </c>
      <c r="K1405" s="368" t="s">
        <v>1381</v>
      </c>
      <c r="L1405" s="368" t="s">
        <v>1375</v>
      </c>
      <c r="M1405" s="368" t="s">
        <v>1384</v>
      </c>
      <c r="N1405" s="368" t="s">
        <v>867</v>
      </c>
      <c r="O1405" s="376">
        <v>53999</v>
      </c>
      <c r="P1405" s="368" t="s">
        <v>1385</v>
      </c>
      <c r="Q1405" s="368" t="s">
        <v>1386</v>
      </c>
      <c r="R1405" s="368" t="s">
        <v>867</v>
      </c>
      <c r="S1405" s="368" t="s">
        <v>864</v>
      </c>
      <c r="T1405" s="368" t="s">
        <v>1387</v>
      </c>
      <c r="U1405" s="368" t="s">
        <v>867</v>
      </c>
      <c r="V1405" s="368" t="s">
        <v>867</v>
      </c>
      <c r="W1405" s="368" t="s">
        <v>1378</v>
      </c>
      <c r="X1405" s="368">
        <v>0</v>
      </c>
      <c r="Y1405" s="368">
        <v>99</v>
      </c>
      <c r="Z1405" s="368"/>
      <c r="AA1405" s="368"/>
      <c r="AB1405" s="368"/>
      <c r="AC1405" s="368"/>
      <c r="AD1405" s="368"/>
      <c r="AE1405" s="368"/>
      <c r="AF1405" s="377"/>
      <c r="AJ1405" s="337">
        <v>385</v>
      </c>
    </row>
    <row r="1406" spans="1:36">
      <c r="A1406" s="332">
        <f t="shared" si="47"/>
        <v>386</v>
      </c>
      <c r="G1406" s="349" t="s">
        <v>2517</v>
      </c>
      <c r="H1406" s="368" t="s">
        <v>2518</v>
      </c>
      <c r="I1406" s="368" t="s">
        <v>2508</v>
      </c>
      <c r="J1406" s="368" t="s">
        <v>1375</v>
      </c>
      <c r="K1406" s="368" t="s">
        <v>2508</v>
      </c>
      <c r="L1406" s="368" t="s">
        <v>1375</v>
      </c>
      <c r="M1406" s="368" t="s">
        <v>1384</v>
      </c>
      <c r="N1406" s="368" t="s">
        <v>867</v>
      </c>
      <c r="O1406" s="376">
        <v>87695</v>
      </c>
      <c r="P1406" s="368" t="s">
        <v>1385</v>
      </c>
      <c r="Q1406" s="368" t="s">
        <v>1386</v>
      </c>
      <c r="R1406" s="368" t="s">
        <v>867</v>
      </c>
      <c r="S1406" s="368" t="s">
        <v>864</v>
      </c>
      <c r="T1406" s="368" t="s">
        <v>362</v>
      </c>
      <c r="U1406" s="368" t="s">
        <v>867</v>
      </c>
      <c r="V1406" s="368" t="s">
        <v>867</v>
      </c>
      <c r="W1406" s="368" t="s">
        <v>1378</v>
      </c>
      <c r="X1406" s="368">
        <v>6683</v>
      </c>
      <c r="Y1406" s="368">
        <v>99</v>
      </c>
      <c r="Z1406" s="368"/>
      <c r="AA1406" s="368"/>
      <c r="AB1406" s="368"/>
      <c r="AC1406" s="368"/>
      <c r="AD1406" s="368"/>
      <c r="AE1406" s="368"/>
      <c r="AF1406" s="377"/>
      <c r="AJ1406" s="337">
        <v>386</v>
      </c>
    </row>
    <row r="1407" spans="1:36">
      <c r="A1407" s="332">
        <f t="shared" ref="A1407:A1470" si="48">1+A1406</f>
        <v>387</v>
      </c>
      <c r="G1407" s="349" t="s">
        <v>2519</v>
      </c>
      <c r="H1407" s="368" t="s">
        <v>2520</v>
      </c>
      <c r="I1407" s="368" t="s">
        <v>2521</v>
      </c>
      <c r="J1407" s="368" t="s">
        <v>1399</v>
      </c>
      <c r="K1407" s="368" t="s">
        <v>2521</v>
      </c>
      <c r="L1407" s="368" t="s">
        <v>1399</v>
      </c>
      <c r="M1407" s="368" t="s">
        <v>1376</v>
      </c>
      <c r="N1407" s="368" t="s">
        <v>867</v>
      </c>
      <c r="O1407" s="376">
        <v>1836</v>
      </c>
      <c r="P1407" s="368" t="s">
        <v>1385</v>
      </c>
      <c r="Q1407" s="368" t="s">
        <v>1386</v>
      </c>
      <c r="R1407" s="368" t="s">
        <v>867</v>
      </c>
      <c r="S1407" s="368" t="s">
        <v>864</v>
      </c>
      <c r="T1407" s="368" t="s">
        <v>362</v>
      </c>
      <c r="U1407" s="368" t="s">
        <v>867</v>
      </c>
      <c r="V1407" s="368" t="s">
        <v>867</v>
      </c>
      <c r="W1407" s="368" t="s">
        <v>1378</v>
      </c>
      <c r="X1407" s="368">
        <v>0</v>
      </c>
      <c r="Y1407" s="368">
        <v>99</v>
      </c>
      <c r="Z1407" s="368"/>
      <c r="AA1407" s="368"/>
      <c r="AB1407" s="368"/>
      <c r="AC1407" s="368"/>
      <c r="AD1407" s="368"/>
      <c r="AE1407" s="368"/>
      <c r="AF1407" s="377"/>
      <c r="AJ1407" s="337">
        <v>387</v>
      </c>
    </row>
    <row r="1408" spans="1:36">
      <c r="A1408" s="332">
        <f t="shared" si="48"/>
        <v>388</v>
      </c>
      <c r="G1408" s="349" t="s">
        <v>2522</v>
      </c>
      <c r="H1408" s="368" t="s">
        <v>2523</v>
      </c>
      <c r="I1408" s="368" t="s">
        <v>2425</v>
      </c>
      <c r="J1408" s="368" t="s">
        <v>1442</v>
      </c>
      <c r="K1408" s="368" t="s">
        <v>2425</v>
      </c>
      <c r="L1408" s="368" t="s">
        <v>1442</v>
      </c>
      <c r="M1408" s="368" t="s">
        <v>1384</v>
      </c>
      <c r="N1408" s="368" t="s">
        <v>867</v>
      </c>
      <c r="O1408" s="376">
        <v>19032</v>
      </c>
      <c r="P1408" s="368" t="s">
        <v>1385</v>
      </c>
      <c r="Q1408" s="368" t="s">
        <v>1386</v>
      </c>
      <c r="R1408" s="368" t="s">
        <v>867</v>
      </c>
      <c r="S1408" s="368" t="s">
        <v>864</v>
      </c>
      <c r="T1408" s="368" t="s">
        <v>362</v>
      </c>
      <c r="U1408" s="368" t="s">
        <v>867</v>
      </c>
      <c r="V1408" s="368" t="s">
        <v>867</v>
      </c>
      <c r="W1408" s="368" t="s">
        <v>1378</v>
      </c>
      <c r="X1408" s="368">
        <v>3975</v>
      </c>
      <c r="Y1408" s="368">
        <v>99</v>
      </c>
      <c r="Z1408" s="368"/>
      <c r="AA1408" s="368"/>
      <c r="AB1408" s="368"/>
      <c r="AC1408" s="368"/>
      <c r="AD1408" s="368"/>
      <c r="AE1408" s="368"/>
      <c r="AF1408" s="377"/>
      <c r="AJ1408" s="337">
        <v>388</v>
      </c>
    </row>
    <row r="1409" spans="1:36">
      <c r="A1409" s="332">
        <f t="shared" si="48"/>
        <v>389</v>
      </c>
      <c r="G1409" s="349" t="s">
        <v>2524</v>
      </c>
      <c r="H1409" s="368" t="s">
        <v>2525</v>
      </c>
      <c r="I1409" s="368" t="s">
        <v>2526</v>
      </c>
      <c r="J1409" s="368" t="s">
        <v>1375</v>
      </c>
      <c r="K1409" s="368" t="s">
        <v>2526</v>
      </c>
      <c r="L1409" s="368" t="s">
        <v>1375</v>
      </c>
      <c r="M1409" s="368" t="s">
        <v>1384</v>
      </c>
      <c r="N1409" s="368" t="s">
        <v>867</v>
      </c>
      <c r="O1409" s="376">
        <v>23017</v>
      </c>
      <c r="P1409" s="368" t="s">
        <v>1385</v>
      </c>
      <c r="Q1409" s="368" t="s">
        <v>1386</v>
      </c>
      <c r="R1409" s="368" t="s">
        <v>867</v>
      </c>
      <c r="S1409" s="368" t="s">
        <v>864</v>
      </c>
      <c r="T1409" s="368" t="s">
        <v>362</v>
      </c>
      <c r="U1409" s="368" t="s">
        <v>867</v>
      </c>
      <c r="V1409" s="368" t="s">
        <v>867</v>
      </c>
      <c r="W1409" s="368" t="s">
        <v>1378</v>
      </c>
      <c r="X1409" s="368">
        <v>1500</v>
      </c>
      <c r="Y1409" s="368">
        <v>99</v>
      </c>
      <c r="Z1409" s="368"/>
      <c r="AA1409" s="368"/>
      <c r="AB1409" s="368"/>
      <c r="AC1409" s="368"/>
      <c r="AD1409" s="368"/>
      <c r="AE1409" s="368"/>
      <c r="AF1409" s="377"/>
      <c r="AJ1409" s="337">
        <v>389</v>
      </c>
    </row>
    <row r="1410" spans="1:36">
      <c r="A1410" s="332">
        <f t="shared" si="48"/>
        <v>390</v>
      </c>
      <c r="G1410" s="349" t="s">
        <v>2527</v>
      </c>
      <c r="H1410" s="368" t="s">
        <v>2528</v>
      </c>
      <c r="I1410" s="368" t="s">
        <v>2042</v>
      </c>
      <c r="J1410" s="368" t="s">
        <v>1375</v>
      </c>
      <c r="K1410" s="368" t="s">
        <v>2042</v>
      </c>
      <c r="L1410" s="368" t="s">
        <v>1375</v>
      </c>
      <c r="M1410" s="368" t="s">
        <v>1376</v>
      </c>
      <c r="N1410" s="368" t="s">
        <v>867</v>
      </c>
      <c r="O1410" s="376">
        <v>59108</v>
      </c>
      <c r="P1410" s="368" t="s">
        <v>1385</v>
      </c>
      <c r="Q1410" s="368" t="s">
        <v>1443</v>
      </c>
      <c r="R1410" s="368" t="s">
        <v>867</v>
      </c>
      <c r="S1410" s="368" t="s">
        <v>864</v>
      </c>
      <c r="T1410" s="368" t="s">
        <v>362</v>
      </c>
      <c r="U1410" s="368" t="s">
        <v>867</v>
      </c>
      <c r="V1410" s="368" t="s">
        <v>867</v>
      </c>
      <c r="W1410" s="368" t="s">
        <v>1378</v>
      </c>
      <c r="X1410" s="368">
        <v>0</v>
      </c>
      <c r="Y1410" s="368">
        <v>99</v>
      </c>
      <c r="Z1410" s="368"/>
      <c r="AA1410" s="368"/>
      <c r="AB1410" s="368"/>
      <c r="AC1410" s="368"/>
      <c r="AD1410" s="368"/>
      <c r="AE1410" s="368"/>
      <c r="AF1410" s="377"/>
      <c r="AJ1410" s="337">
        <v>390</v>
      </c>
    </row>
    <row r="1411" spans="1:36">
      <c r="A1411" s="332">
        <f t="shared" si="48"/>
        <v>391</v>
      </c>
      <c r="G1411" s="349" t="s">
        <v>2529</v>
      </c>
      <c r="H1411" s="368" t="s">
        <v>2530</v>
      </c>
      <c r="I1411" s="368" t="s">
        <v>2526</v>
      </c>
      <c r="J1411" s="368" t="s">
        <v>1399</v>
      </c>
      <c r="K1411" s="368" t="s">
        <v>2526</v>
      </c>
      <c r="L1411" s="368" t="s">
        <v>1399</v>
      </c>
      <c r="M1411" s="368" t="s">
        <v>1384</v>
      </c>
      <c r="N1411" s="368" t="s">
        <v>867</v>
      </c>
      <c r="O1411" s="376">
        <v>99946</v>
      </c>
      <c r="P1411" s="368" t="s">
        <v>1385</v>
      </c>
      <c r="Q1411" s="368" t="s">
        <v>1386</v>
      </c>
      <c r="R1411" s="368" t="s">
        <v>867</v>
      </c>
      <c r="S1411" s="368" t="s">
        <v>864</v>
      </c>
      <c r="T1411" s="368" t="s">
        <v>362</v>
      </c>
      <c r="U1411" s="368" t="s">
        <v>867</v>
      </c>
      <c r="V1411" s="368" t="s">
        <v>867</v>
      </c>
      <c r="W1411" s="368" t="s">
        <v>1378</v>
      </c>
      <c r="X1411" s="368">
        <v>0</v>
      </c>
      <c r="Y1411" s="368">
        <v>99</v>
      </c>
      <c r="Z1411" s="368"/>
      <c r="AA1411" s="368"/>
      <c r="AB1411" s="368"/>
      <c r="AC1411" s="368"/>
      <c r="AD1411" s="368"/>
      <c r="AE1411" s="368"/>
      <c r="AF1411" s="377"/>
      <c r="AJ1411" s="337">
        <v>391</v>
      </c>
    </row>
    <row r="1412" spans="1:36">
      <c r="A1412" s="332">
        <f t="shared" si="48"/>
        <v>392</v>
      </c>
      <c r="G1412" s="349" t="s">
        <v>2531</v>
      </c>
      <c r="H1412" s="368" t="s">
        <v>2532</v>
      </c>
      <c r="I1412" s="368" t="s">
        <v>2533</v>
      </c>
      <c r="J1412" s="368" t="s">
        <v>1375</v>
      </c>
      <c r="K1412" s="368" t="s">
        <v>2533</v>
      </c>
      <c r="L1412" s="368" t="s">
        <v>1375</v>
      </c>
      <c r="M1412" s="368" t="s">
        <v>1384</v>
      </c>
      <c r="N1412" s="368" t="s">
        <v>867</v>
      </c>
      <c r="O1412" s="376">
        <v>32952</v>
      </c>
      <c r="P1412" s="368" t="s">
        <v>1385</v>
      </c>
      <c r="Q1412" s="368" t="s">
        <v>1443</v>
      </c>
      <c r="R1412" s="368" t="s">
        <v>867</v>
      </c>
      <c r="S1412" s="368" t="s">
        <v>864</v>
      </c>
      <c r="T1412" s="368" t="s">
        <v>362</v>
      </c>
      <c r="U1412" s="368" t="s">
        <v>867</v>
      </c>
      <c r="V1412" s="368" t="s">
        <v>867</v>
      </c>
      <c r="W1412" s="368" t="s">
        <v>1378</v>
      </c>
      <c r="X1412" s="368">
        <v>0</v>
      </c>
      <c r="Y1412" s="368">
        <v>99</v>
      </c>
      <c r="Z1412" s="368"/>
      <c r="AA1412" s="368"/>
      <c r="AB1412" s="368"/>
      <c r="AC1412" s="368"/>
      <c r="AD1412" s="368"/>
      <c r="AE1412" s="368"/>
      <c r="AF1412" s="377"/>
      <c r="AJ1412" s="337">
        <v>392</v>
      </c>
    </row>
    <row r="1413" spans="1:36">
      <c r="A1413" s="332">
        <f t="shared" si="48"/>
        <v>393</v>
      </c>
      <c r="G1413" s="349" t="s">
        <v>2534</v>
      </c>
      <c r="H1413" s="368" t="s">
        <v>2535</v>
      </c>
      <c r="I1413" s="368" t="s">
        <v>2259</v>
      </c>
      <c r="J1413" s="368" t="s">
        <v>1375</v>
      </c>
      <c r="K1413" s="368" t="s">
        <v>2259</v>
      </c>
      <c r="L1413" s="368" t="s">
        <v>1375</v>
      </c>
      <c r="M1413" s="368" t="s">
        <v>1384</v>
      </c>
      <c r="N1413" s="368" t="s">
        <v>867</v>
      </c>
      <c r="O1413" s="376">
        <v>65602</v>
      </c>
      <c r="P1413" s="368" t="s">
        <v>1385</v>
      </c>
      <c r="Q1413" s="368" t="s">
        <v>1386</v>
      </c>
      <c r="R1413" s="368" t="s">
        <v>867</v>
      </c>
      <c r="S1413" s="368" t="s">
        <v>864</v>
      </c>
      <c r="T1413" s="368" t="s">
        <v>362</v>
      </c>
      <c r="U1413" s="368" t="s">
        <v>867</v>
      </c>
      <c r="V1413" s="368" t="s">
        <v>867</v>
      </c>
      <c r="W1413" s="368" t="s">
        <v>1378</v>
      </c>
      <c r="X1413" s="368">
        <v>600</v>
      </c>
      <c r="Y1413" s="368">
        <v>99</v>
      </c>
      <c r="Z1413" s="368"/>
      <c r="AA1413" s="368"/>
      <c r="AB1413" s="368"/>
      <c r="AC1413" s="368"/>
      <c r="AD1413" s="368"/>
      <c r="AE1413" s="368"/>
      <c r="AF1413" s="377"/>
      <c r="AJ1413" s="337">
        <v>393</v>
      </c>
    </row>
    <row r="1414" spans="1:36">
      <c r="A1414" s="332">
        <f t="shared" si="48"/>
        <v>394</v>
      </c>
      <c r="G1414" s="349" t="s">
        <v>2536</v>
      </c>
      <c r="H1414" s="368" t="s">
        <v>2537</v>
      </c>
      <c r="I1414" s="368" t="s">
        <v>2538</v>
      </c>
      <c r="J1414" s="368" t="s">
        <v>1375</v>
      </c>
      <c r="K1414" s="368" t="s">
        <v>2538</v>
      </c>
      <c r="L1414" s="368" t="s">
        <v>1375</v>
      </c>
      <c r="M1414" s="368" t="s">
        <v>1384</v>
      </c>
      <c r="N1414" s="368" t="s">
        <v>867</v>
      </c>
      <c r="O1414" s="376">
        <v>76176</v>
      </c>
      <c r="P1414" s="368" t="s">
        <v>1385</v>
      </c>
      <c r="Q1414" s="368" t="s">
        <v>1443</v>
      </c>
      <c r="R1414" s="368" t="s">
        <v>867</v>
      </c>
      <c r="S1414" s="368" t="s">
        <v>864</v>
      </c>
      <c r="T1414" s="368" t="s">
        <v>362</v>
      </c>
      <c r="U1414" s="368" t="s">
        <v>867</v>
      </c>
      <c r="V1414" s="368" t="s">
        <v>867</v>
      </c>
      <c r="W1414" s="368" t="s">
        <v>1378</v>
      </c>
      <c r="X1414" s="368">
        <v>0</v>
      </c>
      <c r="Y1414" s="368">
        <v>99</v>
      </c>
      <c r="Z1414" s="368"/>
      <c r="AA1414" s="368"/>
      <c r="AB1414" s="368"/>
      <c r="AC1414" s="368"/>
      <c r="AD1414" s="368"/>
      <c r="AE1414" s="368"/>
      <c r="AF1414" s="377"/>
      <c r="AJ1414" s="337">
        <v>394</v>
      </c>
    </row>
    <row r="1415" spans="1:36">
      <c r="A1415" s="332">
        <f t="shared" si="48"/>
        <v>395</v>
      </c>
      <c r="G1415" s="349" t="s">
        <v>2539</v>
      </c>
      <c r="H1415" s="368" t="s">
        <v>2540</v>
      </c>
      <c r="I1415" s="368" t="s">
        <v>2541</v>
      </c>
      <c r="J1415" s="368" t="s">
        <v>1442</v>
      </c>
      <c r="K1415" s="368" t="s">
        <v>2541</v>
      </c>
      <c r="L1415" s="368" t="s">
        <v>1442</v>
      </c>
      <c r="M1415" s="368" t="s">
        <v>1384</v>
      </c>
      <c r="N1415" s="368" t="s">
        <v>867</v>
      </c>
      <c r="O1415" s="376">
        <v>72530</v>
      </c>
      <c r="P1415" s="368" t="s">
        <v>1385</v>
      </c>
      <c r="Q1415" s="368" t="s">
        <v>1443</v>
      </c>
      <c r="R1415" s="368" t="s">
        <v>867</v>
      </c>
      <c r="S1415" s="368" t="s">
        <v>864</v>
      </c>
      <c r="T1415" s="368" t="s">
        <v>362</v>
      </c>
      <c r="U1415" s="368" t="s">
        <v>867</v>
      </c>
      <c r="V1415" s="368" t="s">
        <v>867</v>
      </c>
      <c r="W1415" s="368" t="s">
        <v>1378</v>
      </c>
      <c r="X1415" s="368">
        <v>0</v>
      </c>
      <c r="Y1415" s="368">
        <v>99</v>
      </c>
      <c r="Z1415" s="368"/>
      <c r="AA1415" s="368"/>
      <c r="AB1415" s="368"/>
      <c r="AC1415" s="368"/>
      <c r="AD1415" s="368"/>
      <c r="AE1415" s="368"/>
      <c r="AF1415" s="377"/>
      <c r="AJ1415" s="337">
        <v>395</v>
      </c>
    </row>
    <row r="1416" spans="1:36">
      <c r="A1416" s="332">
        <f t="shared" si="48"/>
        <v>396</v>
      </c>
      <c r="G1416" s="349" t="s">
        <v>2542</v>
      </c>
      <c r="H1416" s="368" t="s">
        <v>2543</v>
      </c>
      <c r="I1416" s="368" t="s">
        <v>1630</v>
      </c>
      <c r="J1416" s="368" t="s">
        <v>1375</v>
      </c>
      <c r="K1416" s="368" t="s">
        <v>1630</v>
      </c>
      <c r="L1416" s="368" t="s">
        <v>1375</v>
      </c>
      <c r="M1416" s="368" t="s">
        <v>1384</v>
      </c>
      <c r="N1416" s="368" t="s">
        <v>867</v>
      </c>
      <c r="O1416" s="376">
        <v>22029</v>
      </c>
      <c r="P1416" s="368" t="s">
        <v>1385</v>
      </c>
      <c r="Q1416" s="368" t="s">
        <v>1386</v>
      </c>
      <c r="R1416" s="368" t="s">
        <v>867</v>
      </c>
      <c r="S1416" s="368" t="s">
        <v>867</v>
      </c>
      <c r="T1416" s="368" t="s">
        <v>362</v>
      </c>
      <c r="U1416" s="368" t="s">
        <v>867</v>
      </c>
      <c r="V1416" s="368" t="s">
        <v>867</v>
      </c>
      <c r="W1416" s="368" t="s">
        <v>1378</v>
      </c>
      <c r="X1416" s="368">
        <v>600</v>
      </c>
      <c r="Y1416" s="368">
        <v>99</v>
      </c>
      <c r="Z1416" s="368"/>
      <c r="AA1416" s="368"/>
      <c r="AB1416" s="368"/>
      <c r="AC1416" s="368"/>
      <c r="AD1416" s="368"/>
      <c r="AE1416" s="368"/>
      <c r="AF1416" s="377"/>
      <c r="AJ1416" s="337">
        <v>396</v>
      </c>
    </row>
    <row r="1417" spans="1:36">
      <c r="A1417" s="332">
        <f t="shared" si="48"/>
        <v>397</v>
      </c>
      <c r="G1417" s="349" t="s">
        <v>2544</v>
      </c>
      <c r="H1417" s="368" t="s">
        <v>2545</v>
      </c>
      <c r="I1417" s="368" t="s">
        <v>2546</v>
      </c>
      <c r="J1417" s="368" t="s">
        <v>1375</v>
      </c>
      <c r="K1417" s="368" t="s">
        <v>2546</v>
      </c>
      <c r="L1417" s="368" t="s">
        <v>1375</v>
      </c>
      <c r="M1417" s="368" t="s">
        <v>1384</v>
      </c>
      <c r="N1417" s="368" t="s">
        <v>867</v>
      </c>
      <c r="O1417" s="376">
        <v>78459</v>
      </c>
      <c r="P1417" s="368" t="s">
        <v>1385</v>
      </c>
      <c r="Q1417" s="368" t="s">
        <v>1386</v>
      </c>
      <c r="R1417" s="368" t="s">
        <v>867</v>
      </c>
      <c r="S1417" s="368" t="s">
        <v>864</v>
      </c>
      <c r="T1417" s="368" t="s">
        <v>362</v>
      </c>
      <c r="U1417" s="368" t="s">
        <v>867</v>
      </c>
      <c r="V1417" s="368" t="s">
        <v>867</v>
      </c>
      <c r="W1417" s="368" t="s">
        <v>1378</v>
      </c>
      <c r="X1417" s="368">
        <v>0</v>
      </c>
      <c r="Y1417" s="368">
        <v>99</v>
      </c>
      <c r="Z1417" s="368"/>
      <c r="AA1417" s="368"/>
      <c r="AB1417" s="368"/>
      <c r="AC1417" s="368"/>
      <c r="AD1417" s="368"/>
      <c r="AE1417" s="368"/>
      <c r="AF1417" s="377"/>
      <c r="AJ1417" s="337">
        <v>397</v>
      </c>
    </row>
    <row r="1418" spans="1:36">
      <c r="A1418" s="332">
        <f t="shared" si="48"/>
        <v>398</v>
      </c>
      <c r="G1418" s="349" t="s">
        <v>2547</v>
      </c>
      <c r="H1418" s="368" t="s">
        <v>2548</v>
      </c>
      <c r="I1418" s="368" t="s">
        <v>2549</v>
      </c>
      <c r="J1418" s="368" t="s">
        <v>1442</v>
      </c>
      <c r="K1418" s="368" t="s">
        <v>2549</v>
      </c>
      <c r="L1418" s="368" t="s">
        <v>1442</v>
      </c>
      <c r="M1418" s="368" t="s">
        <v>1376</v>
      </c>
      <c r="N1418" s="368" t="s">
        <v>867</v>
      </c>
      <c r="O1418" s="376">
        <v>77723</v>
      </c>
      <c r="P1418" s="368" t="s">
        <v>1385</v>
      </c>
      <c r="Q1418" s="368" t="s">
        <v>1386</v>
      </c>
      <c r="R1418" s="368" t="s">
        <v>867</v>
      </c>
      <c r="S1418" s="368" t="s">
        <v>864</v>
      </c>
      <c r="T1418" s="368" t="s">
        <v>362</v>
      </c>
      <c r="U1418" s="368" t="s">
        <v>867</v>
      </c>
      <c r="V1418" s="368" t="s">
        <v>867</v>
      </c>
      <c r="W1418" s="368" t="s">
        <v>1378</v>
      </c>
      <c r="X1418" s="368">
        <v>0</v>
      </c>
      <c r="Y1418" s="368">
        <v>99</v>
      </c>
      <c r="Z1418" s="368"/>
      <c r="AA1418" s="368"/>
      <c r="AB1418" s="368"/>
      <c r="AC1418" s="368"/>
      <c r="AD1418" s="368"/>
      <c r="AE1418" s="368"/>
      <c r="AF1418" s="377"/>
      <c r="AJ1418" s="337">
        <v>398</v>
      </c>
    </row>
    <row r="1419" spans="1:36">
      <c r="A1419" s="332">
        <f t="shared" si="48"/>
        <v>399</v>
      </c>
      <c r="G1419" s="349" t="s">
        <v>2550</v>
      </c>
      <c r="H1419" s="368" t="s">
        <v>2218</v>
      </c>
      <c r="I1419" s="368" t="s">
        <v>2551</v>
      </c>
      <c r="J1419" s="368" t="s">
        <v>1375</v>
      </c>
      <c r="K1419" s="368" t="s">
        <v>2551</v>
      </c>
      <c r="L1419" s="368" t="s">
        <v>1375</v>
      </c>
      <c r="M1419" s="368" t="s">
        <v>1384</v>
      </c>
      <c r="N1419" s="368" t="s">
        <v>867</v>
      </c>
      <c r="O1419" s="376">
        <v>20867</v>
      </c>
      <c r="P1419" s="368" t="s">
        <v>1385</v>
      </c>
      <c r="Q1419" s="368" t="s">
        <v>1443</v>
      </c>
      <c r="R1419" s="368" t="s">
        <v>867</v>
      </c>
      <c r="S1419" s="368" t="s">
        <v>864</v>
      </c>
      <c r="T1419" s="368" t="s">
        <v>362</v>
      </c>
      <c r="U1419" s="368" t="s">
        <v>867</v>
      </c>
      <c r="V1419" s="368" t="s">
        <v>867</v>
      </c>
      <c r="W1419" s="368" t="s">
        <v>1378</v>
      </c>
      <c r="X1419" s="368">
        <v>0</v>
      </c>
      <c r="Y1419" s="368">
        <v>99</v>
      </c>
      <c r="Z1419" s="368"/>
      <c r="AA1419" s="368"/>
      <c r="AB1419" s="368"/>
      <c r="AC1419" s="368"/>
      <c r="AD1419" s="368"/>
      <c r="AE1419" s="368"/>
      <c r="AF1419" s="377"/>
      <c r="AJ1419" s="337">
        <v>399</v>
      </c>
    </row>
    <row r="1420" spans="1:36">
      <c r="A1420" s="332">
        <f t="shared" si="48"/>
        <v>400</v>
      </c>
      <c r="G1420" s="349" t="s">
        <v>2552</v>
      </c>
      <c r="H1420" s="368" t="s">
        <v>2553</v>
      </c>
      <c r="I1420" s="368" t="s">
        <v>1418</v>
      </c>
      <c r="J1420" s="368" t="s">
        <v>1375</v>
      </c>
      <c r="K1420" s="368" t="s">
        <v>1418</v>
      </c>
      <c r="L1420" s="368" t="s">
        <v>1375</v>
      </c>
      <c r="M1420" s="368" t="s">
        <v>1384</v>
      </c>
      <c r="N1420" s="368" t="s">
        <v>867</v>
      </c>
      <c r="O1420" s="376">
        <v>98715</v>
      </c>
      <c r="P1420" s="368" t="s">
        <v>1385</v>
      </c>
      <c r="Q1420" s="368" t="s">
        <v>1386</v>
      </c>
      <c r="R1420" s="368" t="s">
        <v>867</v>
      </c>
      <c r="S1420" s="368" t="s">
        <v>864</v>
      </c>
      <c r="T1420" s="368" t="s">
        <v>362</v>
      </c>
      <c r="U1420" s="368" t="s">
        <v>867</v>
      </c>
      <c r="V1420" s="368" t="s">
        <v>867</v>
      </c>
      <c r="W1420" s="368" t="s">
        <v>1378</v>
      </c>
      <c r="X1420" s="368">
        <v>3575</v>
      </c>
      <c r="Y1420" s="368">
        <v>99</v>
      </c>
      <c r="Z1420" s="368"/>
      <c r="AA1420" s="368"/>
      <c r="AB1420" s="368"/>
      <c r="AC1420" s="368"/>
      <c r="AD1420" s="368"/>
      <c r="AE1420" s="368"/>
      <c r="AF1420" s="377"/>
      <c r="AJ1420" s="337">
        <v>400</v>
      </c>
    </row>
    <row r="1421" spans="1:36">
      <c r="A1421" s="332">
        <f t="shared" si="48"/>
        <v>401</v>
      </c>
      <c r="G1421" s="349" t="s">
        <v>2554</v>
      </c>
      <c r="H1421" s="368" t="s">
        <v>2555</v>
      </c>
      <c r="I1421" s="368" t="s">
        <v>2556</v>
      </c>
      <c r="J1421" s="368" t="s">
        <v>1375</v>
      </c>
      <c r="K1421" s="368" t="s">
        <v>2556</v>
      </c>
      <c r="L1421" s="368" t="s">
        <v>1375</v>
      </c>
      <c r="M1421" s="368" t="s">
        <v>1384</v>
      </c>
      <c r="N1421" s="368" t="s">
        <v>867</v>
      </c>
      <c r="O1421" s="376">
        <v>74864</v>
      </c>
      <c r="P1421" s="368" t="s">
        <v>1385</v>
      </c>
      <c r="Q1421" s="368" t="s">
        <v>1386</v>
      </c>
      <c r="R1421" s="368" t="s">
        <v>867</v>
      </c>
      <c r="S1421" s="368" t="s">
        <v>864</v>
      </c>
      <c r="T1421" s="368" t="s">
        <v>362</v>
      </c>
      <c r="U1421" s="368" t="s">
        <v>867</v>
      </c>
      <c r="V1421" s="368" t="s">
        <v>867</v>
      </c>
      <c r="W1421" s="368" t="s">
        <v>1378</v>
      </c>
      <c r="X1421" s="368">
        <v>0</v>
      </c>
      <c r="Y1421" s="368">
        <v>99</v>
      </c>
      <c r="Z1421" s="368"/>
      <c r="AA1421" s="368"/>
      <c r="AB1421" s="368"/>
      <c r="AC1421" s="368"/>
      <c r="AD1421" s="368"/>
      <c r="AE1421" s="368"/>
      <c r="AF1421" s="377"/>
      <c r="AJ1421" s="337">
        <v>401</v>
      </c>
    </row>
    <row r="1422" spans="1:36">
      <c r="A1422" s="332">
        <f t="shared" si="48"/>
        <v>402</v>
      </c>
      <c r="G1422" s="349" t="s">
        <v>2557</v>
      </c>
      <c r="H1422" s="368" t="s">
        <v>2558</v>
      </c>
      <c r="I1422" s="368" t="s">
        <v>2559</v>
      </c>
      <c r="J1422" s="368" t="s">
        <v>1375</v>
      </c>
      <c r="K1422" s="368" t="s">
        <v>2559</v>
      </c>
      <c r="L1422" s="368" t="s">
        <v>1375</v>
      </c>
      <c r="M1422" s="368" t="s">
        <v>1384</v>
      </c>
      <c r="N1422" s="368" t="s">
        <v>867</v>
      </c>
      <c r="O1422" s="376">
        <v>89511</v>
      </c>
      <c r="P1422" s="368" t="s">
        <v>1385</v>
      </c>
      <c r="Q1422" s="368" t="s">
        <v>1386</v>
      </c>
      <c r="R1422" s="368" t="s">
        <v>867</v>
      </c>
      <c r="S1422" s="368" t="s">
        <v>864</v>
      </c>
      <c r="T1422" s="368" t="s">
        <v>362</v>
      </c>
      <c r="U1422" s="368" t="s">
        <v>867</v>
      </c>
      <c r="V1422" s="368" t="s">
        <v>867</v>
      </c>
      <c r="W1422" s="368" t="s">
        <v>1378</v>
      </c>
      <c r="X1422" s="368">
        <v>0</v>
      </c>
      <c r="Y1422" s="368">
        <v>99</v>
      </c>
      <c r="Z1422" s="368"/>
      <c r="AA1422" s="368"/>
      <c r="AB1422" s="368"/>
      <c r="AC1422" s="368"/>
      <c r="AD1422" s="368"/>
      <c r="AE1422" s="368"/>
      <c r="AF1422" s="377"/>
      <c r="AJ1422" s="337">
        <v>402</v>
      </c>
    </row>
    <row r="1423" spans="1:36">
      <c r="A1423" s="332">
        <f t="shared" si="48"/>
        <v>403</v>
      </c>
      <c r="G1423" s="349" t="s">
        <v>2560</v>
      </c>
      <c r="H1423" s="368" t="s">
        <v>2561</v>
      </c>
      <c r="I1423" s="368" t="s">
        <v>2562</v>
      </c>
      <c r="J1423" s="368" t="s">
        <v>1375</v>
      </c>
      <c r="K1423" s="368" t="s">
        <v>2562</v>
      </c>
      <c r="L1423" s="368" t="s">
        <v>1375</v>
      </c>
      <c r="M1423" s="368" t="s">
        <v>1376</v>
      </c>
      <c r="N1423" s="368" t="s">
        <v>867</v>
      </c>
      <c r="O1423" s="376">
        <v>28105</v>
      </c>
      <c r="P1423" s="368" t="s">
        <v>1385</v>
      </c>
      <c r="Q1423" s="368" t="s">
        <v>1386</v>
      </c>
      <c r="R1423" s="368" t="s">
        <v>867</v>
      </c>
      <c r="S1423" s="368" t="s">
        <v>864</v>
      </c>
      <c r="T1423" s="368" t="s">
        <v>362</v>
      </c>
      <c r="U1423" s="368" t="s">
        <v>867</v>
      </c>
      <c r="V1423" s="368" t="s">
        <v>867</v>
      </c>
      <c r="W1423" s="368" t="s">
        <v>1378</v>
      </c>
      <c r="X1423" s="368">
        <v>0</v>
      </c>
      <c r="Y1423" s="368">
        <v>99</v>
      </c>
      <c r="Z1423" s="368"/>
      <c r="AA1423" s="368"/>
      <c r="AB1423" s="368"/>
      <c r="AC1423" s="368"/>
      <c r="AD1423" s="368"/>
      <c r="AE1423" s="368"/>
      <c r="AF1423" s="377"/>
      <c r="AJ1423" s="337">
        <v>403</v>
      </c>
    </row>
    <row r="1424" spans="1:36">
      <c r="A1424" s="332">
        <f t="shared" si="48"/>
        <v>404</v>
      </c>
      <c r="G1424" s="349" t="s">
        <v>2563</v>
      </c>
      <c r="H1424" s="368" t="s">
        <v>2564</v>
      </c>
      <c r="I1424" s="368" t="s">
        <v>2565</v>
      </c>
      <c r="J1424" s="368" t="s">
        <v>1433</v>
      </c>
      <c r="K1424" s="368" t="s">
        <v>2565</v>
      </c>
      <c r="L1424" s="368" t="s">
        <v>1433</v>
      </c>
      <c r="M1424" s="368" t="s">
        <v>1376</v>
      </c>
      <c r="N1424" s="368" t="s">
        <v>867</v>
      </c>
      <c r="O1424" s="376">
        <v>6049</v>
      </c>
      <c r="P1424" s="368" t="s">
        <v>339</v>
      </c>
      <c r="Q1424" s="368" t="s">
        <v>1386</v>
      </c>
      <c r="R1424" s="368" t="s">
        <v>867</v>
      </c>
      <c r="S1424" s="368" t="s">
        <v>864</v>
      </c>
      <c r="T1424" s="368" t="s">
        <v>362</v>
      </c>
      <c r="U1424" s="368" t="s">
        <v>867</v>
      </c>
      <c r="V1424" s="368" t="s">
        <v>867</v>
      </c>
      <c r="W1424" s="368" t="s">
        <v>1378</v>
      </c>
      <c r="X1424" s="368">
        <v>0</v>
      </c>
      <c r="Y1424" s="368">
        <v>99</v>
      </c>
      <c r="Z1424" s="368"/>
      <c r="AA1424" s="368"/>
      <c r="AB1424" s="368"/>
      <c r="AC1424" s="368"/>
      <c r="AD1424" s="368"/>
      <c r="AE1424" s="368"/>
      <c r="AF1424" s="377"/>
      <c r="AJ1424" s="337">
        <v>404</v>
      </c>
    </row>
    <row r="1425" spans="1:36">
      <c r="A1425" s="332">
        <f t="shared" si="48"/>
        <v>405</v>
      </c>
      <c r="G1425" s="349" t="s">
        <v>2566</v>
      </c>
      <c r="H1425" s="368" t="s">
        <v>2567</v>
      </c>
      <c r="I1425" s="368" t="s">
        <v>2568</v>
      </c>
      <c r="J1425" s="368" t="s">
        <v>1375</v>
      </c>
      <c r="K1425" s="368" t="s">
        <v>2569</v>
      </c>
      <c r="L1425" s="368" t="s">
        <v>1375</v>
      </c>
      <c r="M1425" s="368" t="s">
        <v>1376</v>
      </c>
      <c r="N1425" s="368" t="s">
        <v>867</v>
      </c>
      <c r="O1425" s="376">
        <v>91291</v>
      </c>
      <c r="P1425" s="368" t="s">
        <v>1385</v>
      </c>
      <c r="Q1425" s="368" t="s">
        <v>1386</v>
      </c>
      <c r="R1425" s="368" t="s">
        <v>867</v>
      </c>
      <c r="S1425" s="368" t="s">
        <v>864</v>
      </c>
      <c r="T1425" s="368" t="s">
        <v>1387</v>
      </c>
      <c r="U1425" s="368" t="s">
        <v>867</v>
      </c>
      <c r="V1425" s="368" t="s">
        <v>867</v>
      </c>
      <c r="W1425" s="368" t="s">
        <v>1378</v>
      </c>
      <c r="X1425" s="368">
        <v>0</v>
      </c>
      <c r="Y1425" s="368">
        <v>99</v>
      </c>
      <c r="Z1425" s="368"/>
      <c r="AA1425" s="368"/>
      <c r="AB1425" s="368"/>
      <c r="AC1425" s="368"/>
      <c r="AD1425" s="368"/>
      <c r="AE1425" s="368"/>
      <c r="AF1425" s="377"/>
      <c r="AJ1425" s="337">
        <v>405</v>
      </c>
    </row>
    <row r="1426" spans="1:36">
      <c r="A1426" s="332">
        <f t="shared" si="48"/>
        <v>406</v>
      </c>
      <c r="G1426" s="349" t="s">
        <v>2570</v>
      </c>
      <c r="H1426" s="368" t="s">
        <v>2571</v>
      </c>
      <c r="I1426" s="368" t="s">
        <v>2572</v>
      </c>
      <c r="J1426" s="368" t="s">
        <v>1375</v>
      </c>
      <c r="K1426" s="368" t="s">
        <v>2572</v>
      </c>
      <c r="L1426" s="368" t="s">
        <v>1375</v>
      </c>
      <c r="M1426" s="368" t="s">
        <v>1384</v>
      </c>
      <c r="N1426" s="368" t="s">
        <v>867</v>
      </c>
      <c r="O1426" s="376">
        <v>19975</v>
      </c>
      <c r="P1426" s="368" t="s">
        <v>1385</v>
      </c>
      <c r="Q1426" s="368" t="s">
        <v>1443</v>
      </c>
      <c r="R1426" s="368" t="s">
        <v>867</v>
      </c>
      <c r="S1426" s="368" t="s">
        <v>864</v>
      </c>
      <c r="T1426" s="368" t="s">
        <v>362</v>
      </c>
      <c r="U1426" s="368" t="s">
        <v>867</v>
      </c>
      <c r="V1426" s="368" t="s">
        <v>867</v>
      </c>
      <c r="W1426" s="368" t="s">
        <v>1378</v>
      </c>
      <c r="X1426" s="368">
        <v>0</v>
      </c>
      <c r="Y1426" s="368">
        <v>99</v>
      </c>
      <c r="Z1426" s="368"/>
      <c r="AA1426" s="368"/>
      <c r="AB1426" s="368"/>
      <c r="AC1426" s="368"/>
      <c r="AD1426" s="368"/>
      <c r="AE1426" s="368"/>
      <c r="AF1426" s="377"/>
      <c r="AJ1426" s="337">
        <v>406</v>
      </c>
    </row>
    <row r="1427" spans="1:36">
      <c r="A1427" s="332">
        <f t="shared" si="48"/>
        <v>407</v>
      </c>
      <c r="G1427" s="349" t="s">
        <v>2573</v>
      </c>
      <c r="H1427" s="368" t="s">
        <v>2574</v>
      </c>
      <c r="I1427" s="368" t="s">
        <v>2575</v>
      </c>
      <c r="J1427" s="368" t="s">
        <v>1433</v>
      </c>
      <c r="K1427" s="368" t="s">
        <v>2575</v>
      </c>
      <c r="L1427" s="368" t="s">
        <v>1433</v>
      </c>
      <c r="M1427" s="368" t="s">
        <v>1376</v>
      </c>
      <c r="N1427" s="368" t="s">
        <v>867</v>
      </c>
      <c r="O1427" s="376">
        <v>92798</v>
      </c>
      <c r="P1427" s="368" t="s">
        <v>1385</v>
      </c>
      <c r="Q1427" s="368" t="s">
        <v>1386</v>
      </c>
      <c r="R1427" s="368" t="s">
        <v>867</v>
      </c>
      <c r="S1427" s="368" t="s">
        <v>864</v>
      </c>
      <c r="T1427" s="368" t="s">
        <v>362</v>
      </c>
      <c r="U1427" s="368" t="s">
        <v>867</v>
      </c>
      <c r="V1427" s="368" t="s">
        <v>867</v>
      </c>
      <c r="W1427" s="368" t="s">
        <v>1378</v>
      </c>
      <c r="X1427" s="368">
        <v>0</v>
      </c>
      <c r="Y1427" s="368">
        <v>99</v>
      </c>
      <c r="Z1427" s="368"/>
      <c r="AA1427" s="368"/>
      <c r="AB1427" s="368"/>
      <c r="AC1427" s="368"/>
      <c r="AD1427" s="368"/>
      <c r="AE1427" s="368"/>
      <c r="AF1427" s="377"/>
      <c r="AJ1427" s="337">
        <v>407</v>
      </c>
    </row>
    <row r="1428" spans="1:36">
      <c r="A1428" s="332">
        <f t="shared" si="48"/>
        <v>408</v>
      </c>
      <c r="G1428" s="349" t="s">
        <v>2576</v>
      </c>
      <c r="H1428" s="368" t="s">
        <v>2577</v>
      </c>
      <c r="I1428" s="368" t="s">
        <v>2466</v>
      </c>
      <c r="J1428" s="368" t="s">
        <v>1375</v>
      </c>
      <c r="K1428" s="368" t="s">
        <v>2466</v>
      </c>
      <c r="L1428" s="368" t="s">
        <v>1375</v>
      </c>
      <c r="M1428" s="368" t="s">
        <v>1376</v>
      </c>
      <c r="N1428" s="368" t="s">
        <v>867</v>
      </c>
      <c r="O1428" s="376">
        <v>4806</v>
      </c>
      <c r="P1428" s="368" t="s">
        <v>1447</v>
      </c>
      <c r="Q1428" s="368" t="s">
        <v>1386</v>
      </c>
      <c r="R1428" s="368" t="s">
        <v>867</v>
      </c>
      <c r="S1428" s="368" t="s">
        <v>864</v>
      </c>
      <c r="T1428" s="368" t="s">
        <v>362</v>
      </c>
      <c r="U1428" s="368" t="s">
        <v>867</v>
      </c>
      <c r="V1428" s="368" t="s">
        <v>867</v>
      </c>
      <c r="W1428" s="368" t="s">
        <v>1378</v>
      </c>
      <c r="X1428" s="368">
        <v>100</v>
      </c>
      <c r="Y1428" s="368">
        <v>99</v>
      </c>
      <c r="Z1428" s="368"/>
      <c r="AA1428" s="368"/>
      <c r="AB1428" s="368"/>
      <c r="AC1428" s="368"/>
      <c r="AD1428" s="368"/>
      <c r="AE1428" s="368"/>
      <c r="AF1428" s="377"/>
      <c r="AJ1428" s="337">
        <v>408</v>
      </c>
    </row>
    <row r="1429" spans="1:36">
      <c r="A1429" s="332">
        <f t="shared" si="48"/>
        <v>409</v>
      </c>
      <c r="G1429" s="349" t="s">
        <v>2578</v>
      </c>
      <c r="H1429" s="368" t="s">
        <v>2579</v>
      </c>
      <c r="I1429" s="368" t="s">
        <v>2580</v>
      </c>
      <c r="J1429" s="368" t="s">
        <v>1375</v>
      </c>
      <c r="K1429" s="368" t="s">
        <v>2580</v>
      </c>
      <c r="L1429" s="368" t="s">
        <v>1375</v>
      </c>
      <c r="M1429" s="368" t="s">
        <v>1376</v>
      </c>
      <c r="N1429" s="368" t="s">
        <v>867</v>
      </c>
      <c r="O1429" s="376">
        <v>88954</v>
      </c>
      <c r="P1429" s="368" t="s">
        <v>1385</v>
      </c>
      <c r="Q1429" s="368" t="s">
        <v>1443</v>
      </c>
      <c r="R1429" s="368" t="s">
        <v>867</v>
      </c>
      <c r="S1429" s="368" t="s">
        <v>864</v>
      </c>
      <c r="T1429" s="368" t="s">
        <v>362</v>
      </c>
      <c r="U1429" s="368" t="s">
        <v>867</v>
      </c>
      <c r="V1429" s="368" t="s">
        <v>867</v>
      </c>
      <c r="W1429" s="368" t="s">
        <v>1378</v>
      </c>
      <c r="X1429" s="368">
        <v>0</v>
      </c>
      <c r="Y1429" s="368">
        <v>99</v>
      </c>
      <c r="Z1429" s="368"/>
      <c r="AA1429" s="368"/>
      <c r="AB1429" s="368"/>
      <c r="AC1429" s="368"/>
      <c r="AD1429" s="368"/>
      <c r="AE1429" s="368"/>
      <c r="AF1429" s="377"/>
      <c r="AJ1429" s="337">
        <v>409</v>
      </c>
    </row>
    <row r="1430" spans="1:36">
      <c r="A1430" s="332">
        <f t="shared" si="48"/>
        <v>410</v>
      </c>
      <c r="G1430" s="349" t="s">
        <v>2581</v>
      </c>
      <c r="H1430" s="368" t="s">
        <v>2582</v>
      </c>
      <c r="I1430" s="368" t="s">
        <v>1529</v>
      </c>
      <c r="J1430" s="368" t="s">
        <v>1403</v>
      </c>
      <c r="K1430" s="368" t="s">
        <v>2546</v>
      </c>
      <c r="L1430" s="368" t="s">
        <v>1375</v>
      </c>
      <c r="M1430" s="368" t="s">
        <v>1384</v>
      </c>
      <c r="N1430" s="368" t="s">
        <v>867</v>
      </c>
      <c r="O1430" s="376">
        <v>9546</v>
      </c>
      <c r="P1430" s="368" t="s">
        <v>1385</v>
      </c>
      <c r="Q1430" s="368" t="s">
        <v>1386</v>
      </c>
      <c r="R1430" s="368" t="s">
        <v>867</v>
      </c>
      <c r="S1430" s="368" t="s">
        <v>864</v>
      </c>
      <c r="T1430" s="368" t="s">
        <v>362</v>
      </c>
      <c r="U1430" s="368" t="s">
        <v>867</v>
      </c>
      <c r="V1430" s="368" t="s">
        <v>867</v>
      </c>
      <c r="W1430" s="368" t="s">
        <v>1378</v>
      </c>
      <c r="X1430" s="368">
        <v>3671</v>
      </c>
      <c r="Y1430" s="368">
        <v>99</v>
      </c>
      <c r="Z1430" s="368"/>
      <c r="AA1430" s="368"/>
      <c r="AB1430" s="368"/>
      <c r="AC1430" s="368"/>
      <c r="AD1430" s="368"/>
      <c r="AE1430" s="368"/>
      <c r="AF1430" s="377"/>
      <c r="AJ1430" s="337">
        <v>410</v>
      </c>
    </row>
    <row r="1431" spans="1:36">
      <c r="A1431" s="332">
        <f t="shared" si="48"/>
        <v>411</v>
      </c>
      <c r="G1431" s="349" t="s">
        <v>2583</v>
      </c>
      <c r="H1431" s="368" t="s">
        <v>2584</v>
      </c>
      <c r="I1431" s="368" t="s">
        <v>2585</v>
      </c>
      <c r="J1431" s="368" t="s">
        <v>1375</v>
      </c>
      <c r="K1431" s="368" t="s">
        <v>2585</v>
      </c>
      <c r="L1431" s="368" t="s">
        <v>1375</v>
      </c>
      <c r="M1431" s="368" t="s">
        <v>1384</v>
      </c>
      <c r="N1431" s="368" t="s">
        <v>867</v>
      </c>
      <c r="O1431" s="376">
        <v>19790</v>
      </c>
      <c r="P1431" s="368" t="s">
        <v>1385</v>
      </c>
      <c r="Q1431" s="368" t="s">
        <v>1443</v>
      </c>
      <c r="R1431" s="368" t="s">
        <v>867</v>
      </c>
      <c r="S1431" s="368" t="s">
        <v>864</v>
      </c>
      <c r="T1431" s="368" t="s">
        <v>362</v>
      </c>
      <c r="U1431" s="368" t="s">
        <v>867</v>
      </c>
      <c r="V1431" s="368" t="s">
        <v>867</v>
      </c>
      <c r="W1431" s="368" t="s">
        <v>1378</v>
      </c>
      <c r="X1431" s="368">
        <v>0</v>
      </c>
      <c r="Y1431" s="368">
        <v>99</v>
      </c>
      <c r="Z1431" s="368"/>
      <c r="AA1431" s="368"/>
      <c r="AB1431" s="368"/>
      <c r="AC1431" s="368"/>
      <c r="AD1431" s="368"/>
      <c r="AE1431" s="368"/>
      <c r="AF1431" s="377"/>
      <c r="AJ1431" s="337">
        <v>411</v>
      </c>
    </row>
    <row r="1432" spans="1:36">
      <c r="A1432" s="332">
        <f t="shared" si="48"/>
        <v>412</v>
      </c>
      <c r="G1432" s="349" t="s">
        <v>2586</v>
      </c>
      <c r="H1432" s="368" t="s">
        <v>1520</v>
      </c>
      <c r="I1432" s="368" t="s">
        <v>2587</v>
      </c>
      <c r="J1432" s="368" t="s">
        <v>1375</v>
      </c>
      <c r="K1432" s="368" t="s">
        <v>2587</v>
      </c>
      <c r="L1432" s="368" t="s">
        <v>1375</v>
      </c>
      <c r="M1432" s="368" t="s">
        <v>1384</v>
      </c>
      <c r="N1432" s="368" t="s">
        <v>867</v>
      </c>
      <c r="O1432" s="376">
        <v>23583</v>
      </c>
      <c r="P1432" s="368" t="s">
        <v>1385</v>
      </c>
      <c r="Q1432" s="368" t="s">
        <v>1386</v>
      </c>
      <c r="R1432" s="368" t="s">
        <v>867</v>
      </c>
      <c r="S1432" s="368" t="s">
        <v>864</v>
      </c>
      <c r="T1432" s="368" t="s">
        <v>362</v>
      </c>
      <c r="U1432" s="368" t="s">
        <v>867</v>
      </c>
      <c r="V1432" s="368" t="s">
        <v>867</v>
      </c>
      <c r="W1432" s="368" t="s">
        <v>1378</v>
      </c>
      <c r="X1432" s="368">
        <v>0</v>
      </c>
      <c r="Y1432" s="368">
        <v>99</v>
      </c>
      <c r="Z1432" s="368"/>
      <c r="AA1432" s="368"/>
      <c r="AB1432" s="368"/>
      <c r="AC1432" s="368"/>
      <c r="AD1432" s="368"/>
      <c r="AE1432" s="368"/>
      <c r="AF1432" s="377"/>
      <c r="AJ1432" s="337">
        <v>412</v>
      </c>
    </row>
    <row r="1433" spans="1:36">
      <c r="A1433" s="332">
        <f t="shared" si="48"/>
        <v>413</v>
      </c>
      <c r="G1433" s="349" t="s">
        <v>2588</v>
      </c>
      <c r="H1433" s="368" t="s">
        <v>2589</v>
      </c>
      <c r="I1433" s="368" t="s">
        <v>2590</v>
      </c>
      <c r="J1433" s="368" t="s">
        <v>1399</v>
      </c>
      <c r="K1433" s="368" t="s">
        <v>2590</v>
      </c>
      <c r="L1433" s="368" t="s">
        <v>1399</v>
      </c>
      <c r="M1433" s="368" t="s">
        <v>1384</v>
      </c>
      <c r="N1433" s="368" t="s">
        <v>867</v>
      </c>
      <c r="O1433" s="376">
        <v>66220</v>
      </c>
      <c r="P1433" s="368" t="s">
        <v>1385</v>
      </c>
      <c r="Q1433" s="368" t="s">
        <v>1386</v>
      </c>
      <c r="R1433" s="368" t="s">
        <v>867</v>
      </c>
      <c r="S1433" s="368" t="s">
        <v>867</v>
      </c>
      <c r="T1433" s="368" t="s">
        <v>362</v>
      </c>
      <c r="U1433" s="368" t="s">
        <v>867</v>
      </c>
      <c r="V1433" s="368" t="s">
        <v>867</v>
      </c>
      <c r="W1433" s="368" t="s">
        <v>1378</v>
      </c>
      <c r="X1433" s="368">
        <v>0</v>
      </c>
      <c r="Y1433" s="368">
        <v>99</v>
      </c>
      <c r="Z1433" s="368"/>
      <c r="AA1433" s="368"/>
      <c r="AB1433" s="368"/>
      <c r="AC1433" s="368"/>
      <c r="AD1433" s="368"/>
      <c r="AE1433" s="368"/>
      <c r="AF1433" s="377"/>
      <c r="AJ1433" s="337">
        <v>413</v>
      </c>
    </row>
    <row r="1434" spans="1:36">
      <c r="A1434" s="332">
        <f t="shared" si="48"/>
        <v>414</v>
      </c>
      <c r="G1434" s="349" t="s">
        <v>2591</v>
      </c>
      <c r="H1434" s="368" t="s">
        <v>1915</v>
      </c>
      <c r="I1434" s="368" t="s">
        <v>2592</v>
      </c>
      <c r="J1434" s="368" t="s">
        <v>1375</v>
      </c>
      <c r="K1434" s="368" t="s">
        <v>2592</v>
      </c>
      <c r="L1434" s="368" t="s">
        <v>1375</v>
      </c>
      <c r="M1434" s="368" t="s">
        <v>1384</v>
      </c>
      <c r="N1434" s="368" t="s">
        <v>867</v>
      </c>
      <c r="O1434" s="376">
        <v>70752</v>
      </c>
      <c r="P1434" s="368" t="s">
        <v>1385</v>
      </c>
      <c r="Q1434" s="368" t="s">
        <v>1386</v>
      </c>
      <c r="R1434" s="368" t="s">
        <v>867</v>
      </c>
      <c r="S1434" s="368" t="s">
        <v>864</v>
      </c>
      <c r="T1434" s="368" t="s">
        <v>362</v>
      </c>
      <c r="U1434" s="368" t="s">
        <v>867</v>
      </c>
      <c r="V1434" s="368" t="s">
        <v>867</v>
      </c>
      <c r="W1434" s="368" t="s">
        <v>1378</v>
      </c>
      <c r="X1434" s="368">
        <v>300</v>
      </c>
      <c r="Y1434" s="368">
        <v>99</v>
      </c>
      <c r="Z1434" s="368"/>
      <c r="AA1434" s="368"/>
      <c r="AB1434" s="368"/>
      <c r="AC1434" s="368"/>
      <c r="AD1434" s="368"/>
      <c r="AE1434" s="368"/>
      <c r="AF1434" s="377"/>
      <c r="AJ1434" s="337">
        <v>414</v>
      </c>
    </row>
    <row r="1435" spans="1:36">
      <c r="A1435" s="332">
        <f t="shared" si="48"/>
        <v>415</v>
      </c>
      <c r="G1435" s="349" t="s">
        <v>2593</v>
      </c>
      <c r="H1435" s="368" t="s">
        <v>2594</v>
      </c>
      <c r="I1435" s="368" t="s">
        <v>2595</v>
      </c>
      <c r="J1435" s="368" t="s">
        <v>1522</v>
      </c>
      <c r="K1435" s="368" t="s">
        <v>2595</v>
      </c>
      <c r="L1435" s="368" t="s">
        <v>1522</v>
      </c>
      <c r="M1435" s="368" t="s">
        <v>1384</v>
      </c>
      <c r="N1435" s="368" t="s">
        <v>867</v>
      </c>
      <c r="O1435" s="376">
        <v>89934</v>
      </c>
      <c r="P1435" s="368" t="s">
        <v>1385</v>
      </c>
      <c r="Q1435" s="368" t="s">
        <v>1386</v>
      </c>
      <c r="R1435" s="368" t="s">
        <v>867</v>
      </c>
      <c r="S1435" s="368" t="s">
        <v>864</v>
      </c>
      <c r="T1435" s="368" t="s">
        <v>362</v>
      </c>
      <c r="U1435" s="368" t="s">
        <v>867</v>
      </c>
      <c r="V1435" s="368" t="s">
        <v>867</v>
      </c>
      <c r="W1435" s="368" t="s">
        <v>1378</v>
      </c>
      <c r="X1435" s="368">
        <v>0</v>
      </c>
      <c r="Y1435" s="368">
        <v>99</v>
      </c>
      <c r="Z1435" s="368"/>
      <c r="AA1435" s="368"/>
      <c r="AB1435" s="368"/>
      <c r="AC1435" s="368"/>
      <c r="AD1435" s="368"/>
      <c r="AE1435" s="368"/>
      <c r="AF1435" s="377"/>
      <c r="AJ1435" s="337">
        <v>415</v>
      </c>
    </row>
    <row r="1436" spans="1:36">
      <c r="A1436" s="332">
        <f t="shared" si="48"/>
        <v>416</v>
      </c>
      <c r="G1436" s="349" t="s">
        <v>2596</v>
      </c>
      <c r="H1436" s="368" t="s">
        <v>2597</v>
      </c>
      <c r="I1436" s="368" t="s">
        <v>2598</v>
      </c>
      <c r="J1436" s="368" t="s">
        <v>1375</v>
      </c>
      <c r="K1436" s="368" t="s">
        <v>2598</v>
      </c>
      <c r="L1436" s="368" t="s">
        <v>1375</v>
      </c>
      <c r="M1436" s="368" t="s">
        <v>1384</v>
      </c>
      <c r="N1436" s="368" t="s">
        <v>867</v>
      </c>
      <c r="O1436" s="376">
        <v>27796</v>
      </c>
      <c r="P1436" s="368" t="s">
        <v>1385</v>
      </c>
      <c r="Q1436" s="368" t="s">
        <v>1386</v>
      </c>
      <c r="R1436" s="368" t="s">
        <v>867</v>
      </c>
      <c r="S1436" s="368" t="s">
        <v>864</v>
      </c>
      <c r="T1436" s="368" t="s">
        <v>362</v>
      </c>
      <c r="U1436" s="368" t="s">
        <v>867</v>
      </c>
      <c r="V1436" s="368" t="s">
        <v>867</v>
      </c>
      <c r="W1436" s="368" t="s">
        <v>1378</v>
      </c>
      <c r="X1436" s="368">
        <v>500</v>
      </c>
      <c r="Y1436" s="368">
        <v>99</v>
      </c>
      <c r="Z1436" s="368"/>
      <c r="AA1436" s="368"/>
      <c r="AB1436" s="368"/>
      <c r="AC1436" s="368"/>
      <c r="AD1436" s="368"/>
      <c r="AE1436" s="368"/>
      <c r="AF1436" s="377"/>
      <c r="AJ1436" s="337">
        <v>416</v>
      </c>
    </row>
    <row r="1437" spans="1:36">
      <c r="A1437" s="332">
        <f t="shared" si="48"/>
        <v>417</v>
      </c>
      <c r="G1437" s="349" t="s">
        <v>2599</v>
      </c>
      <c r="H1437" s="368" t="s">
        <v>2600</v>
      </c>
      <c r="I1437" s="368" t="s">
        <v>2601</v>
      </c>
      <c r="J1437" s="368" t="s">
        <v>1375</v>
      </c>
      <c r="K1437" s="368" t="s">
        <v>2601</v>
      </c>
      <c r="L1437" s="368" t="s">
        <v>1375</v>
      </c>
      <c r="M1437" s="368" t="s">
        <v>1376</v>
      </c>
      <c r="N1437" s="368" t="s">
        <v>867</v>
      </c>
      <c r="O1437" s="376">
        <v>75744</v>
      </c>
      <c r="P1437" s="368" t="s">
        <v>1447</v>
      </c>
      <c r="Q1437" s="368" t="s">
        <v>1443</v>
      </c>
      <c r="R1437" s="368" t="s">
        <v>867</v>
      </c>
      <c r="S1437" s="368" t="s">
        <v>864</v>
      </c>
      <c r="T1437" s="368" t="s">
        <v>362</v>
      </c>
      <c r="U1437" s="368" t="s">
        <v>867</v>
      </c>
      <c r="V1437" s="368" t="s">
        <v>867</v>
      </c>
      <c r="W1437" s="368" t="s">
        <v>1378</v>
      </c>
      <c r="X1437" s="368">
        <v>0</v>
      </c>
      <c r="Y1437" s="368">
        <v>99</v>
      </c>
      <c r="Z1437" s="368"/>
      <c r="AA1437" s="368"/>
      <c r="AB1437" s="368"/>
      <c r="AC1437" s="368"/>
      <c r="AD1437" s="368"/>
      <c r="AE1437" s="368"/>
      <c r="AF1437" s="377"/>
      <c r="AJ1437" s="337">
        <v>417</v>
      </c>
    </row>
    <row r="1438" spans="1:36">
      <c r="A1438" s="332">
        <f t="shared" si="48"/>
        <v>418</v>
      </c>
      <c r="G1438" s="349" t="s">
        <v>2602</v>
      </c>
      <c r="H1438" s="368" t="s">
        <v>2603</v>
      </c>
      <c r="I1438" s="368" t="s">
        <v>2604</v>
      </c>
      <c r="J1438" s="368" t="s">
        <v>1375</v>
      </c>
      <c r="K1438" s="368" t="s">
        <v>2604</v>
      </c>
      <c r="L1438" s="368" t="s">
        <v>1375</v>
      </c>
      <c r="M1438" s="368" t="s">
        <v>1376</v>
      </c>
      <c r="N1438" s="368" t="s">
        <v>867</v>
      </c>
      <c r="O1438" s="376">
        <v>3701</v>
      </c>
      <c r="P1438" s="368" t="s">
        <v>1385</v>
      </c>
      <c r="Q1438" s="368" t="s">
        <v>1386</v>
      </c>
      <c r="R1438" s="368" t="s">
        <v>867</v>
      </c>
      <c r="S1438" s="368" t="s">
        <v>864</v>
      </c>
      <c r="T1438" s="368" t="s">
        <v>362</v>
      </c>
      <c r="U1438" s="368" t="s">
        <v>867</v>
      </c>
      <c r="V1438" s="368" t="s">
        <v>867</v>
      </c>
      <c r="W1438" s="368" t="s">
        <v>1378</v>
      </c>
      <c r="X1438" s="368">
        <v>0</v>
      </c>
      <c r="Y1438" s="368">
        <v>99</v>
      </c>
      <c r="Z1438" s="368"/>
      <c r="AA1438" s="368"/>
      <c r="AB1438" s="368"/>
      <c r="AC1438" s="368"/>
      <c r="AD1438" s="368"/>
      <c r="AE1438" s="368"/>
      <c r="AF1438" s="377"/>
      <c r="AJ1438" s="337">
        <v>418</v>
      </c>
    </row>
    <row r="1439" spans="1:36">
      <c r="A1439" s="332">
        <f t="shared" si="48"/>
        <v>419</v>
      </c>
      <c r="G1439" s="349" t="s">
        <v>2605</v>
      </c>
      <c r="H1439" s="368" t="s">
        <v>2606</v>
      </c>
      <c r="I1439" s="368" t="s">
        <v>2607</v>
      </c>
      <c r="J1439" s="368" t="s">
        <v>1442</v>
      </c>
      <c r="K1439" s="368" t="s">
        <v>2607</v>
      </c>
      <c r="L1439" s="368" t="s">
        <v>1442</v>
      </c>
      <c r="M1439" s="368" t="s">
        <v>1376</v>
      </c>
      <c r="N1439" s="368" t="s">
        <v>867</v>
      </c>
      <c r="O1439" s="376">
        <v>93300</v>
      </c>
      <c r="P1439" s="368" t="s">
        <v>1447</v>
      </c>
      <c r="Q1439" s="368" t="s">
        <v>1443</v>
      </c>
      <c r="R1439" s="368" t="s">
        <v>867</v>
      </c>
      <c r="S1439" s="368" t="s">
        <v>864</v>
      </c>
      <c r="T1439" s="368" t="s">
        <v>362</v>
      </c>
      <c r="U1439" s="368" t="s">
        <v>867</v>
      </c>
      <c r="V1439" s="368" t="s">
        <v>867</v>
      </c>
      <c r="W1439" s="368" t="s">
        <v>1378</v>
      </c>
      <c r="X1439" s="368">
        <v>0</v>
      </c>
      <c r="Y1439" s="368">
        <v>99</v>
      </c>
      <c r="Z1439" s="368"/>
      <c r="AA1439" s="368"/>
      <c r="AB1439" s="368"/>
      <c r="AC1439" s="368"/>
      <c r="AD1439" s="368"/>
      <c r="AE1439" s="368"/>
      <c r="AF1439" s="377"/>
      <c r="AJ1439" s="337">
        <v>419</v>
      </c>
    </row>
    <row r="1440" spans="1:36">
      <c r="A1440" s="332">
        <f t="shared" si="48"/>
        <v>420</v>
      </c>
      <c r="G1440" s="349" t="s">
        <v>2608</v>
      </c>
      <c r="H1440" s="368" t="s">
        <v>2609</v>
      </c>
      <c r="I1440" s="368" t="s">
        <v>2610</v>
      </c>
      <c r="J1440" s="368" t="s">
        <v>1375</v>
      </c>
      <c r="K1440" s="368" t="s">
        <v>2610</v>
      </c>
      <c r="L1440" s="368" t="s">
        <v>1375</v>
      </c>
      <c r="M1440" s="368" t="s">
        <v>1384</v>
      </c>
      <c r="N1440" s="368" t="s">
        <v>867</v>
      </c>
      <c r="O1440" s="376">
        <v>98583</v>
      </c>
      <c r="P1440" s="368" t="s">
        <v>1385</v>
      </c>
      <c r="Q1440" s="368" t="s">
        <v>1386</v>
      </c>
      <c r="R1440" s="368" t="s">
        <v>867</v>
      </c>
      <c r="S1440" s="368" t="s">
        <v>864</v>
      </c>
      <c r="T1440" s="368" t="s">
        <v>362</v>
      </c>
      <c r="U1440" s="368" t="s">
        <v>867</v>
      </c>
      <c r="V1440" s="368" t="s">
        <v>867</v>
      </c>
      <c r="W1440" s="368" t="s">
        <v>1378</v>
      </c>
      <c r="X1440" s="368">
        <v>0</v>
      </c>
      <c r="Y1440" s="368">
        <v>99</v>
      </c>
      <c r="Z1440" s="368"/>
      <c r="AA1440" s="368"/>
      <c r="AB1440" s="368"/>
      <c r="AC1440" s="368"/>
      <c r="AD1440" s="368"/>
      <c r="AE1440" s="368"/>
      <c r="AF1440" s="377"/>
      <c r="AJ1440" s="337">
        <v>420</v>
      </c>
    </row>
    <row r="1441" spans="1:36">
      <c r="A1441" s="332">
        <f t="shared" si="48"/>
        <v>421</v>
      </c>
      <c r="G1441" s="349" t="s">
        <v>2611</v>
      </c>
      <c r="H1441" s="368" t="s">
        <v>2612</v>
      </c>
      <c r="I1441" s="368" t="s">
        <v>2613</v>
      </c>
      <c r="J1441" s="368" t="s">
        <v>1442</v>
      </c>
      <c r="K1441" s="368" t="s">
        <v>2613</v>
      </c>
      <c r="L1441" s="368" t="s">
        <v>1442</v>
      </c>
      <c r="M1441" s="368" t="s">
        <v>1384</v>
      </c>
      <c r="N1441" s="368" t="s">
        <v>867</v>
      </c>
      <c r="O1441" s="376">
        <v>81203</v>
      </c>
      <c r="P1441" s="368" t="s">
        <v>1385</v>
      </c>
      <c r="Q1441" s="368" t="s">
        <v>1386</v>
      </c>
      <c r="R1441" s="368" t="s">
        <v>867</v>
      </c>
      <c r="S1441" s="368" t="s">
        <v>864</v>
      </c>
      <c r="T1441" s="368" t="s">
        <v>362</v>
      </c>
      <c r="U1441" s="368" t="s">
        <v>867</v>
      </c>
      <c r="V1441" s="368" t="s">
        <v>867</v>
      </c>
      <c r="W1441" s="368" t="s">
        <v>1378</v>
      </c>
      <c r="X1441" s="368">
        <v>1200</v>
      </c>
      <c r="Y1441" s="368">
        <v>99</v>
      </c>
      <c r="Z1441" s="368"/>
      <c r="AA1441" s="368"/>
      <c r="AB1441" s="368"/>
      <c r="AC1441" s="368"/>
      <c r="AD1441" s="368"/>
      <c r="AE1441" s="368"/>
      <c r="AF1441" s="377"/>
      <c r="AJ1441" s="337">
        <v>421</v>
      </c>
    </row>
    <row r="1442" spans="1:36">
      <c r="A1442" s="332">
        <f t="shared" si="48"/>
        <v>422</v>
      </c>
      <c r="G1442" s="349" t="s">
        <v>2614</v>
      </c>
      <c r="H1442" s="368" t="s">
        <v>2615</v>
      </c>
      <c r="I1442" s="368" t="s">
        <v>2607</v>
      </c>
      <c r="J1442" s="368" t="s">
        <v>1442</v>
      </c>
      <c r="K1442" s="368" t="s">
        <v>2607</v>
      </c>
      <c r="L1442" s="368" t="s">
        <v>1442</v>
      </c>
      <c r="M1442" s="368" t="s">
        <v>1384</v>
      </c>
      <c r="N1442" s="368" t="s">
        <v>867</v>
      </c>
      <c r="O1442" s="376">
        <v>64365</v>
      </c>
      <c r="P1442" s="368" t="s">
        <v>1447</v>
      </c>
      <c r="Q1442" s="368" t="s">
        <v>1443</v>
      </c>
      <c r="R1442" s="368" t="s">
        <v>867</v>
      </c>
      <c r="S1442" s="368" t="s">
        <v>864</v>
      </c>
      <c r="T1442" s="368" t="s">
        <v>362</v>
      </c>
      <c r="U1442" s="368" t="s">
        <v>867</v>
      </c>
      <c r="V1442" s="368" t="s">
        <v>867</v>
      </c>
      <c r="W1442" s="368" t="s">
        <v>1378</v>
      </c>
      <c r="X1442" s="368">
        <v>0</v>
      </c>
      <c r="Y1442" s="368">
        <v>99</v>
      </c>
      <c r="Z1442" s="368"/>
      <c r="AA1442" s="368"/>
      <c r="AB1442" s="368"/>
      <c r="AC1442" s="368"/>
      <c r="AD1442" s="368"/>
      <c r="AE1442" s="368"/>
      <c r="AF1442" s="377"/>
      <c r="AJ1442" s="337">
        <v>422</v>
      </c>
    </row>
    <row r="1443" spans="1:36">
      <c r="A1443" s="332">
        <f t="shared" si="48"/>
        <v>423</v>
      </c>
      <c r="G1443" s="349" t="s">
        <v>2616</v>
      </c>
      <c r="H1443" s="368" t="s">
        <v>2617</v>
      </c>
      <c r="I1443" s="368" t="s">
        <v>2618</v>
      </c>
      <c r="J1443" s="368" t="s">
        <v>1522</v>
      </c>
      <c r="K1443" s="368" t="s">
        <v>2618</v>
      </c>
      <c r="L1443" s="368" t="s">
        <v>1522</v>
      </c>
      <c r="M1443" s="368" t="s">
        <v>1376</v>
      </c>
      <c r="N1443" s="368" t="s">
        <v>867</v>
      </c>
      <c r="O1443" s="376">
        <v>14408</v>
      </c>
      <c r="P1443" s="368" t="s">
        <v>1447</v>
      </c>
      <c r="Q1443" s="368" t="s">
        <v>1443</v>
      </c>
      <c r="R1443" s="368" t="s">
        <v>867</v>
      </c>
      <c r="S1443" s="368" t="s">
        <v>864</v>
      </c>
      <c r="T1443" s="368" t="s">
        <v>362</v>
      </c>
      <c r="U1443" s="368" t="s">
        <v>867</v>
      </c>
      <c r="V1443" s="368" t="s">
        <v>867</v>
      </c>
      <c r="W1443" s="368" t="s">
        <v>1378</v>
      </c>
      <c r="X1443" s="368">
        <v>600</v>
      </c>
      <c r="Y1443" s="368">
        <v>99</v>
      </c>
      <c r="Z1443" s="368"/>
      <c r="AA1443" s="368"/>
      <c r="AB1443" s="368"/>
      <c r="AC1443" s="368"/>
      <c r="AD1443" s="368"/>
      <c r="AE1443" s="368"/>
      <c r="AF1443" s="377"/>
      <c r="AJ1443" s="337">
        <v>423</v>
      </c>
    </row>
    <row r="1444" spans="1:36">
      <c r="A1444" s="332">
        <f t="shared" si="48"/>
        <v>424</v>
      </c>
      <c r="G1444" s="349" t="s">
        <v>2619</v>
      </c>
      <c r="H1444" s="368" t="s">
        <v>2620</v>
      </c>
      <c r="I1444" s="368" t="s">
        <v>2621</v>
      </c>
      <c r="J1444" s="368" t="s">
        <v>1375</v>
      </c>
      <c r="K1444" s="368" t="s">
        <v>2621</v>
      </c>
      <c r="L1444" s="368" t="s">
        <v>1375</v>
      </c>
      <c r="M1444" s="368" t="s">
        <v>1384</v>
      </c>
      <c r="N1444" s="368" t="s">
        <v>867</v>
      </c>
      <c r="O1444" s="376">
        <v>66453</v>
      </c>
      <c r="P1444" s="368" t="s">
        <v>1385</v>
      </c>
      <c r="Q1444" s="368" t="s">
        <v>1386</v>
      </c>
      <c r="R1444" s="368" t="s">
        <v>867</v>
      </c>
      <c r="S1444" s="368" t="s">
        <v>864</v>
      </c>
      <c r="T1444" s="368" t="s">
        <v>362</v>
      </c>
      <c r="U1444" s="368" t="s">
        <v>867</v>
      </c>
      <c r="V1444" s="368" t="s">
        <v>867</v>
      </c>
      <c r="W1444" s="368" t="s">
        <v>1378</v>
      </c>
      <c r="X1444" s="368">
        <v>0</v>
      </c>
      <c r="Y1444" s="368">
        <v>99</v>
      </c>
      <c r="Z1444" s="368"/>
      <c r="AA1444" s="368"/>
      <c r="AB1444" s="368"/>
      <c r="AC1444" s="368"/>
      <c r="AD1444" s="368"/>
      <c r="AE1444" s="368"/>
      <c r="AF1444" s="377"/>
      <c r="AJ1444" s="337">
        <v>424</v>
      </c>
    </row>
    <row r="1445" spans="1:36">
      <c r="A1445" s="332">
        <f t="shared" si="48"/>
        <v>425</v>
      </c>
      <c r="G1445" s="349" t="s">
        <v>2622</v>
      </c>
      <c r="H1445" s="368" t="s">
        <v>2623</v>
      </c>
      <c r="I1445" s="368" t="s">
        <v>2624</v>
      </c>
      <c r="J1445" s="368" t="s">
        <v>1399</v>
      </c>
      <c r="K1445" s="368" t="s">
        <v>2624</v>
      </c>
      <c r="L1445" s="368" t="s">
        <v>1399</v>
      </c>
      <c r="M1445" s="368" t="s">
        <v>1384</v>
      </c>
      <c r="N1445" s="368" t="s">
        <v>867</v>
      </c>
      <c r="O1445" s="376">
        <v>5743</v>
      </c>
      <c r="P1445" s="368" t="s">
        <v>1385</v>
      </c>
      <c r="Q1445" s="368" t="s">
        <v>1386</v>
      </c>
      <c r="R1445" s="368" t="s">
        <v>867</v>
      </c>
      <c r="S1445" s="368" t="s">
        <v>864</v>
      </c>
      <c r="T1445" s="368" t="s">
        <v>362</v>
      </c>
      <c r="U1445" s="368" t="s">
        <v>867</v>
      </c>
      <c r="V1445" s="368" t="s">
        <v>867</v>
      </c>
      <c r="W1445" s="368" t="s">
        <v>1378</v>
      </c>
      <c r="X1445" s="368">
        <v>0</v>
      </c>
      <c r="Y1445" s="368">
        <v>99</v>
      </c>
      <c r="Z1445" s="368"/>
      <c r="AA1445" s="368"/>
      <c r="AB1445" s="368"/>
      <c r="AC1445" s="368"/>
      <c r="AD1445" s="368"/>
      <c r="AE1445" s="368"/>
      <c r="AF1445" s="377"/>
      <c r="AJ1445" s="337">
        <v>425</v>
      </c>
    </row>
    <row r="1446" spans="1:36">
      <c r="A1446" s="332">
        <f t="shared" si="48"/>
        <v>426</v>
      </c>
      <c r="G1446" s="349" t="s">
        <v>2625</v>
      </c>
      <c r="H1446" s="368" t="s">
        <v>2626</v>
      </c>
      <c r="I1446" s="368" t="s">
        <v>2627</v>
      </c>
      <c r="J1446" s="368" t="s">
        <v>1375</v>
      </c>
      <c r="K1446" s="368" t="s">
        <v>2627</v>
      </c>
      <c r="L1446" s="368" t="s">
        <v>1375</v>
      </c>
      <c r="M1446" s="368" t="s">
        <v>1384</v>
      </c>
      <c r="N1446" s="368" t="s">
        <v>867</v>
      </c>
      <c r="O1446" s="376">
        <v>48003</v>
      </c>
      <c r="P1446" s="368" t="s">
        <v>1385</v>
      </c>
      <c r="Q1446" s="368" t="s">
        <v>1386</v>
      </c>
      <c r="R1446" s="368" t="s">
        <v>867</v>
      </c>
      <c r="S1446" s="368" t="s">
        <v>864</v>
      </c>
      <c r="T1446" s="368" t="s">
        <v>362</v>
      </c>
      <c r="U1446" s="368" t="s">
        <v>867</v>
      </c>
      <c r="V1446" s="368" t="s">
        <v>867</v>
      </c>
      <c r="W1446" s="368" t="s">
        <v>1378</v>
      </c>
      <c r="X1446" s="368">
        <v>0</v>
      </c>
      <c r="Y1446" s="368">
        <v>99</v>
      </c>
      <c r="Z1446" s="368"/>
      <c r="AA1446" s="368"/>
      <c r="AB1446" s="368"/>
      <c r="AC1446" s="368"/>
      <c r="AD1446" s="368"/>
      <c r="AE1446" s="368"/>
      <c r="AF1446" s="377"/>
      <c r="AJ1446" s="337">
        <v>426</v>
      </c>
    </row>
    <row r="1447" spans="1:36">
      <c r="A1447" s="332">
        <f t="shared" si="48"/>
        <v>427</v>
      </c>
      <c r="G1447" s="349" t="s">
        <v>2628</v>
      </c>
      <c r="H1447" s="368" t="s">
        <v>2629</v>
      </c>
      <c r="I1447" s="368" t="s">
        <v>2630</v>
      </c>
      <c r="J1447" s="368" t="s">
        <v>1375</v>
      </c>
      <c r="K1447" s="368" t="s">
        <v>2630</v>
      </c>
      <c r="L1447" s="368" t="s">
        <v>1375</v>
      </c>
      <c r="M1447" s="368" t="s">
        <v>1384</v>
      </c>
      <c r="N1447" s="368" t="s">
        <v>867</v>
      </c>
      <c r="O1447" s="376">
        <v>22672</v>
      </c>
      <c r="P1447" s="368" t="s">
        <v>1385</v>
      </c>
      <c r="Q1447" s="368" t="s">
        <v>1386</v>
      </c>
      <c r="R1447" s="368" t="s">
        <v>867</v>
      </c>
      <c r="S1447" s="368" t="s">
        <v>864</v>
      </c>
      <c r="T1447" s="368" t="s">
        <v>362</v>
      </c>
      <c r="U1447" s="368" t="s">
        <v>867</v>
      </c>
      <c r="V1447" s="368" t="s">
        <v>867</v>
      </c>
      <c r="W1447" s="368" t="s">
        <v>1378</v>
      </c>
      <c r="X1447" s="368">
        <v>0</v>
      </c>
      <c r="Y1447" s="368">
        <v>99</v>
      </c>
      <c r="Z1447" s="368"/>
      <c r="AA1447" s="368"/>
      <c r="AB1447" s="368"/>
      <c r="AC1447" s="368"/>
      <c r="AD1447" s="368"/>
      <c r="AE1447" s="368"/>
      <c r="AF1447" s="377"/>
      <c r="AJ1447" s="337">
        <v>427</v>
      </c>
    </row>
    <row r="1448" spans="1:36">
      <c r="A1448" s="332">
        <f t="shared" si="48"/>
        <v>428</v>
      </c>
      <c r="G1448" s="349" t="s">
        <v>2631</v>
      </c>
      <c r="H1448" s="368" t="s">
        <v>2632</v>
      </c>
      <c r="I1448" s="368" t="s">
        <v>2633</v>
      </c>
      <c r="J1448" s="368" t="s">
        <v>1375</v>
      </c>
      <c r="K1448" s="368" t="s">
        <v>2633</v>
      </c>
      <c r="L1448" s="368" t="s">
        <v>1375</v>
      </c>
      <c r="M1448" s="368" t="s">
        <v>1376</v>
      </c>
      <c r="N1448" s="368" t="s">
        <v>867</v>
      </c>
      <c r="O1448" s="376">
        <v>46578</v>
      </c>
      <c r="P1448" s="368" t="s">
        <v>339</v>
      </c>
      <c r="Q1448" s="368" t="s">
        <v>1386</v>
      </c>
      <c r="R1448" s="368" t="s">
        <v>867</v>
      </c>
      <c r="S1448" s="368" t="s">
        <v>864</v>
      </c>
      <c r="T1448" s="368" t="s">
        <v>362</v>
      </c>
      <c r="U1448" s="368" t="s">
        <v>867</v>
      </c>
      <c r="V1448" s="368" t="s">
        <v>867</v>
      </c>
      <c r="W1448" s="368" t="s">
        <v>1378</v>
      </c>
      <c r="X1448" s="368">
        <v>0</v>
      </c>
      <c r="Y1448" s="368">
        <v>99</v>
      </c>
      <c r="Z1448" s="368"/>
      <c r="AA1448" s="368"/>
      <c r="AB1448" s="368"/>
      <c r="AC1448" s="368"/>
      <c r="AD1448" s="368"/>
      <c r="AE1448" s="368"/>
      <c r="AF1448" s="377"/>
      <c r="AJ1448" s="337">
        <v>428</v>
      </c>
    </row>
    <row r="1449" spans="1:36">
      <c r="A1449" s="332">
        <f t="shared" si="48"/>
        <v>429</v>
      </c>
      <c r="G1449" s="349" t="s">
        <v>2634</v>
      </c>
      <c r="H1449" s="368" t="s">
        <v>2635</v>
      </c>
      <c r="I1449" s="368" t="s">
        <v>1894</v>
      </c>
      <c r="J1449" s="368" t="s">
        <v>1375</v>
      </c>
      <c r="K1449" s="368" t="s">
        <v>1894</v>
      </c>
      <c r="L1449" s="368" t="s">
        <v>1375</v>
      </c>
      <c r="M1449" s="368" t="s">
        <v>1384</v>
      </c>
      <c r="N1449" s="368" t="s">
        <v>867</v>
      </c>
      <c r="O1449" s="376">
        <v>97574</v>
      </c>
      <c r="P1449" s="368" t="s">
        <v>1385</v>
      </c>
      <c r="Q1449" s="368" t="s">
        <v>1386</v>
      </c>
      <c r="R1449" s="368" t="s">
        <v>867</v>
      </c>
      <c r="S1449" s="368" t="s">
        <v>864</v>
      </c>
      <c r="T1449" s="368" t="s">
        <v>362</v>
      </c>
      <c r="U1449" s="368" t="s">
        <v>867</v>
      </c>
      <c r="V1449" s="368" t="s">
        <v>867</v>
      </c>
      <c r="W1449" s="368" t="s">
        <v>1378</v>
      </c>
      <c r="X1449" s="368">
        <v>1750</v>
      </c>
      <c r="Y1449" s="368">
        <v>99</v>
      </c>
      <c r="Z1449" s="368"/>
      <c r="AA1449" s="368"/>
      <c r="AB1449" s="368"/>
      <c r="AC1449" s="368"/>
      <c r="AD1449" s="368"/>
      <c r="AE1449" s="368"/>
      <c r="AF1449" s="377"/>
      <c r="AJ1449" s="337">
        <v>429</v>
      </c>
    </row>
    <row r="1450" spans="1:36">
      <c r="A1450" s="332">
        <f t="shared" si="48"/>
        <v>430</v>
      </c>
      <c r="G1450" s="349" t="s">
        <v>2636</v>
      </c>
      <c r="H1450" s="368" t="s">
        <v>2637</v>
      </c>
      <c r="I1450" s="368" t="s">
        <v>2638</v>
      </c>
      <c r="J1450" s="368" t="s">
        <v>1382</v>
      </c>
      <c r="K1450" s="368" t="s">
        <v>1807</v>
      </c>
      <c r="L1450" s="368" t="s">
        <v>1375</v>
      </c>
      <c r="M1450" s="368" t="s">
        <v>1376</v>
      </c>
      <c r="N1450" s="368" t="s">
        <v>867</v>
      </c>
      <c r="O1450" s="376">
        <v>60950</v>
      </c>
      <c r="P1450" s="368" t="s">
        <v>1385</v>
      </c>
      <c r="Q1450" s="368" t="s">
        <v>1462</v>
      </c>
      <c r="R1450" s="368" t="s">
        <v>867</v>
      </c>
      <c r="S1450" s="368" t="s">
        <v>864</v>
      </c>
      <c r="T1450" s="368" t="s">
        <v>362</v>
      </c>
      <c r="U1450" s="368" t="s">
        <v>867</v>
      </c>
      <c r="V1450" s="368" t="s">
        <v>867</v>
      </c>
      <c r="W1450" s="368" t="s">
        <v>1378</v>
      </c>
      <c r="X1450" s="368">
        <v>1300</v>
      </c>
      <c r="Y1450" s="368">
        <v>99</v>
      </c>
      <c r="Z1450" s="368"/>
      <c r="AA1450" s="368"/>
      <c r="AB1450" s="368"/>
      <c r="AC1450" s="368"/>
      <c r="AD1450" s="368"/>
      <c r="AE1450" s="368"/>
      <c r="AF1450" s="377"/>
      <c r="AJ1450" s="337">
        <v>430</v>
      </c>
    </row>
    <row r="1451" spans="1:36">
      <c r="A1451" s="332">
        <f t="shared" si="48"/>
        <v>431</v>
      </c>
      <c r="G1451" s="349" t="s">
        <v>2639</v>
      </c>
      <c r="H1451" s="368" t="s">
        <v>2640</v>
      </c>
      <c r="I1451" s="368" t="s">
        <v>1630</v>
      </c>
      <c r="J1451" s="368" t="s">
        <v>1375</v>
      </c>
      <c r="K1451" s="368" t="s">
        <v>1630</v>
      </c>
      <c r="L1451" s="368" t="s">
        <v>1375</v>
      </c>
      <c r="M1451" s="368" t="s">
        <v>1384</v>
      </c>
      <c r="N1451" s="368" t="s">
        <v>867</v>
      </c>
      <c r="O1451" s="376">
        <v>66285</v>
      </c>
      <c r="P1451" s="368" t="s">
        <v>1385</v>
      </c>
      <c r="Q1451" s="368" t="s">
        <v>1386</v>
      </c>
      <c r="R1451" s="368" t="s">
        <v>867</v>
      </c>
      <c r="S1451" s="368" t="s">
        <v>864</v>
      </c>
      <c r="T1451" s="368" t="s">
        <v>362</v>
      </c>
      <c r="U1451" s="368" t="s">
        <v>867</v>
      </c>
      <c r="V1451" s="368" t="s">
        <v>867</v>
      </c>
      <c r="W1451" s="368" t="s">
        <v>1378</v>
      </c>
      <c r="X1451" s="368">
        <v>0</v>
      </c>
      <c r="Y1451" s="368">
        <v>99</v>
      </c>
      <c r="Z1451" s="368"/>
      <c r="AA1451" s="368"/>
      <c r="AB1451" s="368"/>
      <c r="AC1451" s="368"/>
      <c r="AD1451" s="368"/>
      <c r="AE1451" s="368"/>
      <c r="AF1451" s="377"/>
      <c r="AJ1451" s="337">
        <v>431</v>
      </c>
    </row>
    <row r="1452" spans="1:36">
      <c r="A1452" s="332">
        <f t="shared" si="48"/>
        <v>432</v>
      </c>
      <c r="G1452" s="349" t="s">
        <v>2641</v>
      </c>
      <c r="H1452" s="368" t="s">
        <v>2642</v>
      </c>
      <c r="I1452" s="368" t="s">
        <v>2643</v>
      </c>
      <c r="J1452" s="368" t="s">
        <v>1375</v>
      </c>
      <c r="K1452" s="368" t="s">
        <v>2643</v>
      </c>
      <c r="L1452" s="368" t="s">
        <v>1375</v>
      </c>
      <c r="M1452" s="368" t="s">
        <v>1384</v>
      </c>
      <c r="N1452" s="368" t="s">
        <v>867</v>
      </c>
      <c r="O1452" s="376">
        <v>49037</v>
      </c>
      <c r="P1452" s="368" t="s">
        <v>1385</v>
      </c>
      <c r="Q1452" s="368" t="s">
        <v>1386</v>
      </c>
      <c r="R1452" s="368" t="s">
        <v>867</v>
      </c>
      <c r="S1452" s="368" t="s">
        <v>864</v>
      </c>
      <c r="T1452" s="368" t="s">
        <v>362</v>
      </c>
      <c r="U1452" s="368" t="s">
        <v>867</v>
      </c>
      <c r="V1452" s="368" t="s">
        <v>867</v>
      </c>
      <c r="W1452" s="368" t="s">
        <v>1378</v>
      </c>
      <c r="X1452" s="368">
        <v>0</v>
      </c>
      <c r="Y1452" s="368">
        <v>99</v>
      </c>
      <c r="Z1452" s="368"/>
      <c r="AA1452" s="368"/>
      <c r="AB1452" s="368"/>
      <c r="AC1452" s="368"/>
      <c r="AD1452" s="368"/>
      <c r="AE1452" s="368"/>
      <c r="AF1452" s="377"/>
      <c r="AJ1452" s="337">
        <v>432</v>
      </c>
    </row>
    <row r="1453" spans="1:36">
      <c r="A1453" s="332">
        <f t="shared" si="48"/>
        <v>433</v>
      </c>
      <c r="G1453" s="349" t="s">
        <v>2644</v>
      </c>
      <c r="H1453" s="368" t="s">
        <v>2645</v>
      </c>
      <c r="I1453" s="368" t="s">
        <v>2646</v>
      </c>
      <c r="J1453" s="368" t="s">
        <v>1375</v>
      </c>
      <c r="K1453" s="368" t="s">
        <v>2646</v>
      </c>
      <c r="L1453" s="368" t="s">
        <v>1375</v>
      </c>
      <c r="M1453" s="368" t="s">
        <v>1376</v>
      </c>
      <c r="N1453" s="368" t="s">
        <v>867</v>
      </c>
      <c r="O1453" s="376">
        <v>82866</v>
      </c>
      <c r="P1453" s="368" t="s">
        <v>339</v>
      </c>
      <c r="Q1453" s="368" t="s">
        <v>1443</v>
      </c>
      <c r="R1453" s="368" t="s">
        <v>867</v>
      </c>
      <c r="S1453" s="368" t="s">
        <v>864</v>
      </c>
      <c r="T1453" s="368" t="s">
        <v>362</v>
      </c>
      <c r="U1453" s="368" t="s">
        <v>867</v>
      </c>
      <c r="V1453" s="368" t="s">
        <v>867</v>
      </c>
      <c r="W1453" s="368" t="s">
        <v>1378</v>
      </c>
      <c r="X1453" s="368">
        <v>0</v>
      </c>
      <c r="Y1453" s="368">
        <v>99</v>
      </c>
      <c r="Z1453" s="368"/>
      <c r="AA1453" s="368"/>
      <c r="AB1453" s="368"/>
      <c r="AC1453" s="368"/>
      <c r="AD1453" s="368"/>
      <c r="AE1453" s="368"/>
      <c r="AF1453" s="377"/>
      <c r="AJ1453" s="337">
        <v>433</v>
      </c>
    </row>
    <row r="1454" spans="1:36">
      <c r="A1454" s="332">
        <f t="shared" si="48"/>
        <v>434</v>
      </c>
      <c r="G1454" s="349" t="s">
        <v>2647</v>
      </c>
      <c r="H1454" s="368" t="s">
        <v>2648</v>
      </c>
      <c r="I1454" s="368" t="s">
        <v>2556</v>
      </c>
      <c r="J1454" s="368" t="s">
        <v>1375</v>
      </c>
      <c r="K1454" s="368" t="s">
        <v>2556</v>
      </c>
      <c r="L1454" s="368" t="s">
        <v>1375</v>
      </c>
      <c r="M1454" s="368" t="s">
        <v>1384</v>
      </c>
      <c r="N1454" s="368" t="s">
        <v>867</v>
      </c>
      <c r="O1454" s="376">
        <v>26302</v>
      </c>
      <c r="P1454" s="368" t="s">
        <v>1385</v>
      </c>
      <c r="Q1454" s="368" t="s">
        <v>1443</v>
      </c>
      <c r="R1454" s="368" t="s">
        <v>867</v>
      </c>
      <c r="S1454" s="368" t="s">
        <v>864</v>
      </c>
      <c r="T1454" s="368" t="s">
        <v>362</v>
      </c>
      <c r="U1454" s="368" t="s">
        <v>867</v>
      </c>
      <c r="V1454" s="368" t="s">
        <v>867</v>
      </c>
      <c r="W1454" s="368" t="s">
        <v>1378</v>
      </c>
      <c r="X1454" s="368">
        <v>0</v>
      </c>
      <c r="Y1454" s="368">
        <v>99</v>
      </c>
      <c r="Z1454" s="368"/>
      <c r="AA1454" s="368"/>
      <c r="AB1454" s="368"/>
      <c r="AC1454" s="368"/>
      <c r="AD1454" s="368"/>
      <c r="AE1454" s="368"/>
      <c r="AF1454" s="377"/>
      <c r="AJ1454" s="337">
        <v>434</v>
      </c>
    </row>
    <row r="1455" spans="1:36">
      <c r="A1455" s="332">
        <f t="shared" si="48"/>
        <v>435</v>
      </c>
      <c r="G1455" s="349" t="s">
        <v>2649</v>
      </c>
      <c r="H1455" s="368" t="s">
        <v>2650</v>
      </c>
      <c r="I1455" s="368" t="s">
        <v>2478</v>
      </c>
      <c r="J1455" s="368" t="s">
        <v>1399</v>
      </c>
      <c r="K1455" s="368" t="s">
        <v>2478</v>
      </c>
      <c r="L1455" s="368" t="s">
        <v>1399</v>
      </c>
      <c r="M1455" s="368" t="s">
        <v>1422</v>
      </c>
      <c r="N1455" s="368" t="s">
        <v>867</v>
      </c>
      <c r="O1455" s="376">
        <v>60144</v>
      </c>
      <c r="P1455" s="368" t="s">
        <v>1385</v>
      </c>
      <c r="Q1455" s="368" t="s">
        <v>1443</v>
      </c>
      <c r="R1455" s="368" t="s">
        <v>867</v>
      </c>
      <c r="S1455" s="368" t="s">
        <v>864</v>
      </c>
      <c r="T1455" s="368" t="s">
        <v>362</v>
      </c>
      <c r="U1455" s="368" t="s">
        <v>867</v>
      </c>
      <c r="V1455" s="368" t="s">
        <v>867</v>
      </c>
      <c r="W1455" s="368" t="s">
        <v>1378</v>
      </c>
      <c r="X1455" s="368">
        <v>700</v>
      </c>
      <c r="Y1455" s="368">
        <v>99</v>
      </c>
      <c r="Z1455" s="368"/>
      <c r="AA1455" s="368"/>
      <c r="AB1455" s="368"/>
      <c r="AC1455" s="368"/>
      <c r="AD1455" s="368"/>
      <c r="AE1455" s="368"/>
      <c r="AF1455" s="377"/>
      <c r="AJ1455" s="337">
        <v>435</v>
      </c>
    </row>
    <row r="1456" spans="1:36">
      <c r="A1456" s="332">
        <f t="shared" si="48"/>
        <v>436</v>
      </c>
      <c r="G1456" s="349" t="s">
        <v>2651</v>
      </c>
      <c r="H1456" s="368" t="s">
        <v>2652</v>
      </c>
      <c r="I1456" s="368" t="s">
        <v>2653</v>
      </c>
      <c r="J1456" s="368" t="s">
        <v>1375</v>
      </c>
      <c r="K1456" s="368" t="s">
        <v>2653</v>
      </c>
      <c r="L1456" s="368" t="s">
        <v>1375</v>
      </c>
      <c r="M1456" s="368" t="s">
        <v>1384</v>
      </c>
      <c r="N1456" s="368" t="s">
        <v>867</v>
      </c>
      <c r="O1456" s="376">
        <v>41860</v>
      </c>
      <c r="P1456" s="368" t="s">
        <v>1385</v>
      </c>
      <c r="Q1456" s="368" t="s">
        <v>1443</v>
      </c>
      <c r="R1456" s="368" t="s">
        <v>867</v>
      </c>
      <c r="S1456" s="368" t="s">
        <v>864</v>
      </c>
      <c r="T1456" s="368" t="s">
        <v>362</v>
      </c>
      <c r="U1456" s="368" t="s">
        <v>867</v>
      </c>
      <c r="V1456" s="368" t="s">
        <v>867</v>
      </c>
      <c r="W1456" s="368" t="s">
        <v>1378</v>
      </c>
      <c r="X1456" s="368">
        <v>2300</v>
      </c>
      <c r="Y1456" s="368">
        <v>99</v>
      </c>
      <c r="Z1456" s="368"/>
      <c r="AA1456" s="368"/>
      <c r="AB1456" s="368"/>
      <c r="AC1456" s="368"/>
      <c r="AD1456" s="368"/>
      <c r="AE1456" s="368"/>
      <c r="AF1456" s="377"/>
      <c r="AJ1456" s="337">
        <v>436</v>
      </c>
    </row>
    <row r="1457" spans="1:36">
      <c r="A1457" s="332">
        <f t="shared" si="48"/>
        <v>437</v>
      </c>
      <c r="G1457" s="349" t="s">
        <v>2654</v>
      </c>
      <c r="H1457" s="368" t="s">
        <v>2655</v>
      </c>
      <c r="I1457" s="368" t="s">
        <v>2656</v>
      </c>
      <c r="J1457" s="368" t="s">
        <v>1375</v>
      </c>
      <c r="K1457" s="368" t="s">
        <v>2656</v>
      </c>
      <c r="L1457" s="368" t="s">
        <v>1375</v>
      </c>
      <c r="M1457" s="368" t="s">
        <v>1384</v>
      </c>
      <c r="N1457" s="368" t="s">
        <v>867</v>
      </c>
      <c r="O1457" s="376">
        <v>68071</v>
      </c>
      <c r="P1457" s="368" t="s">
        <v>1385</v>
      </c>
      <c r="Q1457" s="368" t="s">
        <v>1386</v>
      </c>
      <c r="R1457" s="368" t="s">
        <v>867</v>
      </c>
      <c r="S1457" s="368" t="s">
        <v>864</v>
      </c>
      <c r="T1457" s="368" t="s">
        <v>362</v>
      </c>
      <c r="U1457" s="368" t="s">
        <v>867</v>
      </c>
      <c r="V1457" s="368" t="s">
        <v>867</v>
      </c>
      <c r="W1457" s="368" t="s">
        <v>1378</v>
      </c>
      <c r="X1457" s="368">
        <v>0</v>
      </c>
      <c r="Y1457" s="368">
        <v>99</v>
      </c>
      <c r="Z1457" s="368"/>
      <c r="AA1457" s="368"/>
      <c r="AB1457" s="368"/>
      <c r="AC1457" s="368"/>
      <c r="AD1457" s="368"/>
      <c r="AE1457" s="368"/>
      <c r="AF1457" s="377"/>
      <c r="AJ1457" s="337">
        <v>437</v>
      </c>
    </row>
    <row r="1458" spans="1:36">
      <c r="A1458" s="332">
        <f t="shared" si="48"/>
        <v>438</v>
      </c>
      <c r="G1458" s="349" t="s">
        <v>2657</v>
      </c>
      <c r="H1458" s="368" t="s">
        <v>2658</v>
      </c>
      <c r="I1458" s="368" t="s">
        <v>2659</v>
      </c>
      <c r="J1458" s="368" t="s">
        <v>1399</v>
      </c>
      <c r="K1458" s="368" t="s">
        <v>2659</v>
      </c>
      <c r="L1458" s="368" t="s">
        <v>1399</v>
      </c>
      <c r="M1458" s="368" t="s">
        <v>1384</v>
      </c>
      <c r="N1458" s="368" t="s">
        <v>867</v>
      </c>
      <c r="O1458" s="376">
        <v>95177</v>
      </c>
      <c r="P1458" s="368" t="s">
        <v>1385</v>
      </c>
      <c r="Q1458" s="368" t="s">
        <v>1386</v>
      </c>
      <c r="R1458" s="368" t="s">
        <v>867</v>
      </c>
      <c r="S1458" s="368" t="s">
        <v>864</v>
      </c>
      <c r="T1458" s="368" t="s">
        <v>1387</v>
      </c>
      <c r="U1458" s="368" t="s">
        <v>867</v>
      </c>
      <c r="V1458" s="368" t="s">
        <v>867</v>
      </c>
      <c r="W1458" s="368" t="s">
        <v>1378</v>
      </c>
      <c r="X1458" s="368">
        <v>0</v>
      </c>
      <c r="Y1458" s="368">
        <v>99</v>
      </c>
      <c r="Z1458" s="368"/>
      <c r="AA1458" s="368"/>
      <c r="AB1458" s="368"/>
      <c r="AC1458" s="368"/>
      <c r="AD1458" s="368"/>
      <c r="AE1458" s="368"/>
      <c r="AF1458" s="377"/>
      <c r="AJ1458" s="337">
        <v>438</v>
      </c>
    </row>
    <row r="1459" spans="1:36">
      <c r="A1459" s="332">
        <f t="shared" si="48"/>
        <v>439</v>
      </c>
      <c r="G1459" s="349" t="s">
        <v>2660</v>
      </c>
      <c r="H1459" s="368" t="s">
        <v>2661</v>
      </c>
      <c r="I1459" s="368" t="s">
        <v>2662</v>
      </c>
      <c r="J1459" s="368" t="s">
        <v>1399</v>
      </c>
      <c r="K1459" s="368" t="s">
        <v>2662</v>
      </c>
      <c r="L1459" s="368" t="s">
        <v>1399</v>
      </c>
      <c r="M1459" s="368" t="s">
        <v>1384</v>
      </c>
      <c r="N1459" s="368" t="s">
        <v>867</v>
      </c>
      <c r="O1459" s="376">
        <v>9359</v>
      </c>
      <c r="P1459" s="368" t="s">
        <v>1385</v>
      </c>
      <c r="Q1459" s="368" t="s">
        <v>1443</v>
      </c>
      <c r="R1459" s="368" t="s">
        <v>867</v>
      </c>
      <c r="S1459" s="368" t="s">
        <v>867</v>
      </c>
      <c r="T1459" s="368" t="s">
        <v>362</v>
      </c>
      <c r="U1459" s="368" t="s">
        <v>867</v>
      </c>
      <c r="V1459" s="368" t="s">
        <v>867</v>
      </c>
      <c r="W1459" s="368" t="s">
        <v>1378</v>
      </c>
      <c r="X1459" s="368">
        <v>0</v>
      </c>
      <c r="Y1459" s="368">
        <v>99</v>
      </c>
      <c r="Z1459" s="368"/>
      <c r="AA1459" s="368"/>
      <c r="AB1459" s="368"/>
      <c r="AC1459" s="368"/>
      <c r="AD1459" s="368"/>
      <c r="AE1459" s="368"/>
      <c r="AF1459" s="377"/>
      <c r="AJ1459" s="337">
        <v>439</v>
      </c>
    </row>
    <row r="1460" spans="1:36">
      <c r="A1460" s="332">
        <f t="shared" si="48"/>
        <v>440</v>
      </c>
      <c r="G1460" s="349" t="s">
        <v>2663</v>
      </c>
      <c r="H1460" s="368" t="s">
        <v>1678</v>
      </c>
      <c r="I1460" s="368" t="s">
        <v>2664</v>
      </c>
      <c r="J1460" s="368" t="s">
        <v>1375</v>
      </c>
      <c r="K1460" s="368" t="s">
        <v>2664</v>
      </c>
      <c r="L1460" s="368" t="s">
        <v>1375</v>
      </c>
      <c r="M1460" s="368" t="s">
        <v>1384</v>
      </c>
      <c r="N1460" s="368" t="s">
        <v>867</v>
      </c>
      <c r="O1460" s="376">
        <v>61461</v>
      </c>
      <c r="P1460" s="368" t="s">
        <v>1385</v>
      </c>
      <c r="Q1460" s="368" t="s">
        <v>1386</v>
      </c>
      <c r="R1460" s="368" t="s">
        <v>867</v>
      </c>
      <c r="S1460" s="368" t="s">
        <v>864</v>
      </c>
      <c r="T1460" s="368" t="s">
        <v>362</v>
      </c>
      <c r="U1460" s="368" t="s">
        <v>867</v>
      </c>
      <c r="V1460" s="368" t="s">
        <v>867</v>
      </c>
      <c r="W1460" s="368" t="s">
        <v>1378</v>
      </c>
      <c r="X1460" s="368">
        <v>0</v>
      </c>
      <c r="Y1460" s="368">
        <v>99</v>
      </c>
      <c r="Z1460" s="368"/>
      <c r="AA1460" s="368"/>
      <c r="AB1460" s="368"/>
      <c r="AC1460" s="368"/>
      <c r="AD1460" s="368"/>
      <c r="AE1460" s="368"/>
      <c r="AF1460" s="377"/>
      <c r="AJ1460" s="337">
        <v>440</v>
      </c>
    </row>
    <row r="1461" spans="1:36">
      <c r="A1461" s="332">
        <f t="shared" si="48"/>
        <v>441</v>
      </c>
      <c r="G1461" s="349" t="s">
        <v>2665</v>
      </c>
      <c r="H1461" s="368" t="s">
        <v>2666</v>
      </c>
      <c r="I1461" s="368" t="s">
        <v>2667</v>
      </c>
      <c r="J1461" s="368" t="s">
        <v>1375</v>
      </c>
      <c r="K1461" s="368" t="s">
        <v>2667</v>
      </c>
      <c r="L1461" s="368" t="s">
        <v>1375</v>
      </c>
      <c r="M1461" s="368" t="s">
        <v>1384</v>
      </c>
      <c r="N1461" s="368" t="s">
        <v>867</v>
      </c>
      <c r="O1461" s="376">
        <v>43251</v>
      </c>
      <c r="P1461" s="368" t="s">
        <v>1385</v>
      </c>
      <c r="Q1461" s="368" t="s">
        <v>1386</v>
      </c>
      <c r="R1461" s="368" t="s">
        <v>867</v>
      </c>
      <c r="S1461" s="368" t="s">
        <v>864</v>
      </c>
      <c r="T1461" s="368" t="s">
        <v>1387</v>
      </c>
      <c r="U1461" s="368" t="s">
        <v>867</v>
      </c>
      <c r="V1461" s="368" t="s">
        <v>867</v>
      </c>
      <c r="W1461" s="368" t="s">
        <v>1378</v>
      </c>
      <c r="X1461" s="368">
        <v>0</v>
      </c>
      <c r="Y1461" s="368">
        <v>99</v>
      </c>
      <c r="Z1461" s="368"/>
      <c r="AA1461" s="368"/>
      <c r="AB1461" s="368"/>
      <c r="AC1461" s="368"/>
      <c r="AD1461" s="368"/>
      <c r="AE1461" s="368"/>
      <c r="AF1461" s="377"/>
      <c r="AJ1461" s="337">
        <v>441</v>
      </c>
    </row>
    <row r="1462" spans="1:36">
      <c r="A1462" s="332">
        <f t="shared" si="48"/>
        <v>442</v>
      </c>
      <c r="G1462" s="349" t="s">
        <v>2668</v>
      </c>
      <c r="H1462" s="368" t="s">
        <v>2669</v>
      </c>
      <c r="I1462" s="368" t="s">
        <v>2670</v>
      </c>
      <c r="J1462" s="368" t="s">
        <v>1375</v>
      </c>
      <c r="K1462" s="368" t="s">
        <v>2670</v>
      </c>
      <c r="L1462" s="368" t="s">
        <v>1375</v>
      </c>
      <c r="M1462" s="368" t="s">
        <v>1384</v>
      </c>
      <c r="N1462" s="368" t="s">
        <v>867</v>
      </c>
      <c r="O1462" s="376">
        <v>84075</v>
      </c>
      <c r="P1462" s="368" t="s">
        <v>339</v>
      </c>
      <c r="Q1462" s="368" t="s">
        <v>1386</v>
      </c>
      <c r="R1462" s="368" t="s">
        <v>867</v>
      </c>
      <c r="S1462" s="368" t="s">
        <v>864</v>
      </c>
      <c r="T1462" s="368" t="s">
        <v>362</v>
      </c>
      <c r="U1462" s="368" t="s">
        <v>867</v>
      </c>
      <c r="V1462" s="368" t="s">
        <v>867</v>
      </c>
      <c r="W1462" s="368" t="s">
        <v>1378</v>
      </c>
      <c r="X1462" s="368">
        <v>1000</v>
      </c>
      <c r="Y1462" s="368">
        <v>99</v>
      </c>
      <c r="Z1462" s="368"/>
      <c r="AA1462" s="368"/>
      <c r="AB1462" s="368"/>
      <c r="AC1462" s="368"/>
      <c r="AD1462" s="368"/>
      <c r="AE1462" s="368"/>
      <c r="AF1462" s="377"/>
      <c r="AJ1462" s="337">
        <v>442</v>
      </c>
    </row>
    <row r="1463" spans="1:36">
      <c r="A1463" s="332">
        <f t="shared" si="48"/>
        <v>443</v>
      </c>
      <c r="G1463" s="349" t="s">
        <v>2671</v>
      </c>
      <c r="H1463" s="368" t="s">
        <v>2672</v>
      </c>
      <c r="I1463" s="368" t="s">
        <v>2673</v>
      </c>
      <c r="J1463" s="368" t="s">
        <v>1442</v>
      </c>
      <c r="K1463" s="368" t="s">
        <v>2673</v>
      </c>
      <c r="L1463" s="368" t="s">
        <v>1442</v>
      </c>
      <c r="M1463" s="368" t="s">
        <v>1376</v>
      </c>
      <c r="N1463" s="368" t="s">
        <v>867</v>
      </c>
      <c r="O1463" s="376">
        <v>89278</v>
      </c>
      <c r="P1463" s="368" t="s">
        <v>339</v>
      </c>
      <c r="Q1463" s="368" t="s">
        <v>1443</v>
      </c>
      <c r="R1463" s="368" t="s">
        <v>867</v>
      </c>
      <c r="S1463" s="368" t="s">
        <v>864</v>
      </c>
      <c r="T1463" s="368" t="s">
        <v>362</v>
      </c>
      <c r="U1463" s="368" t="s">
        <v>867</v>
      </c>
      <c r="V1463" s="368" t="s">
        <v>867</v>
      </c>
      <c r="W1463" s="368" t="s">
        <v>1378</v>
      </c>
      <c r="X1463" s="368">
        <v>0</v>
      </c>
      <c r="Y1463" s="368">
        <v>99</v>
      </c>
      <c r="Z1463" s="368"/>
      <c r="AA1463" s="368"/>
      <c r="AB1463" s="368"/>
      <c r="AC1463" s="368"/>
      <c r="AD1463" s="368"/>
      <c r="AE1463" s="368"/>
      <c r="AF1463" s="377"/>
      <c r="AJ1463" s="337">
        <v>443</v>
      </c>
    </row>
    <row r="1464" spans="1:36">
      <c r="A1464" s="332">
        <f t="shared" si="48"/>
        <v>444</v>
      </c>
      <c r="G1464" s="349" t="s">
        <v>2674</v>
      </c>
      <c r="H1464" s="368" t="s">
        <v>2496</v>
      </c>
      <c r="I1464" s="368" t="s">
        <v>2630</v>
      </c>
      <c r="J1464" s="368" t="s">
        <v>1375</v>
      </c>
      <c r="K1464" s="368" t="s">
        <v>2630</v>
      </c>
      <c r="L1464" s="368" t="s">
        <v>1375</v>
      </c>
      <c r="M1464" s="368" t="s">
        <v>1384</v>
      </c>
      <c r="N1464" s="368" t="s">
        <v>867</v>
      </c>
      <c r="O1464" s="376">
        <v>53044</v>
      </c>
      <c r="P1464" s="368" t="s">
        <v>1385</v>
      </c>
      <c r="Q1464" s="368" t="s">
        <v>1386</v>
      </c>
      <c r="R1464" s="368" t="s">
        <v>867</v>
      </c>
      <c r="S1464" s="368" t="s">
        <v>864</v>
      </c>
      <c r="T1464" s="368" t="s">
        <v>362</v>
      </c>
      <c r="U1464" s="368" t="s">
        <v>867</v>
      </c>
      <c r="V1464" s="368" t="s">
        <v>867</v>
      </c>
      <c r="W1464" s="368" t="s">
        <v>1378</v>
      </c>
      <c r="X1464" s="368">
        <v>0</v>
      </c>
      <c r="Y1464" s="368">
        <v>99</v>
      </c>
      <c r="Z1464" s="368"/>
      <c r="AA1464" s="368"/>
      <c r="AB1464" s="368"/>
      <c r="AC1464" s="368"/>
      <c r="AD1464" s="368"/>
      <c r="AE1464" s="368"/>
      <c r="AF1464" s="377"/>
      <c r="AJ1464" s="337">
        <v>444</v>
      </c>
    </row>
    <row r="1465" spans="1:36">
      <c r="A1465" s="332">
        <f t="shared" si="48"/>
        <v>445</v>
      </c>
      <c r="G1465" s="349" t="s">
        <v>2675</v>
      </c>
      <c r="H1465" s="368" t="s">
        <v>2676</v>
      </c>
      <c r="I1465" s="368" t="s">
        <v>1605</v>
      </c>
      <c r="J1465" s="368" t="s">
        <v>1375</v>
      </c>
      <c r="K1465" s="368" t="s">
        <v>1605</v>
      </c>
      <c r="L1465" s="368" t="s">
        <v>1375</v>
      </c>
      <c r="M1465" s="368" t="s">
        <v>1384</v>
      </c>
      <c r="N1465" s="368" t="s">
        <v>867</v>
      </c>
      <c r="O1465" s="376">
        <v>67893</v>
      </c>
      <c r="P1465" s="368" t="s">
        <v>1385</v>
      </c>
      <c r="Q1465" s="368" t="s">
        <v>1386</v>
      </c>
      <c r="R1465" s="368" t="s">
        <v>867</v>
      </c>
      <c r="S1465" s="368" t="s">
        <v>864</v>
      </c>
      <c r="T1465" s="368" t="s">
        <v>362</v>
      </c>
      <c r="U1465" s="368" t="s">
        <v>867</v>
      </c>
      <c r="V1465" s="368" t="s">
        <v>867</v>
      </c>
      <c r="W1465" s="368" t="s">
        <v>1378</v>
      </c>
      <c r="X1465" s="368">
        <v>0</v>
      </c>
      <c r="Y1465" s="368">
        <v>99</v>
      </c>
      <c r="Z1465" s="368"/>
      <c r="AA1465" s="368"/>
      <c r="AB1465" s="368"/>
      <c r="AC1465" s="368"/>
      <c r="AD1465" s="368"/>
      <c r="AE1465" s="368"/>
      <c r="AF1465" s="377"/>
      <c r="AJ1465" s="337">
        <v>445</v>
      </c>
    </row>
    <row r="1466" spans="1:36">
      <c r="A1466" s="332">
        <f t="shared" si="48"/>
        <v>446</v>
      </c>
      <c r="G1466" s="349" t="s">
        <v>2677</v>
      </c>
      <c r="H1466" s="368" t="s">
        <v>2678</v>
      </c>
      <c r="I1466" s="368" t="s">
        <v>2679</v>
      </c>
      <c r="J1466" s="368" t="s">
        <v>1399</v>
      </c>
      <c r="K1466" s="368" t="s">
        <v>2679</v>
      </c>
      <c r="L1466" s="368" t="s">
        <v>1399</v>
      </c>
      <c r="M1466" s="368" t="s">
        <v>1384</v>
      </c>
      <c r="N1466" s="368" t="s">
        <v>867</v>
      </c>
      <c r="O1466" s="376">
        <v>73128</v>
      </c>
      <c r="P1466" s="368" t="s">
        <v>1385</v>
      </c>
      <c r="Q1466" s="368" t="s">
        <v>1386</v>
      </c>
      <c r="R1466" s="368" t="s">
        <v>867</v>
      </c>
      <c r="S1466" s="368" t="s">
        <v>864</v>
      </c>
      <c r="T1466" s="368" t="s">
        <v>362</v>
      </c>
      <c r="U1466" s="368" t="s">
        <v>867</v>
      </c>
      <c r="V1466" s="368" t="s">
        <v>867</v>
      </c>
      <c r="W1466" s="368" t="s">
        <v>1378</v>
      </c>
      <c r="X1466" s="368">
        <v>150</v>
      </c>
      <c r="Y1466" s="368">
        <v>99</v>
      </c>
      <c r="Z1466" s="368"/>
      <c r="AA1466" s="368"/>
      <c r="AB1466" s="368"/>
      <c r="AC1466" s="368"/>
      <c r="AD1466" s="368"/>
      <c r="AE1466" s="368"/>
      <c r="AF1466" s="377"/>
      <c r="AJ1466" s="337">
        <v>446</v>
      </c>
    </row>
    <row r="1467" spans="1:36">
      <c r="A1467" s="332">
        <f t="shared" si="48"/>
        <v>447</v>
      </c>
      <c r="G1467" s="349" t="s">
        <v>2680</v>
      </c>
      <c r="H1467" s="368" t="s">
        <v>2681</v>
      </c>
      <c r="I1467" s="368" t="s">
        <v>2682</v>
      </c>
      <c r="J1467" s="368" t="s">
        <v>1375</v>
      </c>
      <c r="K1467" s="368" t="s">
        <v>2682</v>
      </c>
      <c r="L1467" s="368" t="s">
        <v>1375</v>
      </c>
      <c r="M1467" s="368" t="s">
        <v>1376</v>
      </c>
      <c r="N1467" s="368" t="s">
        <v>867</v>
      </c>
      <c r="O1467" s="376">
        <v>58202</v>
      </c>
      <c r="P1467" s="368" t="s">
        <v>1447</v>
      </c>
      <c r="Q1467" s="368" t="s">
        <v>1386</v>
      </c>
      <c r="R1467" s="368" t="s">
        <v>867</v>
      </c>
      <c r="S1467" s="368" t="s">
        <v>864</v>
      </c>
      <c r="T1467" s="368" t="s">
        <v>362</v>
      </c>
      <c r="U1467" s="368" t="s">
        <v>867</v>
      </c>
      <c r="V1467" s="368" t="s">
        <v>867</v>
      </c>
      <c r="W1467" s="368" t="s">
        <v>1378</v>
      </c>
      <c r="X1467" s="368">
        <v>0</v>
      </c>
      <c r="Y1467" s="368">
        <v>99</v>
      </c>
      <c r="Z1467" s="368"/>
      <c r="AA1467" s="368"/>
      <c r="AB1467" s="368"/>
      <c r="AC1467" s="368"/>
      <c r="AD1467" s="368"/>
      <c r="AE1467" s="368"/>
      <c r="AF1467" s="377"/>
      <c r="AJ1467" s="337">
        <v>447</v>
      </c>
    </row>
    <row r="1468" spans="1:36">
      <c r="A1468" s="332">
        <f t="shared" si="48"/>
        <v>448</v>
      </c>
      <c r="G1468" s="349" t="s">
        <v>2683</v>
      </c>
      <c r="H1468" s="368" t="s">
        <v>2684</v>
      </c>
      <c r="I1468" s="368" t="s">
        <v>2685</v>
      </c>
      <c r="J1468" s="368" t="s">
        <v>1442</v>
      </c>
      <c r="K1468" s="368" t="s">
        <v>2685</v>
      </c>
      <c r="L1468" s="368" t="s">
        <v>1442</v>
      </c>
      <c r="M1468" s="368" t="s">
        <v>1384</v>
      </c>
      <c r="N1468" s="368" t="s">
        <v>867</v>
      </c>
      <c r="O1468" s="376">
        <v>84544</v>
      </c>
      <c r="P1468" s="368" t="s">
        <v>1385</v>
      </c>
      <c r="Q1468" s="368" t="s">
        <v>1386</v>
      </c>
      <c r="R1468" s="368" t="s">
        <v>867</v>
      </c>
      <c r="S1468" s="368" t="s">
        <v>864</v>
      </c>
      <c r="T1468" s="368" t="s">
        <v>362</v>
      </c>
      <c r="U1468" s="368" t="s">
        <v>867</v>
      </c>
      <c r="V1468" s="368" t="s">
        <v>867</v>
      </c>
      <c r="W1468" s="368" t="s">
        <v>1378</v>
      </c>
      <c r="X1468" s="368">
        <v>200</v>
      </c>
      <c r="Y1468" s="368">
        <v>99</v>
      </c>
      <c r="Z1468" s="368"/>
      <c r="AA1468" s="368"/>
      <c r="AB1468" s="368"/>
      <c r="AC1468" s="368"/>
      <c r="AD1468" s="368"/>
      <c r="AE1468" s="368"/>
      <c r="AF1468" s="377"/>
      <c r="AJ1468" s="337">
        <v>448</v>
      </c>
    </row>
    <row r="1469" spans="1:36">
      <c r="A1469" s="332">
        <f t="shared" si="48"/>
        <v>449</v>
      </c>
      <c r="G1469" s="349" t="s">
        <v>2686</v>
      </c>
      <c r="H1469" s="368" t="s">
        <v>2687</v>
      </c>
      <c r="I1469" s="368" t="s">
        <v>2491</v>
      </c>
      <c r="J1469" s="368" t="s">
        <v>1375</v>
      </c>
      <c r="K1469" s="368" t="s">
        <v>2491</v>
      </c>
      <c r="L1469" s="368" t="s">
        <v>1375</v>
      </c>
      <c r="M1469" s="368" t="s">
        <v>1384</v>
      </c>
      <c r="N1469" s="368" t="s">
        <v>867</v>
      </c>
      <c r="O1469" s="376">
        <v>92058</v>
      </c>
      <c r="P1469" s="368" t="s">
        <v>1385</v>
      </c>
      <c r="Q1469" s="368" t="s">
        <v>1386</v>
      </c>
      <c r="R1469" s="368" t="s">
        <v>867</v>
      </c>
      <c r="S1469" s="368" t="s">
        <v>864</v>
      </c>
      <c r="T1469" s="368" t="s">
        <v>362</v>
      </c>
      <c r="U1469" s="368" t="s">
        <v>867</v>
      </c>
      <c r="V1469" s="368" t="s">
        <v>867</v>
      </c>
      <c r="W1469" s="368" t="s">
        <v>1378</v>
      </c>
      <c r="X1469" s="368">
        <v>0</v>
      </c>
      <c r="Y1469" s="368">
        <v>99</v>
      </c>
      <c r="Z1469" s="368"/>
      <c r="AA1469" s="368"/>
      <c r="AB1469" s="368"/>
      <c r="AC1469" s="368"/>
      <c r="AD1469" s="368"/>
      <c r="AE1469" s="368"/>
      <c r="AF1469" s="377"/>
      <c r="AJ1469" s="337">
        <v>449</v>
      </c>
    </row>
    <row r="1470" spans="1:36">
      <c r="A1470" s="332">
        <f t="shared" si="48"/>
        <v>450</v>
      </c>
      <c r="G1470" s="349" t="s">
        <v>2688</v>
      </c>
      <c r="H1470" s="368" t="s">
        <v>1822</v>
      </c>
      <c r="I1470" s="368" t="s">
        <v>2086</v>
      </c>
      <c r="J1470" s="368" t="s">
        <v>1375</v>
      </c>
      <c r="K1470" s="368" t="s">
        <v>2086</v>
      </c>
      <c r="L1470" s="368" t="s">
        <v>1375</v>
      </c>
      <c r="M1470" s="368" t="s">
        <v>1384</v>
      </c>
      <c r="N1470" s="368" t="s">
        <v>867</v>
      </c>
      <c r="O1470" s="376">
        <v>33139</v>
      </c>
      <c r="P1470" s="368" t="s">
        <v>1385</v>
      </c>
      <c r="Q1470" s="368" t="s">
        <v>1386</v>
      </c>
      <c r="R1470" s="368" t="s">
        <v>867</v>
      </c>
      <c r="S1470" s="368" t="s">
        <v>864</v>
      </c>
      <c r="T1470" s="368" t="s">
        <v>362</v>
      </c>
      <c r="U1470" s="368" t="s">
        <v>867</v>
      </c>
      <c r="V1470" s="368" t="s">
        <v>867</v>
      </c>
      <c r="W1470" s="368" t="s">
        <v>1378</v>
      </c>
      <c r="X1470" s="368">
        <v>0</v>
      </c>
      <c r="Y1470" s="368">
        <v>99</v>
      </c>
      <c r="Z1470" s="368"/>
      <c r="AA1470" s="368"/>
      <c r="AB1470" s="368"/>
      <c r="AC1470" s="368"/>
      <c r="AD1470" s="368"/>
      <c r="AE1470" s="368"/>
      <c r="AF1470" s="377"/>
      <c r="AJ1470" s="337">
        <v>450</v>
      </c>
    </row>
    <row r="1471" spans="1:36">
      <c r="A1471" s="332">
        <f t="shared" ref="A1471:A1515" si="49">1+A1470</f>
        <v>451</v>
      </c>
      <c r="G1471" s="349" t="s">
        <v>2689</v>
      </c>
      <c r="H1471" s="368" t="s">
        <v>2690</v>
      </c>
      <c r="I1471" s="368" t="s">
        <v>2691</v>
      </c>
      <c r="J1471" s="368" t="s">
        <v>1375</v>
      </c>
      <c r="K1471" s="368" t="s">
        <v>2691</v>
      </c>
      <c r="L1471" s="368" t="s">
        <v>1375</v>
      </c>
      <c r="M1471" s="368" t="s">
        <v>1384</v>
      </c>
      <c r="N1471" s="368" t="s">
        <v>867</v>
      </c>
      <c r="O1471" s="376">
        <v>84128</v>
      </c>
      <c r="P1471" s="368" t="s">
        <v>1385</v>
      </c>
      <c r="Q1471" s="368" t="s">
        <v>1688</v>
      </c>
      <c r="R1471" s="368" t="s">
        <v>867</v>
      </c>
      <c r="S1471" s="368" t="s">
        <v>864</v>
      </c>
      <c r="T1471" s="368" t="s">
        <v>362</v>
      </c>
      <c r="U1471" s="368" t="s">
        <v>867</v>
      </c>
      <c r="V1471" s="368" t="s">
        <v>867</v>
      </c>
      <c r="W1471" s="368" t="s">
        <v>1378</v>
      </c>
      <c r="X1471" s="368">
        <v>5600</v>
      </c>
      <c r="Y1471" s="368">
        <v>99</v>
      </c>
      <c r="Z1471" s="368"/>
      <c r="AA1471" s="368"/>
      <c r="AB1471" s="368"/>
      <c r="AC1471" s="368"/>
      <c r="AD1471" s="368"/>
      <c r="AE1471" s="368"/>
      <c r="AF1471" s="377"/>
      <c r="AJ1471" s="337">
        <v>451</v>
      </c>
    </row>
    <row r="1472" spans="1:36">
      <c r="A1472" s="332">
        <f t="shared" si="49"/>
        <v>452</v>
      </c>
      <c r="G1472" s="349" t="s">
        <v>2692</v>
      </c>
      <c r="H1472" s="368" t="s">
        <v>2693</v>
      </c>
      <c r="I1472" s="368" t="s">
        <v>2694</v>
      </c>
      <c r="J1472" s="368" t="s">
        <v>1375</v>
      </c>
      <c r="K1472" s="368" t="s">
        <v>2694</v>
      </c>
      <c r="L1472" s="368" t="s">
        <v>1375</v>
      </c>
      <c r="M1472" s="368" t="s">
        <v>1376</v>
      </c>
      <c r="N1472" s="368" t="s">
        <v>867</v>
      </c>
      <c r="O1472" s="376">
        <v>92075</v>
      </c>
      <c r="P1472" s="368" t="s">
        <v>1385</v>
      </c>
      <c r="Q1472" s="368" t="s">
        <v>1386</v>
      </c>
      <c r="R1472" s="368" t="s">
        <v>867</v>
      </c>
      <c r="S1472" s="368" t="s">
        <v>864</v>
      </c>
      <c r="T1472" s="368" t="s">
        <v>362</v>
      </c>
      <c r="U1472" s="368" t="s">
        <v>867</v>
      </c>
      <c r="V1472" s="368" t="s">
        <v>867</v>
      </c>
      <c r="W1472" s="368" t="s">
        <v>1378</v>
      </c>
      <c r="X1472" s="368">
        <v>0</v>
      </c>
      <c r="Y1472" s="368">
        <v>99</v>
      </c>
      <c r="Z1472" s="368"/>
      <c r="AA1472" s="368"/>
      <c r="AB1472" s="368"/>
      <c r="AC1472" s="368"/>
      <c r="AD1472" s="368"/>
      <c r="AE1472" s="368"/>
      <c r="AF1472" s="377"/>
      <c r="AJ1472" s="337">
        <v>452</v>
      </c>
    </row>
    <row r="1473" spans="1:36">
      <c r="A1473" s="332">
        <f t="shared" si="49"/>
        <v>453</v>
      </c>
      <c r="G1473" s="349" t="s">
        <v>2695</v>
      </c>
      <c r="H1473" s="368" t="s">
        <v>2696</v>
      </c>
      <c r="I1473" s="368" t="s">
        <v>2697</v>
      </c>
      <c r="J1473" s="368" t="s">
        <v>1375</v>
      </c>
      <c r="K1473" s="368" t="s">
        <v>2697</v>
      </c>
      <c r="L1473" s="368" t="s">
        <v>1375</v>
      </c>
      <c r="M1473" s="368" t="s">
        <v>1384</v>
      </c>
      <c r="N1473" s="368" t="s">
        <v>867</v>
      </c>
      <c r="O1473" s="376">
        <v>63553</v>
      </c>
      <c r="P1473" s="368" t="s">
        <v>1385</v>
      </c>
      <c r="Q1473" s="368" t="s">
        <v>1443</v>
      </c>
      <c r="R1473" s="368" t="s">
        <v>867</v>
      </c>
      <c r="S1473" s="368" t="s">
        <v>864</v>
      </c>
      <c r="T1473" s="368" t="s">
        <v>362</v>
      </c>
      <c r="U1473" s="368" t="s">
        <v>867</v>
      </c>
      <c r="V1473" s="368" t="s">
        <v>867</v>
      </c>
      <c r="W1473" s="368" t="s">
        <v>1378</v>
      </c>
      <c r="X1473" s="368">
        <v>0</v>
      </c>
      <c r="Y1473" s="368">
        <v>99</v>
      </c>
      <c r="Z1473" s="368"/>
      <c r="AA1473" s="368"/>
      <c r="AB1473" s="368"/>
      <c r="AC1473" s="368"/>
      <c r="AD1473" s="368"/>
      <c r="AE1473" s="368"/>
      <c r="AF1473" s="377"/>
      <c r="AJ1473" s="337">
        <v>453</v>
      </c>
    </row>
    <row r="1474" spans="1:36">
      <c r="A1474" s="332">
        <f t="shared" si="49"/>
        <v>454</v>
      </c>
      <c r="G1474" s="349" t="s">
        <v>2698</v>
      </c>
      <c r="H1474" s="368" t="s">
        <v>2699</v>
      </c>
      <c r="I1474" s="368" t="s">
        <v>2700</v>
      </c>
      <c r="J1474" s="368" t="s">
        <v>1375</v>
      </c>
      <c r="K1474" s="368" t="s">
        <v>2700</v>
      </c>
      <c r="L1474" s="368" t="s">
        <v>1375</v>
      </c>
      <c r="M1474" s="368" t="s">
        <v>1376</v>
      </c>
      <c r="N1474" s="368" t="s">
        <v>867</v>
      </c>
      <c r="O1474" s="376">
        <v>26160</v>
      </c>
      <c r="P1474" s="368" t="s">
        <v>1385</v>
      </c>
      <c r="Q1474" s="368" t="s">
        <v>1386</v>
      </c>
      <c r="R1474" s="368" t="s">
        <v>867</v>
      </c>
      <c r="S1474" s="368" t="s">
        <v>864</v>
      </c>
      <c r="T1474" s="368" t="s">
        <v>362</v>
      </c>
      <c r="U1474" s="368" t="s">
        <v>867</v>
      </c>
      <c r="V1474" s="368" t="s">
        <v>867</v>
      </c>
      <c r="W1474" s="368" t="s">
        <v>1378</v>
      </c>
      <c r="X1474" s="368">
        <v>3371</v>
      </c>
      <c r="Y1474" s="368">
        <v>99</v>
      </c>
      <c r="Z1474" s="368"/>
      <c r="AA1474" s="368"/>
      <c r="AB1474" s="368"/>
      <c r="AC1474" s="368"/>
      <c r="AD1474" s="368"/>
      <c r="AE1474" s="368"/>
      <c r="AF1474" s="377"/>
      <c r="AJ1474" s="337">
        <v>454</v>
      </c>
    </row>
    <row r="1475" spans="1:36">
      <c r="A1475" s="332">
        <f t="shared" si="49"/>
        <v>455</v>
      </c>
      <c r="G1475" s="349" t="s">
        <v>2701</v>
      </c>
      <c r="H1475" s="368" t="s">
        <v>2702</v>
      </c>
      <c r="I1475" s="368" t="s">
        <v>2703</v>
      </c>
      <c r="J1475" s="368" t="s">
        <v>1375</v>
      </c>
      <c r="K1475" s="368" t="s">
        <v>2703</v>
      </c>
      <c r="L1475" s="368" t="s">
        <v>1375</v>
      </c>
      <c r="M1475" s="368" t="s">
        <v>1384</v>
      </c>
      <c r="N1475" s="368" t="s">
        <v>867</v>
      </c>
      <c r="O1475" s="376">
        <v>91229</v>
      </c>
      <c r="P1475" s="368" t="s">
        <v>1385</v>
      </c>
      <c r="Q1475" s="368" t="s">
        <v>1386</v>
      </c>
      <c r="R1475" s="368" t="s">
        <v>867</v>
      </c>
      <c r="S1475" s="368" t="s">
        <v>864</v>
      </c>
      <c r="T1475" s="368" t="s">
        <v>362</v>
      </c>
      <c r="U1475" s="368" t="s">
        <v>867</v>
      </c>
      <c r="V1475" s="368" t="s">
        <v>867</v>
      </c>
      <c r="W1475" s="368" t="s">
        <v>1378</v>
      </c>
      <c r="X1475" s="368">
        <v>2000</v>
      </c>
      <c r="Y1475" s="368">
        <v>99</v>
      </c>
      <c r="Z1475" s="368"/>
      <c r="AA1475" s="368"/>
      <c r="AB1475" s="368"/>
      <c r="AC1475" s="368"/>
      <c r="AD1475" s="368"/>
      <c r="AE1475" s="368"/>
      <c r="AF1475" s="377"/>
      <c r="AJ1475" s="337">
        <v>455</v>
      </c>
    </row>
    <row r="1476" spans="1:36">
      <c r="A1476" s="332">
        <f t="shared" si="49"/>
        <v>456</v>
      </c>
      <c r="G1476" s="349" t="s">
        <v>2704</v>
      </c>
      <c r="H1476" s="368" t="s">
        <v>2705</v>
      </c>
      <c r="I1476" s="368" t="s">
        <v>2706</v>
      </c>
      <c r="J1476" s="368" t="s">
        <v>1375</v>
      </c>
      <c r="K1476" s="368" t="s">
        <v>2706</v>
      </c>
      <c r="L1476" s="368" t="s">
        <v>1375</v>
      </c>
      <c r="M1476" s="368" t="s">
        <v>1384</v>
      </c>
      <c r="N1476" s="368" t="s">
        <v>867</v>
      </c>
      <c r="O1476" s="376">
        <v>62311</v>
      </c>
      <c r="P1476" s="368" t="s">
        <v>1385</v>
      </c>
      <c r="Q1476" s="368" t="s">
        <v>1386</v>
      </c>
      <c r="R1476" s="368" t="s">
        <v>867</v>
      </c>
      <c r="S1476" s="368" t="s">
        <v>864</v>
      </c>
      <c r="T1476" s="368" t="s">
        <v>362</v>
      </c>
      <c r="U1476" s="368" t="s">
        <v>867</v>
      </c>
      <c r="V1476" s="368" t="s">
        <v>867</v>
      </c>
      <c r="W1476" s="368" t="s">
        <v>1378</v>
      </c>
      <c r="X1476" s="368">
        <v>1550</v>
      </c>
      <c r="Y1476" s="368">
        <v>99</v>
      </c>
      <c r="Z1476" s="368"/>
      <c r="AA1476" s="368"/>
      <c r="AB1476" s="368"/>
      <c r="AC1476" s="368"/>
      <c r="AD1476" s="368"/>
      <c r="AE1476" s="368"/>
      <c r="AF1476" s="377"/>
      <c r="AJ1476" s="337">
        <v>456</v>
      </c>
    </row>
    <row r="1477" spans="1:36">
      <c r="A1477" s="332">
        <f t="shared" si="49"/>
        <v>457</v>
      </c>
      <c r="G1477" s="349" t="s">
        <v>2707</v>
      </c>
      <c r="H1477" s="368" t="s">
        <v>2708</v>
      </c>
      <c r="I1477" s="368" t="s">
        <v>2703</v>
      </c>
      <c r="J1477" s="368" t="s">
        <v>1375</v>
      </c>
      <c r="K1477" s="368" t="s">
        <v>2703</v>
      </c>
      <c r="L1477" s="368" t="s">
        <v>1375</v>
      </c>
      <c r="M1477" s="368" t="s">
        <v>1384</v>
      </c>
      <c r="N1477" s="368" t="s">
        <v>867</v>
      </c>
      <c r="O1477" s="376">
        <v>98716</v>
      </c>
      <c r="P1477" s="368" t="s">
        <v>1385</v>
      </c>
      <c r="Q1477" s="368" t="s">
        <v>1443</v>
      </c>
      <c r="R1477" s="368" t="s">
        <v>867</v>
      </c>
      <c r="S1477" s="368" t="s">
        <v>864</v>
      </c>
      <c r="T1477" s="368" t="s">
        <v>362</v>
      </c>
      <c r="U1477" s="368" t="s">
        <v>867</v>
      </c>
      <c r="V1477" s="368" t="s">
        <v>867</v>
      </c>
      <c r="W1477" s="368" t="s">
        <v>1378</v>
      </c>
      <c r="X1477" s="368">
        <v>3100</v>
      </c>
      <c r="Y1477" s="368">
        <v>99</v>
      </c>
      <c r="Z1477" s="368"/>
      <c r="AA1477" s="368"/>
      <c r="AB1477" s="368"/>
      <c r="AC1477" s="368"/>
      <c r="AD1477" s="368"/>
      <c r="AE1477" s="368"/>
      <c r="AF1477" s="377"/>
      <c r="AJ1477" s="337">
        <v>457</v>
      </c>
    </row>
    <row r="1478" spans="1:36">
      <c r="A1478" s="332">
        <f t="shared" si="49"/>
        <v>458</v>
      </c>
      <c r="G1478" s="349" t="s">
        <v>2709</v>
      </c>
      <c r="H1478" s="368" t="s">
        <v>2710</v>
      </c>
      <c r="I1478" s="368" t="s">
        <v>2711</v>
      </c>
      <c r="J1478" s="368" t="s">
        <v>1375</v>
      </c>
      <c r="K1478" s="368" t="s">
        <v>2711</v>
      </c>
      <c r="L1478" s="368" t="s">
        <v>1375</v>
      </c>
      <c r="M1478" s="368" t="s">
        <v>1384</v>
      </c>
      <c r="N1478" s="368" t="s">
        <v>867</v>
      </c>
      <c r="O1478" s="376">
        <v>46515</v>
      </c>
      <c r="P1478" s="368" t="s">
        <v>1385</v>
      </c>
      <c r="Q1478" s="368" t="s">
        <v>1386</v>
      </c>
      <c r="R1478" s="368" t="s">
        <v>867</v>
      </c>
      <c r="S1478" s="368" t="s">
        <v>864</v>
      </c>
      <c r="T1478" s="368" t="s">
        <v>362</v>
      </c>
      <c r="U1478" s="368" t="s">
        <v>867</v>
      </c>
      <c r="V1478" s="368" t="s">
        <v>867</v>
      </c>
      <c r="W1478" s="368" t="s">
        <v>1378</v>
      </c>
      <c r="X1478" s="368">
        <v>0</v>
      </c>
      <c r="Y1478" s="368">
        <v>99</v>
      </c>
      <c r="Z1478" s="368"/>
      <c r="AA1478" s="368"/>
      <c r="AB1478" s="368"/>
      <c r="AC1478" s="368"/>
      <c r="AD1478" s="368"/>
      <c r="AE1478" s="368"/>
      <c r="AF1478" s="377"/>
      <c r="AJ1478" s="337">
        <v>458</v>
      </c>
    </row>
    <row r="1479" spans="1:36">
      <c r="A1479" s="332">
        <f t="shared" si="49"/>
        <v>459</v>
      </c>
      <c r="G1479" s="349" t="s">
        <v>2712</v>
      </c>
      <c r="H1479" s="368" t="s">
        <v>2713</v>
      </c>
      <c r="I1479" s="368" t="s">
        <v>1502</v>
      </c>
      <c r="J1479" s="368" t="s">
        <v>1433</v>
      </c>
      <c r="K1479" s="368" t="s">
        <v>1502</v>
      </c>
      <c r="L1479" s="368" t="s">
        <v>1433</v>
      </c>
      <c r="M1479" s="368" t="s">
        <v>1384</v>
      </c>
      <c r="N1479" s="368" t="s">
        <v>867</v>
      </c>
      <c r="O1479" s="376">
        <v>18569</v>
      </c>
      <c r="P1479" s="368" t="s">
        <v>1385</v>
      </c>
      <c r="Q1479" s="368" t="s">
        <v>1386</v>
      </c>
      <c r="R1479" s="368" t="s">
        <v>867</v>
      </c>
      <c r="S1479" s="368" t="s">
        <v>864</v>
      </c>
      <c r="T1479" s="368" t="s">
        <v>362</v>
      </c>
      <c r="U1479" s="368" t="s">
        <v>867</v>
      </c>
      <c r="V1479" s="368" t="s">
        <v>867</v>
      </c>
      <c r="W1479" s="368" t="s">
        <v>1378</v>
      </c>
      <c r="X1479" s="368">
        <v>0</v>
      </c>
      <c r="Y1479" s="368">
        <v>99</v>
      </c>
      <c r="Z1479" s="368"/>
      <c r="AA1479" s="368"/>
      <c r="AB1479" s="368"/>
      <c r="AC1479" s="368"/>
      <c r="AD1479" s="368"/>
      <c r="AE1479" s="368"/>
      <c r="AF1479" s="377"/>
      <c r="AJ1479" s="337">
        <v>459</v>
      </c>
    </row>
    <row r="1480" spans="1:36">
      <c r="A1480" s="332">
        <f t="shared" si="49"/>
        <v>460</v>
      </c>
      <c r="G1480" s="349" t="s">
        <v>2714</v>
      </c>
      <c r="H1480" s="368" t="s">
        <v>2715</v>
      </c>
      <c r="I1480" s="368" t="s">
        <v>2716</v>
      </c>
      <c r="J1480" s="368" t="s">
        <v>1375</v>
      </c>
      <c r="K1480" s="368" t="s">
        <v>2716</v>
      </c>
      <c r="L1480" s="368" t="s">
        <v>1375</v>
      </c>
      <c r="M1480" s="368" t="s">
        <v>1376</v>
      </c>
      <c r="N1480" s="368" t="s">
        <v>867</v>
      </c>
      <c r="O1480" s="376">
        <v>4716</v>
      </c>
      <c r="P1480" s="368" t="s">
        <v>1447</v>
      </c>
      <c r="Q1480" s="368" t="s">
        <v>1386</v>
      </c>
      <c r="R1480" s="368" t="s">
        <v>867</v>
      </c>
      <c r="S1480" s="368" t="s">
        <v>864</v>
      </c>
      <c r="T1480" s="368" t="s">
        <v>362</v>
      </c>
      <c r="U1480" s="368" t="s">
        <v>867</v>
      </c>
      <c r="V1480" s="368" t="s">
        <v>867</v>
      </c>
      <c r="W1480" s="368" t="s">
        <v>1378</v>
      </c>
      <c r="X1480" s="368">
        <v>200</v>
      </c>
      <c r="Y1480" s="368">
        <v>99</v>
      </c>
      <c r="Z1480" s="368"/>
      <c r="AA1480" s="368"/>
      <c r="AB1480" s="368"/>
      <c r="AC1480" s="368"/>
      <c r="AD1480" s="368"/>
      <c r="AE1480" s="368"/>
      <c r="AF1480" s="377"/>
      <c r="AJ1480" s="337">
        <v>460</v>
      </c>
    </row>
    <row r="1481" spans="1:36">
      <c r="A1481" s="332">
        <f t="shared" si="49"/>
        <v>461</v>
      </c>
      <c r="G1481" s="349" t="s">
        <v>2717</v>
      </c>
      <c r="H1481" s="368" t="s">
        <v>2718</v>
      </c>
      <c r="I1481" s="368" t="s">
        <v>2719</v>
      </c>
      <c r="J1481" s="368" t="s">
        <v>1375</v>
      </c>
      <c r="K1481" s="368" t="s">
        <v>2719</v>
      </c>
      <c r="L1481" s="368" t="s">
        <v>1375</v>
      </c>
      <c r="M1481" s="368" t="s">
        <v>1384</v>
      </c>
      <c r="N1481" s="368" t="s">
        <v>867</v>
      </c>
      <c r="O1481" s="376">
        <v>50236</v>
      </c>
      <c r="P1481" s="368" t="s">
        <v>1385</v>
      </c>
      <c r="Q1481" s="368" t="s">
        <v>1386</v>
      </c>
      <c r="R1481" s="368" t="s">
        <v>867</v>
      </c>
      <c r="S1481" s="368" t="s">
        <v>864</v>
      </c>
      <c r="T1481" s="368" t="s">
        <v>362</v>
      </c>
      <c r="U1481" s="368" t="s">
        <v>867</v>
      </c>
      <c r="V1481" s="368" t="s">
        <v>867</v>
      </c>
      <c r="W1481" s="368" t="s">
        <v>1378</v>
      </c>
      <c r="X1481" s="368">
        <v>0</v>
      </c>
      <c r="Y1481" s="368">
        <v>99</v>
      </c>
      <c r="Z1481" s="368"/>
      <c r="AA1481" s="368"/>
      <c r="AB1481" s="368"/>
      <c r="AC1481" s="368"/>
      <c r="AD1481" s="368"/>
      <c r="AE1481" s="368"/>
      <c r="AF1481" s="377"/>
      <c r="AJ1481" s="337">
        <v>461</v>
      </c>
    </row>
    <row r="1482" spans="1:36">
      <c r="A1482" s="332">
        <f t="shared" si="49"/>
        <v>462</v>
      </c>
      <c r="G1482" s="349" t="s">
        <v>2720</v>
      </c>
      <c r="H1482" s="368" t="s">
        <v>2721</v>
      </c>
      <c r="I1482" s="368" t="s">
        <v>2722</v>
      </c>
      <c r="J1482" s="368" t="s">
        <v>1442</v>
      </c>
      <c r="K1482" s="368" t="s">
        <v>2722</v>
      </c>
      <c r="L1482" s="368" t="s">
        <v>1442</v>
      </c>
      <c r="M1482" s="368" t="s">
        <v>1384</v>
      </c>
      <c r="N1482" s="368" t="s">
        <v>867</v>
      </c>
      <c r="O1482" s="376">
        <v>1344</v>
      </c>
      <c r="P1482" s="368" t="s">
        <v>1385</v>
      </c>
      <c r="Q1482" s="368" t="s">
        <v>1386</v>
      </c>
      <c r="R1482" s="368" t="s">
        <v>867</v>
      </c>
      <c r="S1482" s="368" t="s">
        <v>864</v>
      </c>
      <c r="T1482" s="368" t="s">
        <v>362</v>
      </c>
      <c r="U1482" s="368" t="s">
        <v>867</v>
      </c>
      <c r="V1482" s="368" t="s">
        <v>867</v>
      </c>
      <c r="W1482" s="368" t="s">
        <v>1378</v>
      </c>
      <c r="X1482" s="368">
        <v>0</v>
      </c>
      <c r="Y1482" s="368">
        <v>99</v>
      </c>
      <c r="Z1482" s="368"/>
      <c r="AA1482" s="368"/>
      <c r="AB1482" s="368"/>
      <c r="AC1482" s="368"/>
      <c r="AD1482" s="368"/>
      <c r="AE1482" s="368"/>
      <c r="AF1482" s="377"/>
      <c r="AJ1482" s="337">
        <v>462</v>
      </c>
    </row>
    <row r="1483" spans="1:36">
      <c r="A1483" s="332">
        <f t="shared" si="49"/>
        <v>463</v>
      </c>
      <c r="G1483" s="349" t="s">
        <v>2723</v>
      </c>
      <c r="H1483" s="368" t="s">
        <v>2724</v>
      </c>
      <c r="I1483" s="368" t="s">
        <v>1454</v>
      </c>
      <c r="J1483" s="368" t="s">
        <v>1399</v>
      </c>
      <c r="K1483" s="368" t="s">
        <v>1454</v>
      </c>
      <c r="L1483" s="368" t="s">
        <v>1399</v>
      </c>
      <c r="M1483" s="368" t="s">
        <v>1384</v>
      </c>
      <c r="N1483" s="368" t="s">
        <v>867</v>
      </c>
      <c r="O1483" s="376">
        <v>4099</v>
      </c>
      <c r="P1483" s="368" t="s">
        <v>1385</v>
      </c>
      <c r="Q1483" s="368" t="s">
        <v>1443</v>
      </c>
      <c r="R1483" s="368" t="s">
        <v>867</v>
      </c>
      <c r="S1483" s="368" t="s">
        <v>864</v>
      </c>
      <c r="T1483" s="368" t="s">
        <v>362</v>
      </c>
      <c r="U1483" s="368" t="s">
        <v>867</v>
      </c>
      <c r="V1483" s="368" t="s">
        <v>867</v>
      </c>
      <c r="W1483" s="368" t="s">
        <v>1378</v>
      </c>
      <c r="X1483" s="368">
        <v>0</v>
      </c>
      <c r="Y1483" s="368">
        <v>99</v>
      </c>
      <c r="Z1483" s="368"/>
      <c r="AA1483" s="368"/>
      <c r="AB1483" s="368"/>
      <c r="AC1483" s="368"/>
      <c r="AD1483" s="368"/>
      <c r="AE1483" s="368"/>
      <c r="AF1483" s="377"/>
      <c r="AJ1483" s="337">
        <v>463</v>
      </c>
    </row>
    <row r="1484" spans="1:36">
      <c r="A1484" s="332">
        <f t="shared" si="49"/>
        <v>464</v>
      </c>
      <c r="G1484" s="349" t="s">
        <v>2725</v>
      </c>
      <c r="H1484" s="368" t="s">
        <v>2726</v>
      </c>
      <c r="I1484" s="368" t="s">
        <v>2727</v>
      </c>
      <c r="J1484" s="368" t="s">
        <v>1375</v>
      </c>
      <c r="K1484" s="368" t="s">
        <v>2727</v>
      </c>
      <c r="L1484" s="368" t="s">
        <v>1375</v>
      </c>
      <c r="M1484" s="368" t="s">
        <v>1384</v>
      </c>
      <c r="N1484" s="368" t="s">
        <v>867</v>
      </c>
      <c r="O1484" s="376">
        <v>19937</v>
      </c>
      <c r="P1484" s="368" t="s">
        <v>1385</v>
      </c>
      <c r="Q1484" s="368" t="s">
        <v>1386</v>
      </c>
      <c r="R1484" s="368" t="s">
        <v>867</v>
      </c>
      <c r="S1484" s="368" t="s">
        <v>864</v>
      </c>
      <c r="T1484" s="368" t="s">
        <v>362</v>
      </c>
      <c r="U1484" s="368" t="s">
        <v>867</v>
      </c>
      <c r="V1484" s="368" t="s">
        <v>867</v>
      </c>
      <c r="W1484" s="368" t="s">
        <v>1378</v>
      </c>
      <c r="X1484" s="368">
        <v>0</v>
      </c>
      <c r="Y1484" s="368">
        <v>99</v>
      </c>
      <c r="Z1484" s="368"/>
      <c r="AA1484" s="368"/>
      <c r="AB1484" s="368"/>
      <c r="AC1484" s="368"/>
      <c r="AD1484" s="368"/>
      <c r="AE1484" s="368"/>
      <c r="AF1484" s="377"/>
      <c r="AJ1484" s="337">
        <v>464</v>
      </c>
    </row>
    <row r="1485" spans="1:36">
      <c r="A1485" s="332">
        <f t="shared" si="49"/>
        <v>465</v>
      </c>
      <c r="G1485" s="349" t="s">
        <v>2728</v>
      </c>
      <c r="H1485" s="368" t="s">
        <v>2729</v>
      </c>
      <c r="I1485" s="368" t="s">
        <v>2730</v>
      </c>
      <c r="J1485" s="368" t="s">
        <v>1399</v>
      </c>
      <c r="K1485" s="368" t="s">
        <v>2730</v>
      </c>
      <c r="L1485" s="368" t="s">
        <v>1399</v>
      </c>
      <c r="M1485" s="368" t="s">
        <v>1384</v>
      </c>
      <c r="N1485" s="368" t="s">
        <v>867</v>
      </c>
      <c r="O1485" s="376">
        <v>90919</v>
      </c>
      <c r="P1485" s="368" t="s">
        <v>1385</v>
      </c>
      <c r="Q1485" s="368" t="s">
        <v>1386</v>
      </c>
      <c r="R1485" s="368" t="s">
        <v>867</v>
      </c>
      <c r="S1485" s="368" t="s">
        <v>864</v>
      </c>
      <c r="T1485" s="368" t="s">
        <v>362</v>
      </c>
      <c r="U1485" s="368" t="s">
        <v>867</v>
      </c>
      <c r="V1485" s="368" t="s">
        <v>867</v>
      </c>
      <c r="W1485" s="368" t="s">
        <v>1378</v>
      </c>
      <c r="X1485" s="368">
        <v>400</v>
      </c>
      <c r="Y1485" s="368">
        <v>99</v>
      </c>
      <c r="Z1485" s="368"/>
      <c r="AA1485" s="368"/>
      <c r="AB1485" s="368"/>
      <c r="AC1485" s="368"/>
      <c r="AD1485" s="368"/>
      <c r="AE1485" s="368"/>
      <c r="AF1485" s="377"/>
      <c r="AJ1485" s="337">
        <v>465</v>
      </c>
    </row>
    <row r="1486" spans="1:36">
      <c r="A1486" s="332">
        <f t="shared" si="49"/>
        <v>466</v>
      </c>
      <c r="G1486" s="349" t="s">
        <v>2731</v>
      </c>
      <c r="H1486" s="368" t="s">
        <v>2732</v>
      </c>
      <c r="I1486" s="368" t="s">
        <v>2508</v>
      </c>
      <c r="J1486" s="368" t="s">
        <v>1375</v>
      </c>
      <c r="K1486" s="368" t="s">
        <v>2508</v>
      </c>
      <c r="L1486" s="368" t="s">
        <v>1375</v>
      </c>
      <c r="M1486" s="368" t="s">
        <v>1384</v>
      </c>
      <c r="N1486" s="368" t="s">
        <v>867</v>
      </c>
      <c r="O1486" s="376">
        <v>27490</v>
      </c>
      <c r="P1486" s="368" t="s">
        <v>1385</v>
      </c>
      <c r="Q1486" s="368" t="s">
        <v>1443</v>
      </c>
      <c r="R1486" s="368" t="s">
        <v>867</v>
      </c>
      <c r="S1486" s="368" t="s">
        <v>864</v>
      </c>
      <c r="T1486" s="368" t="s">
        <v>362</v>
      </c>
      <c r="U1486" s="368" t="s">
        <v>867</v>
      </c>
      <c r="V1486" s="368" t="s">
        <v>867</v>
      </c>
      <c r="W1486" s="368" t="s">
        <v>1378</v>
      </c>
      <c r="X1486" s="368">
        <v>0</v>
      </c>
      <c r="Y1486" s="368">
        <v>99</v>
      </c>
      <c r="Z1486" s="368"/>
      <c r="AA1486" s="368"/>
      <c r="AB1486" s="368"/>
      <c r="AC1486" s="368"/>
      <c r="AD1486" s="368"/>
      <c r="AE1486" s="368"/>
      <c r="AF1486" s="377"/>
      <c r="AJ1486" s="337">
        <v>466</v>
      </c>
    </row>
    <row r="1487" spans="1:36">
      <c r="A1487" s="332">
        <f t="shared" si="49"/>
        <v>467</v>
      </c>
      <c r="G1487" s="349" t="s">
        <v>2733</v>
      </c>
      <c r="H1487" s="368" t="s">
        <v>2603</v>
      </c>
      <c r="I1487" s="368" t="s">
        <v>2734</v>
      </c>
      <c r="J1487" s="368" t="s">
        <v>1442</v>
      </c>
      <c r="K1487" s="368" t="s">
        <v>2734</v>
      </c>
      <c r="L1487" s="368" t="s">
        <v>1442</v>
      </c>
      <c r="M1487" s="368" t="s">
        <v>1384</v>
      </c>
      <c r="N1487" s="368" t="s">
        <v>867</v>
      </c>
      <c r="O1487" s="376">
        <v>72770</v>
      </c>
      <c r="P1487" s="368" t="s">
        <v>1385</v>
      </c>
      <c r="Q1487" s="368" t="s">
        <v>1443</v>
      </c>
      <c r="R1487" s="368" t="s">
        <v>867</v>
      </c>
      <c r="S1487" s="368" t="s">
        <v>864</v>
      </c>
      <c r="T1487" s="368" t="s">
        <v>362</v>
      </c>
      <c r="U1487" s="368" t="s">
        <v>867</v>
      </c>
      <c r="V1487" s="368" t="s">
        <v>867</v>
      </c>
      <c r="W1487" s="368" t="s">
        <v>1378</v>
      </c>
      <c r="X1487" s="368">
        <v>0</v>
      </c>
      <c r="Y1487" s="368">
        <v>99</v>
      </c>
      <c r="Z1487" s="368"/>
      <c r="AA1487" s="368"/>
      <c r="AB1487" s="368"/>
      <c r="AC1487" s="368"/>
      <c r="AD1487" s="368"/>
      <c r="AE1487" s="368"/>
      <c r="AF1487" s="377"/>
      <c r="AJ1487" s="337">
        <v>467</v>
      </c>
    </row>
    <row r="1488" spans="1:36">
      <c r="A1488" s="332">
        <f t="shared" si="49"/>
        <v>468</v>
      </c>
      <c r="G1488" s="349" t="s">
        <v>2735</v>
      </c>
      <c r="H1488" s="368" t="s">
        <v>2736</v>
      </c>
      <c r="I1488" s="368" t="s">
        <v>2284</v>
      </c>
      <c r="J1488" s="368" t="s">
        <v>1399</v>
      </c>
      <c r="K1488" s="368" t="s">
        <v>2284</v>
      </c>
      <c r="L1488" s="368" t="s">
        <v>1399</v>
      </c>
      <c r="M1488" s="368" t="s">
        <v>1384</v>
      </c>
      <c r="N1488" s="368" t="s">
        <v>867</v>
      </c>
      <c r="O1488" s="376">
        <v>60423</v>
      </c>
      <c r="P1488" s="368" t="s">
        <v>1385</v>
      </c>
      <c r="Q1488" s="368" t="s">
        <v>1386</v>
      </c>
      <c r="R1488" s="368" t="s">
        <v>867</v>
      </c>
      <c r="S1488" s="368" t="s">
        <v>864</v>
      </c>
      <c r="T1488" s="368" t="s">
        <v>362</v>
      </c>
      <c r="U1488" s="368" t="s">
        <v>867</v>
      </c>
      <c r="V1488" s="368" t="s">
        <v>867</v>
      </c>
      <c r="W1488" s="368" t="s">
        <v>1378</v>
      </c>
      <c r="X1488" s="368">
        <v>0</v>
      </c>
      <c r="Y1488" s="368">
        <v>99</v>
      </c>
      <c r="Z1488" s="368"/>
      <c r="AA1488" s="368"/>
      <c r="AB1488" s="368"/>
      <c r="AC1488" s="368"/>
      <c r="AD1488" s="368"/>
      <c r="AE1488" s="368"/>
      <c r="AF1488" s="377"/>
      <c r="AJ1488" s="337">
        <v>468</v>
      </c>
    </row>
    <row r="1489" spans="1:36">
      <c r="A1489" s="332">
        <f t="shared" si="49"/>
        <v>469</v>
      </c>
      <c r="G1489" s="349" t="s">
        <v>2737</v>
      </c>
      <c r="H1489" s="368" t="s">
        <v>2252</v>
      </c>
      <c r="I1489" s="368" t="s">
        <v>2738</v>
      </c>
      <c r="J1489" s="368" t="s">
        <v>1375</v>
      </c>
      <c r="K1489" s="368" t="s">
        <v>2738</v>
      </c>
      <c r="L1489" s="368" t="s">
        <v>1375</v>
      </c>
      <c r="M1489" s="368" t="s">
        <v>1384</v>
      </c>
      <c r="N1489" s="368" t="s">
        <v>867</v>
      </c>
      <c r="O1489" s="376">
        <v>21453</v>
      </c>
      <c r="P1489" s="368" t="s">
        <v>1385</v>
      </c>
      <c r="Q1489" s="368" t="s">
        <v>1386</v>
      </c>
      <c r="R1489" s="368" t="s">
        <v>867</v>
      </c>
      <c r="S1489" s="368" t="s">
        <v>864</v>
      </c>
      <c r="T1489" s="368" t="s">
        <v>362</v>
      </c>
      <c r="U1489" s="368" t="s">
        <v>867</v>
      </c>
      <c r="V1489" s="368" t="s">
        <v>867</v>
      </c>
      <c r="W1489" s="368" t="s">
        <v>1378</v>
      </c>
      <c r="X1489" s="368">
        <v>300</v>
      </c>
      <c r="Y1489" s="368">
        <v>99</v>
      </c>
      <c r="Z1489" s="368"/>
      <c r="AA1489" s="368"/>
      <c r="AB1489" s="368"/>
      <c r="AC1489" s="368"/>
      <c r="AD1489" s="368"/>
      <c r="AE1489" s="368"/>
      <c r="AF1489" s="377"/>
      <c r="AJ1489" s="337">
        <v>469</v>
      </c>
    </row>
    <row r="1490" spans="1:36">
      <c r="A1490" s="332">
        <f t="shared" si="49"/>
        <v>470</v>
      </c>
      <c r="G1490" s="349" t="s">
        <v>2739</v>
      </c>
      <c r="H1490" s="368" t="s">
        <v>2740</v>
      </c>
      <c r="I1490" s="368" t="s">
        <v>2741</v>
      </c>
      <c r="J1490" s="368" t="s">
        <v>1375</v>
      </c>
      <c r="K1490" s="368" t="s">
        <v>2741</v>
      </c>
      <c r="L1490" s="368" t="s">
        <v>1375</v>
      </c>
      <c r="M1490" s="368" t="s">
        <v>1384</v>
      </c>
      <c r="N1490" s="368" t="s">
        <v>867</v>
      </c>
      <c r="O1490" s="376">
        <v>71536</v>
      </c>
      <c r="P1490" s="368" t="s">
        <v>1385</v>
      </c>
      <c r="Q1490" s="368" t="s">
        <v>1386</v>
      </c>
      <c r="R1490" s="368" t="s">
        <v>867</v>
      </c>
      <c r="S1490" s="368" t="s">
        <v>864</v>
      </c>
      <c r="T1490" s="368" t="s">
        <v>1387</v>
      </c>
      <c r="U1490" s="368" t="s">
        <v>867</v>
      </c>
      <c r="V1490" s="368" t="s">
        <v>867</v>
      </c>
      <c r="W1490" s="368" t="s">
        <v>1378</v>
      </c>
      <c r="X1490" s="368">
        <v>0</v>
      </c>
      <c r="Y1490" s="368">
        <v>99</v>
      </c>
      <c r="Z1490" s="368"/>
      <c r="AA1490" s="368"/>
      <c r="AB1490" s="368"/>
      <c r="AC1490" s="368"/>
      <c r="AD1490" s="368"/>
      <c r="AE1490" s="368"/>
      <c r="AF1490" s="377"/>
      <c r="AJ1490" s="337">
        <v>470</v>
      </c>
    </row>
    <row r="1491" spans="1:36">
      <c r="A1491" s="332">
        <f t="shared" si="49"/>
        <v>471</v>
      </c>
      <c r="G1491" s="349" t="s">
        <v>2742</v>
      </c>
      <c r="H1491" s="368" t="s">
        <v>2743</v>
      </c>
      <c r="I1491" s="368" t="s">
        <v>1842</v>
      </c>
      <c r="J1491" s="368" t="s">
        <v>1442</v>
      </c>
      <c r="K1491" s="368" t="s">
        <v>1842</v>
      </c>
      <c r="L1491" s="368" t="s">
        <v>1442</v>
      </c>
      <c r="M1491" s="368" t="s">
        <v>1384</v>
      </c>
      <c r="N1491" s="368" t="s">
        <v>867</v>
      </c>
      <c r="O1491" s="376">
        <v>87792</v>
      </c>
      <c r="P1491" s="368" t="s">
        <v>1385</v>
      </c>
      <c r="Q1491" s="368" t="s">
        <v>1386</v>
      </c>
      <c r="R1491" s="368" t="s">
        <v>867</v>
      </c>
      <c r="S1491" s="368" t="s">
        <v>864</v>
      </c>
      <c r="T1491" s="368" t="s">
        <v>362</v>
      </c>
      <c r="U1491" s="368" t="s">
        <v>867</v>
      </c>
      <c r="V1491" s="368" t="s">
        <v>867</v>
      </c>
      <c r="W1491" s="368" t="s">
        <v>1378</v>
      </c>
      <c r="X1491" s="368">
        <v>0</v>
      </c>
      <c r="Y1491" s="368">
        <v>99</v>
      </c>
      <c r="Z1491" s="368"/>
      <c r="AA1491" s="368"/>
      <c r="AB1491" s="368"/>
      <c r="AC1491" s="368"/>
      <c r="AD1491" s="368"/>
      <c r="AE1491" s="368"/>
      <c r="AF1491" s="377"/>
      <c r="AJ1491" s="337">
        <v>471</v>
      </c>
    </row>
    <row r="1492" spans="1:36">
      <c r="A1492" s="332">
        <f t="shared" si="49"/>
        <v>472</v>
      </c>
      <c r="G1492" s="349" t="s">
        <v>2744</v>
      </c>
      <c r="H1492" s="368" t="s">
        <v>2745</v>
      </c>
      <c r="I1492" s="368" t="s">
        <v>2746</v>
      </c>
      <c r="J1492" s="368" t="s">
        <v>1375</v>
      </c>
      <c r="K1492" s="368" t="s">
        <v>2746</v>
      </c>
      <c r="L1492" s="368" t="s">
        <v>1375</v>
      </c>
      <c r="M1492" s="368" t="s">
        <v>1384</v>
      </c>
      <c r="N1492" s="368" t="s">
        <v>867</v>
      </c>
      <c r="O1492" s="376">
        <v>84195</v>
      </c>
      <c r="P1492" s="368" t="s">
        <v>1385</v>
      </c>
      <c r="Q1492" s="368" t="s">
        <v>1386</v>
      </c>
      <c r="R1492" s="368" t="s">
        <v>867</v>
      </c>
      <c r="S1492" s="368" t="s">
        <v>864</v>
      </c>
      <c r="T1492" s="368" t="s">
        <v>362</v>
      </c>
      <c r="U1492" s="368" t="s">
        <v>867</v>
      </c>
      <c r="V1492" s="368" t="s">
        <v>867</v>
      </c>
      <c r="W1492" s="368" t="s">
        <v>1378</v>
      </c>
      <c r="X1492" s="368">
        <v>0</v>
      </c>
      <c r="Y1492" s="368">
        <v>99</v>
      </c>
      <c r="Z1492" s="368"/>
      <c r="AA1492" s="368"/>
      <c r="AB1492" s="368"/>
      <c r="AC1492" s="368"/>
      <c r="AD1492" s="368"/>
      <c r="AE1492" s="368"/>
      <c r="AF1492" s="377"/>
      <c r="AJ1492" s="337">
        <v>472</v>
      </c>
    </row>
    <row r="1493" spans="1:36">
      <c r="A1493" s="332">
        <f t="shared" si="49"/>
        <v>473</v>
      </c>
      <c r="G1493" s="349" t="s">
        <v>2747</v>
      </c>
      <c r="H1493" s="368" t="s">
        <v>2748</v>
      </c>
      <c r="I1493" s="368" t="s">
        <v>2491</v>
      </c>
      <c r="J1493" s="368" t="s">
        <v>1375</v>
      </c>
      <c r="K1493" s="368" t="s">
        <v>2491</v>
      </c>
      <c r="L1493" s="368" t="s">
        <v>1375</v>
      </c>
      <c r="M1493" s="368" t="s">
        <v>1384</v>
      </c>
      <c r="N1493" s="368" t="s">
        <v>867</v>
      </c>
      <c r="O1493" s="376">
        <v>4468</v>
      </c>
      <c r="P1493" s="368" t="s">
        <v>1385</v>
      </c>
      <c r="Q1493" s="368" t="s">
        <v>1386</v>
      </c>
      <c r="R1493" s="368" t="s">
        <v>867</v>
      </c>
      <c r="S1493" s="368" t="s">
        <v>864</v>
      </c>
      <c r="T1493" s="368" t="s">
        <v>362</v>
      </c>
      <c r="U1493" s="368" t="s">
        <v>867</v>
      </c>
      <c r="V1493" s="368" t="s">
        <v>867</v>
      </c>
      <c r="W1493" s="368" t="s">
        <v>1378</v>
      </c>
      <c r="X1493" s="368">
        <v>100</v>
      </c>
      <c r="Y1493" s="368">
        <v>99</v>
      </c>
      <c r="Z1493" s="368"/>
      <c r="AA1493" s="368"/>
      <c r="AB1493" s="368"/>
      <c r="AC1493" s="368"/>
      <c r="AD1493" s="368"/>
      <c r="AE1493" s="368"/>
      <c r="AF1493" s="377"/>
      <c r="AJ1493" s="337">
        <v>473</v>
      </c>
    </row>
    <row r="1494" spans="1:36">
      <c r="A1494" s="332">
        <f t="shared" si="49"/>
        <v>474</v>
      </c>
      <c r="G1494" s="349" t="s">
        <v>2749</v>
      </c>
      <c r="H1494" s="368" t="s">
        <v>2750</v>
      </c>
      <c r="I1494" s="368" t="s">
        <v>2595</v>
      </c>
      <c r="J1494" s="368" t="s">
        <v>1375</v>
      </c>
      <c r="K1494" s="368" t="s">
        <v>2595</v>
      </c>
      <c r="L1494" s="368" t="s">
        <v>1375</v>
      </c>
      <c r="M1494" s="368" t="s">
        <v>1384</v>
      </c>
      <c r="N1494" s="368" t="s">
        <v>867</v>
      </c>
      <c r="O1494" s="376">
        <v>55517</v>
      </c>
      <c r="P1494" s="368" t="s">
        <v>1385</v>
      </c>
      <c r="Q1494" s="368" t="s">
        <v>1443</v>
      </c>
      <c r="R1494" s="368" t="s">
        <v>867</v>
      </c>
      <c r="S1494" s="368" t="s">
        <v>864</v>
      </c>
      <c r="T1494" s="368" t="s">
        <v>362</v>
      </c>
      <c r="U1494" s="368" t="s">
        <v>867</v>
      </c>
      <c r="V1494" s="368" t="s">
        <v>867</v>
      </c>
      <c r="W1494" s="368" t="s">
        <v>1378</v>
      </c>
      <c r="X1494" s="368">
        <v>0</v>
      </c>
      <c r="Y1494" s="368">
        <v>99</v>
      </c>
      <c r="Z1494" s="368"/>
      <c r="AA1494" s="368"/>
      <c r="AB1494" s="368"/>
      <c r="AC1494" s="368"/>
      <c r="AD1494" s="368"/>
      <c r="AE1494" s="368"/>
      <c r="AF1494" s="377"/>
      <c r="AJ1494" s="337">
        <v>474</v>
      </c>
    </row>
    <row r="1495" spans="1:36">
      <c r="A1495" s="332">
        <f t="shared" si="49"/>
        <v>475</v>
      </c>
      <c r="G1495" s="349" t="s">
        <v>2751</v>
      </c>
      <c r="H1495" s="368" t="s">
        <v>2752</v>
      </c>
      <c r="I1495" s="368" t="s">
        <v>2753</v>
      </c>
      <c r="J1495" s="368" t="s">
        <v>1375</v>
      </c>
      <c r="K1495" s="368" t="s">
        <v>2753</v>
      </c>
      <c r="L1495" s="368" t="s">
        <v>1375</v>
      </c>
      <c r="M1495" s="368" t="s">
        <v>1384</v>
      </c>
      <c r="N1495" s="368" t="s">
        <v>867</v>
      </c>
      <c r="O1495" s="376">
        <v>13775</v>
      </c>
      <c r="P1495" s="368" t="s">
        <v>1385</v>
      </c>
      <c r="Q1495" s="368" t="s">
        <v>1386</v>
      </c>
      <c r="R1495" s="368" t="s">
        <v>867</v>
      </c>
      <c r="S1495" s="368" t="s">
        <v>867</v>
      </c>
      <c r="T1495" s="368" t="s">
        <v>362</v>
      </c>
      <c r="U1495" s="368" t="s">
        <v>867</v>
      </c>
      <c r="V1495" s="368" t="s">
        <v>867</v>
      </c>
      <c r="W1495" s="368" t="s">
        <v>1378</v>
      </c>
      <c r="X1495" s="368">
        <v>0</v>
      </c>
      <c r="Y1495" s="368">
        <v>99</v>
      </c>
      <c r="Z1495" s="368"/>
      <c r="AA1495" s="368"/>
      <c r="AB1495" s="368"/>
      <c r="AC1495" s="368"/>
      <c r="AD1495" s="368"/>
      <c r="AE1495" s="368"/>
      <c r="AF1495" s="377"/>
      <c r="AJ1495" s="337">
        <v>475</v>
      </c>
    </row>
    <row r="1496" spans="1:36">
      <c r="A1496" s="332">
        <f t="shared" si="49"/>
        <v>476</v>
      </c>
      <c r="G1496" s="349" t="s">
        <v>2754</v>
      </c>
      <c r="H1496" s="368" t="s">
        <v>2755</v>
      </c>
      <c r="I1496" s="368" t="s">
        <v>1845</v>
      </c>
      <c r="J1496" s="368" t="s">
        <v>1375</v>
      </c>
      <c r="K1496" s="368" t="s">
        <v>1845</v>
      </c>
      <c r="L1496" s="368" t="s">
        <v>1375</v>
      </c>
      <c r="M1496" s="368" t="s">
        <v>1384</v>
      </c>
      <c r="N1496" s="368" t="s">
        <v>867</v>
      </c>
      <c r="O1496" s="376">
        <v>32186</v>
      </c>
      <c r="P1496" s="368" t="s">
        <v>1385</v>
      </c>
      <c r="Q1496" s="368" t="s">
        <v>1443</v>
      </c>
      <c r="R1496" s="368" t="s">
        <v>867</v>
      </c>
      <c r="S1496" s="368" t="s">
        <v>864</v>
      </c>
      <c r="T1496" s="368" t="s">
        <v>362</v>
      </c>
      <c r="U1496" s="368" t="s">
        <v>867</v>
      </c>
      <c r="V1496" s="368" t="s">
        <v>867</v>
      </c>
      <c r="W1496" s="368" t="s">
        <v>1378</v>
      </c>
      <c r="X1496" s="368">
        <v>150</v>
      </c>
      <c r="Y1496" s="368">
        <v>99</v>
      </c>
      <c r="Z1496" s="368"/>
      <c r="AA1496" s="368"/>
      <c r="AB1496" s="368"/>
      <c r="AC1496" s="368"/>
      <c r="AD1496" s="368"/>
      <c r="AE1496" s="368"/>
      <c r="AF1496" s="377"/>
      <c r="AJ1496" s="337">
        <v>476</v>
      </c>
    </row>
    <row r="1497" spans="1:36">
      <c r="A1497" s="332">
        <f t="shared" si="49"/>
        <v>477</v>
      </c>
      <c r="G1497" s="349" t="s">
        <v>2756</v>
      </c>
      <c r="H1497" s="368" t="s">
        <v>2757</v>
      </c>
      <c r="I1497" s="368" t="s">
        <v>2758</v>
      </c>
      <c r="J1497" s="368" t="s">
        <v>1399</v>
      </c>
      <c r="K1497" s="368" t="s">
        <v>2758</v>
      </c>
      <c r="L1497" s="368" t="s">
        <v>1399</v>
      </c>
      <c r="M1497" s="368" t="s">
        <v>1384</v>
      </c>
      <c r="N1497" s="368" t="s">
        <v>867</v>
      </c>
      <c r="O1497" s="376">
        <v>62907</v>
      </c>
      <c r="P1497" s="368" t="s">
        <v>1385</v>
      </c>
      <c r="Q1497" s="368" t="s">
        <v>1386</v>
      </c>
      <c r="R1497" s="368" t="s">
        <v>867</v>
      </c>
      <c r="S1497" s="368" t="s">
        <v>864</v>
      </c>
      <c r="T1497" s="368" t="s">
        <v>1387</v>
      </c>
      <c r="U1497" s="368" t="s">
        <v>867</v>
      </c>
      <c r="V1497" s="368" t="s">
        <v>867</v>
      </c>
      <c r="W1497" s="368" t="s">
        <v>1378</v>
      </c>
      <c r="X1497" s="368">
        <v>0</v>
      </c>
      <c r="Y1497" s="368">
        <v>99</v>
      </c>
      <c r="Z1497" s="368"/>
      <c r="AA1497" s="368"/>
      <c r="AB1497" s="368"/>
      <c r="AC1497" s="368"/>
      <c r="AD1497" s="368"/>
      <c r="AE1497" s="368"/>
      <c r="AF1497" s="377"/>
      <c r="AJ1497" s="337">
        <v>477</v>
      </c>
    </row>
    <row r="1498" spans="1:36">
      <c r="A1498" s="332">
        <f t="shared" si="49"/>
        <v>478</v>
      </c>
      <c r="G1498" s="349" t="s">
        <v>2759</v>
      </c>
      <c r="H1498" s="368" t="s">
        <v>2760</v>
      </c>
      <c r="I1498" s="368" t="s">
        <v>2761</v>
      </c>
      <c r="J1498" s="368" t="s">
        <v>1375</v>
      </c>
      <c r="K1498" s="368" t="s">
        <v>2761</v>
      </c>
      <c r="L1498" s="368" t="s">
        <v>1375</v>
      </c>
      <c r="M1498" s="368" t="s">
        <v>1422</v>
      </c>
      <c r="N1498" s="368" t="s">
        <v>867</v>
      </c>
      <c r="O1498" s="376">
        <v>23208</v>
      </c>
      <c r="P1498" s="368" t="s">
        <v>1385</v>
      </c>
      <c r="Q1498" s="368" t="s">
        <v>1386</v>
      </c>
      <c r="R1498" s="368" t="s">
        <v>867</v>
      </c>
      <c r="S1498" s="368" t="s">
        <v>864</v>
      </c>
      <c r="T1498" s="368" t="s">
        <v>362</v>
      </c>
      <c r="U1498" s="368" t="s">
        <v>867</v>
      </c>
      <c r="V1498" s="368" t="s">
        <v>867</v>
      </c>
      <c r="W1498" s="368" t="s">
        <v>1378</v>
      </c>
      <c r="X1498" s="368">
        <v>0</v>
      </c>
      <c r="Y1498" s="368">
        <v>99</v>
      </c>
      <c r="Z1498" s="368"/>
      <c r="AA1498" s="368"/>
      <c r="AB1498" s="368"/>
      <c r="AC1498" s="368"/>
      <c r="AD1498" s="368"/>
      <c r="AE1498" s="368"/>
      <c r="AF1498" s="377"/>
      <c r="AJ1498" s="337">
        <v>478</v>
      </c>
    </row>
    <row r="1499" spans="1:36">
      <c r="A1499" s="332">
        <f t="shared" si="49"/>
        <v>479</v>
      </c>
      <c r="G1499" s="349" t="s">
        <v>2762</v>
      </c>
      <c r="H1499" s="368" t="s">
        <v>2763</v>
      </c>
      <c r="I1499" s="368" t="s">
        <v>1685</v>
      </c>
      <c r="J1499" s="368" t="s">
        <v>1375</v>
      </c>
      <c r="K1499" s="368" t="s">
        <v>1685</v>
      </c>
      <c r="L1499" s="368" t="s">
        <v>1375</v>
      </c>
      <c r="M1499" s="368" t="s">
        <v>1384</v>
      </c>
      <c r="N1499" s="368" t="s">
        <v>867</v>
      </c>
      <c r="O1499" s="376">
        <v>31589</v>
      </c>
      <c r="P1499" s="368" t="s">
        <v>1385</v>
      </c>
      <c r="Q1499" s="368" t="s">
        <v>1386</v>
      </c>
      <c r="R1499" s="368" t="s">
        <v>867</v>
      </c>
      <c r="S1499" s="368" t="s">
        <v>864</v>
      </c>
      <c r="T1499" s="368" t="s">
        <v>362</v>
      </c>
      <c r="U1499" s="368" t="s">
        <v>867</v>
      </c>
      <c r="V1499" s="368" t="s">
        <v>867</v>
      </c>
      <c r="W1499" s="368" t="s">
        <v>1378</v>
      </c>
      <c r="X1499" s="368">
        <v>0</v>
      </c>
      <c r="Y1499" s="368">
        <v>99</v>
      </c>
      <c r="Z1499" s="368"/>
      <c r="AA1499" s="368"/>
      <c r="AB1499" s="368"/>
      <c r="AC1499" s="368"/>
      <c r="AD1499" s="368"/>
      <c r="AE1499" s="368"/>
      <c r="AF1499" s="377"/>
      <c r="AJ1499" s="337">
        <v>479</v>
      </c>
    </row>
    <row r="1500" spans="1:36">
      <c r="A1500" s="332">
        <f t="shared" si="49"/>
        <v>480</v>
      </c>
      <c r="G1500" s="349" t="s">
        <v>2764</v>
      </c>
      <c r="H1500" s="368" t="s">
        <v>2765</v>
      </c>
      <c r="I1500" s="368" t="s">
        <v>2766</v>
      </c>
      <c r="J1500" s="368" t="s">
        <v>1375</v>
      </c>
      <c r="K1500" s="368" t="s">
        <v>2766</v>
      </c>
      <c r="L1500" s="368" t="s">
        <v>1375</v>
      </c>
      <c r="M1500" s="368" t="s">
        <v>1376</v>
      </c>
      <c r="N1500" s="368" t="s">
        <v>867</v>
      </c>
      <c r="O1500" s="376">
        <v>37058</v>
      </c>
      <c r="P1500" s="368" t="s">
        <v>1385</v>
      </c>
      <c r="Q1500" s="368" t="s">
        <v>1443</v>
      </c>
      <c r="R1500" s="368" t="s">
        <v>867</v>
      </c>
      <c r="S1500" s="368" t="s">
        <v>864</v>
      </c>
      <c r="T1500" s="368" t="s">
        <v>1387</v>
      </c>
      <c r="U1500" s="368" t="s">
        <v>867</v>
      </c>
      <c r="V1500" s="368" t="s">
        <v>867</v>
      </c>
      <c r="W1500" s="368" t="s">
        <v>1378</v>
      </c>
      <c r="X1500" s="368">
        <v>0</v>
      </c>
      <c r="Y1500" s="368">
        <v>99</v>
      </c>
      <c r="Z1500" s="368"/>
      <c r="AA1500" s="368"/>
      <c r="AB1500" s="368"/>
      <c r="AC1500" s="368"/>
      <c r="AD1500" s="368"/>
      <c r="AE1500" s="368"/>
      <c r="AF1500" s="377"/>
      <c r="AJ1500" s="337">
        <v>480</v>
      </c>
    </row>
    <row r="1501" spans="1:36">
      <c r="A1501" s="332">
        <f t="shared" si="49"/>
        <v>481</v>
      </c>
      <c r="G1501" s="349" t="s">
        <v>2767</v>
      </c>
      <c r="H1501" s="368" t="s">
        <v>2768</v>
      </c>
      <c r="I1501" s="368" t="s">
        <v>2769</v>
      </c>
      <c r="J1501" s="368" t="s">
        <v>1375</v>
      </c>
      <c r="K1501" s="368" t="s">
        <v>2769</v>
      </c>
      <c r="L1501" s="368" t="s">
        <v>1375</v>
      </c>
      <c r="M1501" s="368" t="s">
        <v>1384</v>
      </c>
      <c r="N1501" s="368" t="s">
        <v>867</v>
      </c>
      <c r="O1501" s="376">
        <v>4848</v>
      </c>
      <c r="P1501" s="368" t="s">
        <v>339</v>
      </c>
      <c r="Q1501" s="368" t="s">
        <v>1443</v>
      </c>
      <c r="R1501" s="368" t="s">
        <v>867</v>
      </c>
      <c r="S1501" s="368" t="s">
        <v>864</v>
      </c>
      <c r="T1501" s="368" t="s">
        <v>362</v>
      </c>
      <c r="U1501" s="368" t="s">
        <v>867</v>
      </c>
      <c r="V1501" s="368" t="s">
        <v>867</v>
      </c>
      <c r="W1501" s="368" t="s">
        <v>1378</v>
      </c>
      <c r="X1501" s="368">
        <v>0</v>
      </c>
      <c r="Y1501" s="368">
        <v>99</v>
      </c>
      <c r="Z1501" s="368"/>
      <c r="AA1501" s="368"/>
      <c r="AB1501" s="368"/>
      <c r="AC1501" s="368"/>
      <c r="AD1501" s="368"/>
      <c r="AE1501" s="368"/>
      <c r="AF1501" s="377"/>
      <c r="AJ1501" s="337">
        <v>481</v>
      </c>
    </row>
    <row r="1502" spans="1:36">
      <c r="A1502" s="332">
        <f t="shared" si="49"/>
        <v>482</v>
      </c>
      <c r="G1502" s="349" t="s">
        <v>2770</v>
      </c>
      <c r="H1502" s="368" t="s">
        <v>2771</v>
      </c>
      <c r="I1502" s="368" t="s">
        <v>2772</v>
      </c>
      <c r="J1502" s="368" t="s">
        <v>1375</v>
      </c>
      <c r="K1502" s="368" t="s">
        <v>2772</v>
      </c>
      <c r="L1502" s="368" t="s">
        <v>1375</v>
      </c>
      <c r="M1502" s="368" t="s">
        <v>1376</v>
      </c>
      <c r="N1502" s="368" t="s">
        <v>867</v>
      </c>
      <c r="O1502" s="376">
        <v>60554</v>
      </c>
      <c r="P1502" s="368" t="s">
        <v>1385</v>
      </c>
      <c r="Q1502" s="368" t="s">
        <v>1553</v>
      </c>
      <c r="R1502" s="368" t="s">
        <v>867</v>
      </c>
      <c r="S1502" s="368" t="s">
        <v>864</v>
      </c>
      <c r="T1502" s="368" t="s">
        <v>1387</v>
      </c>
      <c r="U1502" s="368" t="s">
        <v>867</v>
      </c>
      <c r="V1502" s="368" t="s">
        <v>867</v>
      </c>
      <c r="W1502" s="368" t="s">
        <v>1378</v>
      </c>
      <c r="X1502" s="368">
        <v>600</v>
      </c>
      <c r="Y1502" s="368">
        <v>99</v>
      </c>
      <c r="Z1502" s="368"/>
      <c r="AA1502" s="368"/>
      <c r="AB1502" s="368"/>
      <c r="AC1502" s="368"/>
      <c r="AD1502" s="368"/>
      <c r="AE1502" s="368"/>
      <c r="AF1502" s="377"/>
      <c r="AJ1502" s="337">
        <v>482</v>
      </c>
    </row>
    <row r="1503" spans="1:36">
      <c r="A1503" s="332">
        <f t="shared" si="49"/>
        <v>483</v>
      </c>
      <c r="G1503" s="349" t="s">
        <v>2773</v>
      </c>
      <c r="H1503" s="368" t="s">
        <v>2774</v>
      </c>
      <c r="I1503" s="368" t="s">
        <v>1709</v>
      </c>
      <c r="J1503" s="368" t="s">
        <v>1403</v>
      </c>
      <c r="K1503" s="368" t="s">
        <v>1709</v>
      </c>
      <c r="L1503" s="368" t="s">
        <v>1403</v>
      </c>
      <c r="M1503" s="368" t="s">
        <v>1376</v>
      </c>
      <c r="N1503" s="368" t="s">
        <v>867</v>
      </c>
      <c r="O1503" s="376">
        <v>35249</v>
      </c>
      <c r="P1503" s="368" t="s">
        <v>1385</v>
      </c>
      <c r="Q1503" s="368" t="s">
        <v>1386</v>
      </c>
      <c r="R1503" s="368" t="s">
        <v>867</v>
      </c>
      <c r="S1503" s="368" t="s">
        <v>864</v>
      </c>
      <c r="T1503" s="368" t="s">
        <v>362</v>
      </c>
      <c r="U1503" s="368" t="s">
        <v>867</v>
      </c>
      <c r="V1503" s="368" t="s">
        <v>867</v>
      </c>
      <c r="W1503" s="368" t="s">
        <v>1378</v>
      </c>
      <c r="X1503" s="368">
        <v>0</v>
      </c>
      <c r="Y1503" s="368">
        <v>99</v>
      </c>
      <c r="Z1503" s="368"/>
      <c r="AA1503" s="368"/>
      <c r="AB1503" s="368"/>
      <c r="AC1503" s="368"/>
      <c r="AD1503" s="368"/>
      <c r="AE1503" s="368"/>
      <c r="AF1503" s="377"/>
      <c r="AJ1503" s="337">
        <v>483</v>
      </c>
    </row>
    <row r="1504" spans="1:36">
      <c r="A1504" s="332">
        <f t="shared" si="49"/>
        <v>484</v>
      </c>
      <c r="G1504" s="349" t="s">
        <v>2775</v>
      </c>
      <c r="H1504" s="368" t="s">
        <v>2776</v>
      </c>
      <c r="I1504" s="368" t="s">
        <v>2777</v>
      </c>
      <c r="J1504" s="368" t="s">
        <v>1375</v>
      </c>
      <c r="K1504" s="368" t="s">
        <v>2777</v>
      </c>
      <c r="L1504" s="368" t="s">
        <v>1375</v>
      </c>
      <c r="M1504" s="368" t="s">
        <v>1384</v>
      </c>
      <c r="N1504" s="368" t="s">
        <v>867</v>
      </c>
      <c r="O1504" s="376">
        <v>7444</v>
      </c>
      <c r="P1504" s="368" t="s">
        <v>1447</v>
      </c>
      <c r="Q1504" s="368" t="s">
        <v>1443</v>
      </c>
      <c r="R1504" s="368" t="s">
        <v>867</v>
      </c>
      <c r="S1504" s="368" t="s">
        <v>864</v>
      </c>
      <c r="T1504" s="368" t="s">
        <v>362</v>
      </c>
      <c r="U1504" s="368" t="s">
        <v>867</v>
      </c>
      <c r="V1504" s="368" t="s">
        <v>867</v>
      </c>
      <c r="W1504" s="368" t="s">
        <v>1378</v>
      </c>
      <c r="X1504" s="368">
        <v>0</v>
      </c>
      <c r="Y1504" s="368">
        <v>99</v>
      </c>
      <c r="Z1504" s="368"/>
      <c r="AA1504" s="368"/>
      <c r="AB1504" s="368"/>
      <c r="AC1504" s="368"/>
      <c r="AD1504" s="368"/>
      <c r="AE1504" s="368"/>
      <c r="AF1504" s="377"/>
      <c r="AJ1504" s="337">
        <v>484</v>
      </c>
    </row>
    <row r="1505" spans="1:36">
      <c r="A1505" s="332">
        <f t="shared" si="49"/>
        <v>485</v>
      </c>
      <c r="G1505" s="349" t="s">
        <v>2778</v>
      </c>
      <c r="H1505" s="368" t="s">
        <v>2779</v>
      </c>
      <c r="I1505" s="368" t="s">
        <v>2780</v>
      </c>
      <c r="J1505" s="368" t="s">
        <v>1375</v>
      </c>
      <c r="K1505" s="368" t="s">
        <v>2780</v>
      </c>
      <c r="L1505" s="368" t="s">
        <v>1375</v>
      </c>
      <c r="M1505" s="368" t="s">
        <v>1384</v>
      </c>
      <c r="N1505" s="368" t="s">
        <v>867</v>
      </c>
      <c r="O1505" s="376">
        <v>23399</v>
      </c>
      <c r="P1505" s="368" t="s">
        <v>1385</v>
      </c>
      <c r="Q1505" s="368" t="s">
        <v>1688</v>
      </c>
      <c r="R1505" s="368" t="s">
        <v>867</v>
      </c>
      <c r="S1505" s="368" t="s">
        <v>864</v>
      </c>
      <c r="T1505" s="368" t="s">
        <v>362</v>
      </c>
      <c r="U1505" s="368" t="s">
        <v>867</v>
      </c>
      <c r="V1505" s="368" t="s">
        <v>867</v>
      </c>
      <c r="W1505" s="368" t="s">
        <v>1378</v>
      </c>
      <c r="X1505" s="368">
        <v>2900</v>
      </c>
      <c r="Y1505" s="368">
        <v>99</v>
      </c>
      <c r="Z1505" s="368"/>
      <c r="AA1505" s="368"/>
      <c r="AB1505" s="368"/>
      <c r="AC1505" s="368"/>
      <c r="AD1505" s="368"/>
      <c r="AE1505" s="368"/>
      <c r="AF1505" s="377"/>
      <c r="AJ1505" s="337">
        <v>485</v>
      </c>
    </row>
    <row r="1506" spans="1:36">
      <c r="A1506" s="332">
        <f t="shared" si="49"/>
        <v>486</v>
      </c>
      <c r="G1506" s="349" t="s">
        <v>2781</v>
      </c>
      <c r="H1506" s="368" t="s">
        <v>2782</v>
      </c>
      <c r="I1506" s="368" t="s">
        <v>2783</v>
      </c>
      <c r="J1506" s="368" t="s">
        <v>1375</v>
      </c>
      <c r="K1506" s="368" t="s">
        <v>2783</v>
      </c>
      <c r="L1506" s="368" t="s">
        <v>1375</v>
      </c>
      <c r="M1506" s="368" t="s">
        <v>1384</v>
      </c>
      <c r="N1506" s="368" t="s">
        <v>867</v>
      </c>
      <c r="O1506" s="376">
        <v>66635</v>
      </c>
      <c r="P1506" s="368" t="s">
        <v>1385</v>
      </c>
      <c r="Q1506" s="368" t="s">
        <v>1386</v>
      </c>
      <c r="R1506" s="368" t="s">
        <v>867</v>
      </c>
      <c r="S1506" s="368" t="s">
        <v>864</v>
      </c>
      <c r="T1506" s="368" t="s">
        <v>362</v>
      </c>
      <c r="U1506" s="368" t="s">
        <v>867</v>
      </c>
      <c r="V1506" s="368" t="s">
        <v>867</v>
      </c>
      <c r="W1506" s="368" t="s">
        <v>1378</v>
      </c>
      <c r="X1506" s="368">
        <v>4189</v>
      </c>
      <c r="Y1506" s="368">
        <v>99</v>
      </c>
      <c r="Z1506" s="368"/>
      <c r="AA1506" s="368"/>
      <c r="AB1506" s="368"/>
      <c r="AC1506" s="368"/>
      <c r="AD1506" s="368"/>
      <c r="AE1506" s="368"/>
      <c r="AF1506" s="377"/>
      <c r="AJ1506" s="337">
        <v>486</v>
      </c>
    </row>
    <row r="1507" spans="1:36">
      <c r="A1507" s="332">
        <f t="shared" si="49"/>
        <v>487</v>
      </c>
      <c r="G1507" s="349" t="s">
        <v>2784</v>
      </c>
      <c r="H1507" s="368" t="s">
        <v>2785</v>
      </c>
      <c r="I1507" s="368" t="s">
        <v>2786</v>
      </c>
      <c r="J1507" s="368" t="s">
        <v>1375</v>
      </c>
      <c r="K1507" s="368" t="s">
        <v>2786</v>
      </c>
      <c r="L1507" s="368" t="s">
        <v>1375</v>
      </c>
      <c r="M1507" s="368" t="s">
        <v>1384</v>
      </c>
      <c r="N1507" s="368" t="s">
        <v>867</v>
      </c>
      <c r="O1507" s="376">
        <v>16149</v>
      </c>
      <c r="P1507" s="368" t="s">
        <v>1447</v>
      </c>
      <c r="Q1507" s="368" t="s">
        <v>1386</v>
      </c>
      <c r="R1507" s="368" t="s">
        <v>867</v>
      </c>
      <c r="S1507" s="368" t="s">
        <v>864</v>
      </c>
      <c r="T1507" s="368" t="s">
        <v>362</v>
      </c>
      <c r="U1507" s="368" t="s">
        <v>867</v>
      </c>
      <c r="V1507" s="368" t="s">
        <v>867</v>
      </c>
      <c r="W1507" s="368" t="s">
        <v>1378</v>
      </c>
      <c r="X1507" s="368">
        <v>1065</v>
      </c>
      <c r="Y1507" s="368">
        <v>99</v>
      </c>
      <c r="Z1507" s="368"/>
      <c r="AA1507" s="368"/>
      <c r="AB1507" s="368"/>
      <c r="AC1507" s="368"/>
      <c r="AD1507" s="368"/>
      <c r="AE1507" s="368"/>
      <c r="AF1507" s="377"/>
      <c r="AJ1507" s="337">
        <v>487</v>
      </c>
    </row>
    <row r="1508" spans="1:36">
      <c r="A1508" s="332">
        <f t="shared" si="49"/>
        <v>488</v>
      </c>
      <c r="G1508" s="349" t="s">
        <v>2787</v>
      </c>
      <c r="H1508" s="368" t="s">
        <v>2788</v>
      </c>
      <c r="I1508" s="368" t="s">
        <v>2789</v>
      </c>
      <c r="J1508" s="368" t="s">
        <v>1442</v>
      </c>
      <c r="K1508" s="368" t="s">
        <v>2789</v>
      </c>
      <c r="L1508" s="368" t="s">
        <v>1442</v>
      </c>
      <c r="M1508" s="368" t="s">
        <v>1376</v>
      </c>
      <c r="N1508" s="368" t="s">
        <v>867</v>
      </c>
      <c r="O1508" s="376">
        <v>15828</v>
      </c>
      <c r="P1508" s="368" t="s">
        <v>1385</v>
      </c>
      <c r="Q1508" s="368" t="s">
        <v>1386</v>
      </c>
      <c r="R1508" s="368" t="s">
        <v>867</v>
      </c>
      <c r="S1508" s="368" t="s">
        <v>864</v>
      </c>
      <c r="T1508" s="368" t="s">
        <v>1387</v>
      </c>
      <c r="U1508" s="368" t="s">
        <v>867</v>
      </c>
      <c r="V1508" s="368" t="s">
        <v>867</v>
      </c>
      <c r="W1508" s="368" t="s">
        <v>1378</v>
      </c>
      <c r="X1508" s="368">
        <v>0</v>
      </c>
      <c r="Y1508" s="368">
        <v>99</v>
      </c>
      <c r="Z1508" s="368"/>
      <c r="AA1508" s="368"/>
      <c r="AB1508" s="368"/>
      <c r="AC1508" s="368"/>
      <c r="AD1508" s="368"/>
      <c r="AE1508" s="368"/>
      <c r="AF1508" s="377"/>
      <c r="AJ1508" s="337">
        <v>491</v>
      </c>
    </row>
    <row r="1509" spans="1:36">
      <c r="A1509" s="332">
        <f t="shared" si="49"/>
        <v>489</v>
      </c>
      <c r="G1509" s="349" t="s">
        <v>2790</v>
      </c>
      <c r="H1509" s="368" t="s">
        <v>2791</v>
      </c>
      <c r="I1509" s="368" t="s">
        <v>2792</v>
      </c>
      <c r="J1509" s="368" t="s">
        <v>1375</v>
      </c>
      <c r="K1509" s="368" t="s">
        <v>2792</v>
      </c>
      <c r="L1509" s="368" t="s">
        <v>1442</v>
      </c>
      <c r="M1509" s="368" t="s">
        <v>1376</v>
      </c>
      <c r="N1509" s="368" t="s">
        <v>867</v>
      </c>
      <c r="O1509" s="376">
        <v>41953</v>
      </c>
      <c r="P1509" s="368" t="s">
        <v>339</v>
      </c>
      <c r="Q1509" s="368" t="s">
        <v>1443</v>
      </c>
      <c r="R1509" s="368" t="s">
        <v>867</v>
      </c>
      <c r="S1509" s="368" t="s">
        <v>864</v>
      </c>
      <c r="T1509" s="368" t="s">
        <v>362</v>
      </c>
      <c r="U1509" s="368" t="s">
        <v>867</v>
      </c>
      <c r="V1509" s="368" t="s">
        <v>867</v>
      </c>
      <c r="W1509" s="368" t="s">
        <v>1378</v>
      </c>
      <c r="X1509" s="368">
        <v>0</v>
      </c>
      <c r="Y1509" s="368">
        <v>99</v>
      </c>
      <c r="Z1509" s="368"/>
      <c r="AA1509" s="368"/>
      <c r="AB1509" s="368"/>
      <c r="AC1509" s="368"/>
      <c r="AD1509" s="368"/>
      <c r="AE1509" s="368"/>
      <c r="AF1509" s="377"/>
      <c r="AJ1509" s="337">
        <v>492</v>
      </c>
    </row>
    <row r="1510" spans="1:36">
      <c r="A1510" s="332">
        <f t="shared" si="49"/>
        <v>490</v>
      </c>
      <c r="G1510" s="349" t="s">
        <v>2793</v>
      </c>
      <c r="H1510" s="368" t="s">
        <v>2794</v>
      </c>
      <c r="I1510" s="368" t="s">
        <v>2795</v>
      </c>
      <c r="J1510" s="368" t="s">
        <v>1442</v>
      </c>
      <c r="K1510" s="368" t="s">
        <v>2795</v>
      </c>
      <c r="L1510" s="368" t="s">
        <v>1375</v>
      </c>
      <c r="M1510" s="368" t="s">
        <v>1384</v>
      </c>
      <c r="N1510" s="368" t="s">
        <v>867</v>
      </c>
      <c r="O1510" s="376">
        <v>40898</v>
      </c>
      <c r="P1510" s="368" t="s">
        <v>1385</v>
      </c>
      <c r="Q1510" s="368" t="s">
        <v>1443</v>
      </c>
      <c r="R1510" s="368" t="s">
        <v>867</v>
      </c>
      <c r="S1510" s="368" t="s">
        <v>864</v>
      </c>
      <c r="T1510" s="368" t="s">
        <v>362</v>
      </c>
      <c r="U1510" s="368" t="s">
        <v>867</v>
      </c>
      <c r="V1510" s="368" t="s">
        <v>867</v>
      </c>
      <c r="W1510" s="368" t="s">
        <v>1378</v>
      </c>
      <c r="X1510" s="368">
        <v>0</v>
      </c>
      <c r="Y1510" s="368">
        <v>99</v>
      </c>
      <c r="Z1510" s="368"/>
      <c r="AA1510" s="368"/>
      <c r="AB1510" s="368"/>
      <c r="AC1510" s="368"/>
      <c r="AD1510" s="368"/>
      <c r="AE1510" s="368"/>
      <c r="AF1510" s="377"/>
      <c r="AJ1510" s="337">
        <v>493</v>
      </c>
    </row>
    <row r="1511" spans="1:36">
      <c r="A1511" s="332">
        <f t="shared" si="49"/>
        <v>491</v>
      </c>
      <c r="G1511" s="349" t="s">
        <v>2796</v>
      </c>
      <c r="H1511" s="368" t="s">
        <v>2797</v>
      </c>
      <c r="I1511" s="368" t="s">
        <v>2798</v>
      </c>
      <c r="J1511" s="368" t="s">
        <v>1375</v>
      </c>
      <c r="K1511" s="368" t="s">
        <v>2798</v>
      </c>
      <c r="L1511" s="368" t="s">
        <v>1375</v>
      </c>
      <c r="M1511" s="368" t="s">
        <v>1376</v>
      </c>
      <c r="N1511" s="368" t="s">
        <v>867</v>
      </c>
      <c r="O1511" s="376">
        <v>43852</v>
      </c>
      <c r="P1511" s="368" t="s">
        <v>1385</v>
      </c>
      <c r="Q1511" s="368" t="s">
        <v>1386</v>
      </c>
      <c r="R1511" s="368" t="s">
        <v>867</v>
      </c>
      <c r="S1511" s="368" t="s">
        <v>864</v>
      </c>
      <c r="T1511" s="368" t="s">
        <v>362</v>
      </c>
      <c r="U1511" s="368" t="s">
        <v>867</v>
      </c>
      <c r="V1511" s="368" t="s">
        <v>867</v>
      </c>
      <c r="W1511" s="368" t="s">
        <v>1378</v>
      </c>
      <c r="X1511" s="368">
        <v>0</v>
      </c>
      <c r="Y1511" s="368">
        <v>99</v>
      </c>
      <c r="Z1511" s="368"/>
      <c r="AA1511" s="368"/>
      <c r="AB1511" s="368"/>
      <c r="AC1511" s="368"/>
      <c r="AD1511" s="368"/>
      <c r="AE1511" s="368"/>
      <c r="AF1511" s="377"/>
      <c r="AJ1511" s="337">
        <v>494</v>
      </c>
    </row>
    <row r="1512" spans="1:36">
      <c r="A1512" s="332">
        <f t="shared" si="49"/>
        <v>492</v>
      </c>
      <c r="G1512" s="349" t="s">
        <v>2799</v>
      </c>
      <c r="H1512" s="368" t="s">
        <v>2800</v>
      </c>
      <c r="I1512" s="368" t="s">
        <v>2801</v>
      </c>
      <c r="J1512" s="368" t="s">
        <v>1375</v>
      </c>
      <c r="K1512" s="368" t="s">
        <v>2801</v>
      </c>
      <c r="L1512" s="368" t="s">
        <v>1399</v>
      </c>
      <c r="M1512" s="368" t="s">
        <v>1376</v>
      </c>
      <c r="N1512" s="368" t="s">
        <v>867</v>
      </c>
      <c r="O1512" s="376">
        <v>78732</v>
      </c>
      <c r="P1512" s="368" t="s">
        <v>339</v>
      </c>
      <c r="Q1512" s="368" t="s">
        <v>1553</v>
      </c>
      <c r="R1512" s="368" t="s">
        <v>867</v>
      </c>
      <c r="S1512" s="368" t="s">
        <v>864</v>
      </c>
      <c r="T1512" s="368" t="s">
        <v>1387</v>
      </c>
      <c r="U1512" s="368" t="s">
        <v>867</v>
      </c>
      <c r="V1512" s="368" t="s">
        <v>867</v>
      </c>
      <c r="W1512" s="368" t="s">
        <v>1378</v>
      </c>
      <c r="X1512" s="368">
        <v>0</v>
      </c>
      <c r="Y1512" s="368">
        <v>99</v>
      </c>
      <c r="Z1512" s="368"/>
      <c r="AA1512" s="368"/>
      <c r="AB1512" s="368"/>
      <c r="AC1512" s="368"/>
      <c r="AD1512" s="368"/>
      <c r="AE1512" s="368"/>
      <c r="AF1512" s="377"/>
      <c r="AJ1512" s="337">
        <v>495</v>
      </c>
    </row>
    <row r="1513" spans="1:36">
      <c r="A1513" s="332">
        <f t="shared" si="49"/>
        <v>493</v>
      </c>
      <c r="G1513" s="349" t="s">
        <v>2802</v>
      </c>
      <c r="H1513" s="368" t="s">
        <v>2803</v>
      </c>
      <c r="I1513" s="368" t="s">
        <v>2442</v>
      </c>
      <c r="J1513" s="368" t="s">
        <v>1375</v>
      </c>
      <c r="K1513" s="368" t="s">
        <v>2442</v>
      </c>
      <c r="L1513" s="368" t="s">
        <v>1399</v>
      </c>
      <c r="M1513" s="368" t="s">
        <v>1384</v>
      </c>
      <c r="N1513" s="368" t="s">
        <v>867</v>
      </c>
      <c r="O1513" s="376">
        <v>74839</v>
      </c>
      <c r="P1513" s="368" t="s">
        <v>339</v>
      </c>
      <c r="Q1513" s="368" t="s">
        <v>1443</v>
      </c>
      <c r="R1513" s="368" t="s">
        <v>867</v>
      </c>
      <c r="S1513" s="368" t="s">
        <v>864</v>
      </c>
      <c r="T1513" s="368" t="s">
        <v>362</v>
      </c>
      <c r="U1513" s="368" t="s">
        <v>867</v>
      </c>
      <c r="V1513" s="368" t="s">
        <v>867</v>
      </c>
      <c r="W1513" s="368" t="s">
        <v>1378</v>
      </c>
      <c r="X1513" s="368">
        <v>0</v>
      </c>
      <c r="Y1513" s="368">
        <v>99</v>
      </c>
      <c r="Z1513" s="368"/>
      <c r="AA1513" s="368"/>
      <c r="AB1513" s="368"/>
      <c r="AC1513" s="368"/>
      <c r="AD1513" s="368"/>
      <c r="AE1513" s="368"/>
      <c r="AF1513" s="377"/>
      <c r="AJ1513" s="337">
        <v>496</v>
      </c>
    </row>
    <row r="1514" spans="1:36">
      <c r="A1514" s="332">
        <f t="shared" si="49"/>
        <v>494</v>
      </c>
      <c r="G1514" s="349" t="s">
        <v>2804</v>
      </c>
      <c r="H1514" s="368" t="s">
        <v>2805</v>
      </c>
      <c r="I1514" s="368" t="s">
        <v>2806</v>
      </c>
      <c r="J1514" s="368" t="s">
        <v>1399</v>
      </c>
      <c r="K1514" s="368" t="s">
        <v>2806</v>
      </c>
      <c r="L1514" s="368" t="s">
        <v>1399</v>
      </c>
      <c r="M1514" s="368" t="s">
        <v>1384</v>
      </c>
      <c r="N1514" s="368" t="s">
        <v>867</v>
      </c>
      <c r="O1514" s="376">
        <v>5985</v>
      </c>
      <c r="P1514" s="368" t="s">
        <v>1385</v>
      </c>
      <c r="Q1514" s="368" t="s">
        <v>1443</v>
      </c>
      <c r="R1514" s="368" t="s">
        <v>867</v>
      </c>
      <c r="S1514" s="368" t="s">
        <v>864</v>
      </c>
      <c r="T1514" s="368" t="s">
        <v>1387</v>
      </c>
      <c r="U1514" s="368" t="s">
        <v>867</v>
      </c>
      <c r="V1514" s="368" t="s">
        <v>867</v>
      </c>
      <c r="W1514" s="368" t="s">
        <v>1378</v>
      </c>
      <c r="X1514" s="368">
        <v>0</v>
      </c>
      <c r="Y1514" s="368">
        <v>99</v>
      </c>
      <c r="Z1514" s="368"/>
      <c r="AA1514" s="368"/>
      <c r="AB1514" s="368"/>
      <c r="AC1514" s="368"/>
      <c r="AD1514" s="368"/>
      <c r="AE1514" s="368"/>
      <c r="AF1514" s="377"/>
      <c r="AJ1514" s="337">
        <v>497</v>
      </c>
    </row>
    <row r="1515" spans="1:36">
      <c r="A1515" s="332">
        <f t="shared" si="49"/>
        <v>495</v>
      </c>
      <c r="G1515" s="349" t="s">
        <v>2807</v>
      </c>
      <c r="H1515" s="368" t="s">
        <v>2808</v>
      </c>
      <c r="I1515" s="368" t="s">
        <v>2809</v>
      </c>
      <c r="J1515" s="368" t="s">
        <v>1433</v>
      </c>
      <c r="K1515" s="368" t="s">
        <v>2809</v>
      </c>
      <c r="L1515" s="368" t="s">
        <v>1399</v>
      </c>
      <c r="M1515" s="368" t="s">
        <v>1376</v>
      </c>
      <c r="N1515" s="368" t="s">
        <v>867</v>
      </c>
      <c r="O1515" s="376">
        <v>55711</v>
      </c>
      <c r="P1515" s="368" t="s">
        <v>339</v>
      </c>
      <c r="Q1515" s="368" t="s">
        <v>1386</v>
      </c>
      <c r="R1515" s="368" t="s">
        <v>867</v>
      </c>
      <c r="S1515" s="368" t="s">
        <v>864</v>
      </c>
      <c r="T1515" s="368" t="s">
        <v>362</v>
      </c>
      <c r="U1515" s="368" t="s">
        <v>867</v>
      </c>
      <c r="V1515" s="368" t="s">
        <v>867</v>
      </c>
      <c r="W1515" s="368" t="s">
        <v>1378</v>
      </c>
      <c r="X1515" s="368">
        <v>0</v>
      </c>
      <c r="Y1515" s="380">
        <v>1021</v>
      </c>
      <c r="Z1515" s="368"/>
      <c r="AA1515" s="368"/>
      <c r="AB1515" s="368"/>
      <c r="AC1515" s="368"/>
      <c r="AD1515" s="368"/>
      <c r="AE1515" s="368"/>
      <c r="AF1515" s="377"/>
      <c r="AJ1515" s="337">
        <v>498</v>
      </c>
    </row>
    <row r="1516" spans="1:36">
      <c r="G1516" s="349" t="s">
        <v>2807</v>
      </c>
      <c r="Y1516" s="380">
        <v>1012</v>
      </c>
      <c r="Z1516" s="368"/>
      <c r="AA1516" s="368"/>
      <c r="AB1516" s="368"/>
      <c r="AC1516" s="368"/>
      <c r="AD1516" s="368"/>
      <c r="AE1516" s="368"/>
      <c r="AF1516" s="377"/>
      <c r="AJ1516" s="337">
        <v>498</v>
      </c>
    </row>
    <row r="1517" spans="1:36">
      <c r="G1517" s="349" t="s">
        <v>2807</v>
      </c>
      <c r="Y1517" s="380">
        <v>300019</v>
      </c>
      <c r="Z1517" s="368"/>
      <c r="AA1517" s="368"/>
      <c r="AB1517" s="368"/>
      <c r="AC1517" s="368"/>
      <c r="AD1517" s="368"/>
      <c r="AE1517" s="368"/>
      <c r="AF1517" s="377"/>
      <c r="AJ1517" s="337">
        <v>499</v>
      </c>
    </row>
    <row r="1518" spans="1:36">
      <c r="G1518" s="349" t="s">
        <v>2807</v>
      </c>
      <c r="Y1518" s="380">
        <v>1043</v>
      </c>
      <c r="Z1518" s="368"/>
      <c r="AA1518" s="368"/>
      <c r="AB1518" s="368"/>
      <c r="AC1518" s="368"/>
      <c r="AD1518" s="368"/>
      <c r="AE1518" s="368"/>
      <c r="AF1518" s="377"/>
      <c r="AJ1518" s="337">
        <v>500</v>
      </c>
    </row>
    <row r="1519" spans="1:36">
      <c r="G1519" s="349" t="s">
        <v>2807</v>
      </c>
      <c r="Y1519" s="380">
        <v>1044</v>
      </c>
      <c r="Z1519" s="368"/>
      <c r="AA1519" s="368"/>
      <c r="AB1519" s="368"/>
      <c r="AC1519" s="368"/>
      <c r="AD1519" s="368"/>
      <c r="AE1519" s="368"/>
      <c r="AF1519" s="377"/>
      <c r="AJ1519" s="337">
        <v>501</v>
      </c>
    </row>
    <row r="1520" spans="1:36">
      <c r="G1520" s="349" t="s">
        <v>2807</v>
      </c>
      <c r="Y1520" s="380">
        <v>1045</v>
      </c>
      <c r="Z1520" s="368"/>
      <c r="AA1520" s="368"/>
      <c r="AB1520" s="368"/>
      <c r="AC1520" s="368"/>
      <c r="AD1520" s="368"/>
      <c r="AE1520" s="368"/>
      <c r="AF1520" s="377"/>
      <c r="AJ1520" s="337">
        <v>502</v>
      </c>
    </row>
    <row r="1521" spans="1:36">
      <c r="G1521" s="349" t="s">
        <v>2807</v>
      </c>
      <c r="Y1521" s="380">
        <v>1057</v>
      </c>
      <c r="Z1521" s="368"/>
      <c r="AA1521" s="368"/>
      <c r="AB1521" s="368"/>
      <c r="AC1521" s="368"/>
      <c r="AD1521" s="368"/>
      <c r="AE1521" s="368"/>
      <c r="AF1521" s="377"/>
      <c r="AJ1521" s="337"/>
    </row>
    <row r="1522" spans="1:36">
      <c r="G1522" s="349" t="s">
        <v>2807</v>
      </c>
      <c r="Y1522" s="380">
        <v>152392</v>
      </c>
      <c r="AF1522" s="339"/>
      <c r="AJ1522" s="337"/>
    </row>
    <row r="1523" spans="1:36">
      <c r="G1523" s="349" t="s">
        <v>2807</v>
      </c>
      <c r="Y1523" s="380">
        <v>152396</v>
      </c>
      <c r="Z1523" s="50"/>
      <c r="AA1523" s="50"/>
      <c r="AB1523" s="50"/>
      <c r="AC1523" s="50"/>
      <c r="AD1523" s="50"/>
      <c r="AE1523" s="50"/>
      <c r="AF1523" s="339"/>
      <c r="AJ1523" s="337"/>
    </row>
    <row r="1524" spans="1:36">
      <c r="A1524" s="332">
        <v>496</v>
      </c>
      <c r="F1524" s="339"/>
      <c r="G1524" s="381" t="s">
        <v>2810</v>
      </c>
      <c r="H1524" s="368" t="s">
        <v>2811</v>
      </c>
      <c r="I1524" s="368" t="s">
        <v>2812</v>
      </c>
      <c r="J1524" s="368" t="s">
        <v>1375</v>
      </c>
      <c r="K1524" s="368" t="s">
        <v>2812</v>
      </c>
      <c r="L1524" s="368" t="s">
        <v>1375</v>
      </c>
      <c r="M1524" s="368" t="s">
        <v>1376</v>
      </c>
      <c r="N1524" s="368" t="s">
        <v>867</v>
      </c>
      <c r="O1524" s="376">
        <v>25445</v>
      </c>
      <c r="P1524" s="368" t="s">
        <v>1385</v>
      </c>
      <c r="Q1524" s="368" t="s">
        <v>1443</v>
      </c>
      <c r="R1524" s="368" t="s">
        <v>867</v>
      </c>
      <c r="S1524" s="368" t="s">
        <v>864</v>
      </c>
      <c r="T1524" s="368" t="s">
        <v>362</v>
      </c>
      <c r="U1524" s="368" t="s">
        <v>867</v>
      </c>
      <c r="V1524" s="368" t="s">
        <v>867</v>
      </c>
      <c r="W1524" s="368" t="s">
        <v>1378</v>
      </c>
      <c r="X1524" s="368">
        <v>0</v>
      </c>
      <c r="Y1524" s="368">
        <v>99</v>
      </c>
      <c r="Z1524" s="368"/>
      <c r="AA1524" s="368"/>
      <c r="AB1524" s="368"/>
      <c r="AC1524" s="368"/>
      <c r="AD1524" s="368"/>
      <c r="AE1524" s="368"/>
      <c r="AF1524" s="377"/>
    </row>
    <row r="1525" spans="1:36">
      <c r="A1525" s="332">
        <v>497</v>
      </c>
      <c r="F1525" s="339"/>
      <c r="G1525" s="381" t="s">
        <v>2813</v>
      </c>
      <c r="H1525" s="368" t="s">
        <v>2814</v>
      </c>
      <c r="I1525" s="368" t="s">
        <v>2815</v>
      </c>
      <c r="J1525" s="368" t="s">
        <v>1375</v>
      </c>
      <c r="K1525" s="368" t="s">
        <v>2815</v>
      </c>
      <c r="L1525" s="368" t="s">
        <v>1375</v>
      </c>
      <c r="M1525" s="368" t="s">
        <v>1384</v>
      </c>
      <c r="N1525" s="368" t="s">
        <v>867</v>
      </c>
      <c r="O1525" s="376">
        <v>97287</v>
      </c>
      <c r="P1525" s="368" t="s">
        <v>1385</v>
      </c>
      <c r="Q1525" s="368" t="s">
        <v>1443</v>
      </c>
      <c r="R1525" s="368" t="s">
        <v>867</v>
      </c>
      <c r="S1525" s="368" t="s">
        <v>864</v>
      </c>
      <c r="T1525" s="368" t="s">
        <v>362</v>
      </c>
      <c r="U1525" s="368" t="s">
        <v>867</v>
      </c>
      <c r="V1525" s="368" t="s">
        <v>867</v>
      </c>
      <c r="W1525" s="368" t="s">
        <v>1378</v>
      </c>
      <c r="X1525" s="368">
        <v>0</v>
      </c>
      <c r="Y1525" s="368">
        <v>99</v>
      </c>
      <c r="AF1525" s="339"/>
    </row>
    <row r="1526" spans="1:36">
      <c r="A1526" s="332">
        <f>1+A1525</f>
        <v>498</v>
      </c>
      <c r="F1526" s="339"/>
      <c r="G1526" s="349" t="s">
        <v>2816</v>
      </c>
      <c r="H1526" s="368" t="s">
        <v>2817</v>
      </c>
      <c r="I1526" s="368" t="s">
        <v>2818</v>
      </c>
      <c r="J1526" s="368" t="s">
        <v>1442</v>
      </c>
      <c r="K1526" s="368" t="s">
        <v>2818</v>
      </c>
      <c r="L1526" s="368" t="s">
        <v>1442</v>
      </c>
      <c r="M1526" s="368" t="s">
        <v>1384</v>
      </c>
      <c r="N1526" s="368" t="s">
        <v>867</v>
      </c>
      <c r="O1526" s="376">
        <v>75535</v>
      </c>
      <c r="P1526" s="368" t="s">
        <v>1385</v>
      </c>
      <c r="Q1526" s="368" t="s">
        <v>1443</v>
      </c>
      <c r="R1526" s="368" t="s">
        <v>867</v>
      </c>
      <c r="S1526" s="368" t="s">
        <v>864</v>
      </c>
      <c r="T1526" s="368" t="s">
        <v>362</v>
      </c>
      <c r="U1526" s="368" t="s">
        <v>867</v>
      </c>
      <c r="V1526" s="368" t="s">
        <v>867</v>
      </c>
      <c r="W1526" s="368" t="s">
        <v>1378</v>
      </c>
      <c r="X1526" s="368">
        <v>0</v>
      </c>
      <c r="Y1526" s="368">
        <v>99</v>
      </c>
      <c r="Z1526" s="50"/>
      <c r="AA1526" s="50"/>
      <c r="AB1526" s="50"/>
      <c r="AC1526" s="50"/>
      <c r="AD1526" s="50"/>
      <c r="AE1526" s="50"/>
      <c r="AF1526" s="339"/>
    </row>
    <row r="1527" spans="1:36">
      <c r="A1527" s="332">
        <f>1+A1526</f>
        <v>499</v>
      </c>
      <c r="F1527" s="339"/>
      <c r="G1527" s="360" t="s">
        <v>2819</v>
      </c>
      <c r="H1527" s="371" t="s">
        <v>2820</v>
      </c>
      <c r="I1527" s="371" t="s">
        <v>2821</v>
      </c>
      <c r="J1527" s="371" t="s">
        <v>1433</v>
      </c>
      <c r="K1527" s="371" t="s">
        <v>2821</v>
      </c>
      <c r="L1527" s="371" t="s">
        <v>1375</v>
      </c>
      <c r="M1527" s="371" t="s">
        <v>1376</v>
      </c>
      <c r="N1527" s="371" t="s">
        <v>867</v>
      </c>
      <c r="O1527" s="382">
        <v>29626</v>
      </c>
      <c r="P1527" s="371" t="s">
        <v>1385</v>
      </c>
      <c r="Q1527" s="371" t="s">
        <v>1443</v>
      </c>
      <c r="R1527" s="371" t="s">
        <v>867</v>
      </c>
      <c r="S1527" s="371" t="s">
        <v>864</v>
      </c>
      <c r="T1527" s="371" t="s">
        <v>362</v>
      </c>
      <c r="U1527" s="371" t="s">
        <v>867</v>
      </c>
      <c r="V1527" s="371" t="s">
        <v>867</v>
      </c>
      <c r="W1527" s="371" t="s">
        <v>1378</v>
      </c>
      <c r="X1527" s="371">
        <v>0</v>
      </c>
      <c r="Y1527" s="371">
        <v>99</v>
      </c>
      <c r="Z1527" s="319"/>
      <c r="AA1527" s="319"/>
      <c r="AB1527" s="319"/>
      <c r="AC1527" s="319"/>
      <c r="AD1527" s="319"/>
      <c r="AE1527" s="319"/>
      <c r="AF1527" s="342"/>
    </row>
    <row r="1528" spans="1:36">
      <c r="H1528" s="368"/>
      <c r="I1528" s="368"/>
      <c r="J1528" s="368"/>
      <c r="K1528" s="368"/>
      <c r="L1528" s="368"/>
      <c r="M1528" s="368"/>
      <c r="N1528" s="368"/>
      <c r="O1528" s="383"/>
      <c r="P1528" s="368"/>
      <c r="Q1528" s="368"/>
      <c r="R1528" s="368"/>
      <c r="S1528" s="368"/>
      <c r="T1528" s="368"/>
      <c r="U1528" s="368"/>
      <c r="V1528" s="368"/>
      <c r="W1528" s="368"/>
      <c r="X1528" s="368"/>
      <c r="AF1528" s="50"/>
    </row>
    <row r="1530" spans="1:36">
      <c r="H1530" s="368"/>
      <c r="I1530" s="368"/>
      <c r="J1530" s="368"/>
      <c r="K1530" s="368"/>
      <c r="L1530" s="368"/>
      <c r="M1530" s="368"/>
      <c r="N1530" s="368"/>
      <c r="O1530" s="383"/>
      <c r="P1530" s="368"/>
      <c r="Q1530" s="368"/>
      <c r="R1530" s="368"/>
      <c r="S1530" s="368"/>
      <c r="T1530" s="368"/>
      <c r="U1530" s="368"/>
      <c r="V1530" s="368"/>
      <c r="W1530" s="368"/>
      <c r="X1530" s="368"/>
    </row>
    <row r="1531" spans="1:36">
      <c r="H1531" s="368"/>
      <c r="I1531" s="368"/>
      <c r="J1531" s="368"/>
      <c r="K1531" s="368"/>
      <c r="L1531" s="368"/>
      <c r="M1531" s="368"/>
      <c r="N1531" s="368"/>
      <c r="O1531" s="383"/>
      <c r="P1531" s="368"/>
      <c r="Q1531" s="368"/>
      <c r="R1531" s="368"/>
      <c r="S1531" s="368"/>
      <c r="T1531" s="368"/>
      <c r="U1531" s="368"/>
      <c r="V1531" s="368"/>
      <c r="W1531" s="368"/>
      <c r="X1531" s="368"/>
    </row>
    <row r="1532" spans="1:36">
      <c r="H1532" s="368"/>
      <c r="I1532" s="368"/>
      <c r="J1532" s="368"/>
      <c r="K1532" s="368"/>
      <c r="L1532" s="368"/>
      <c r="M1532" s="368"/>
      <c r="N1532" s="368"/>
      <c r="O1532" s="383"/>
      <c r="P1532" s="368"/>
      <c r="Q1532" s="368"/>
      <c r="R1532" s="368"/>
      <c r="S1532" s="368"/>
      <c r="T1532" s="368"/>
      <c r="U1532" s="368"/>
      <c r="V1532" s="368"/>
      <c r="W1532" s="368"/>
      <c r="X1532" s="368"/>
    </row>
    <row r="1533" spans="1:36">
      <c r="H1533" s="368"/>
      <c r="I1533" s="368"/>
      <c r="J1533" s="368"/>
      <c r="K1533" s="368"/>
      <c r="L1533" s="368"/>
      <c r="M1533" s="368"/>
      <c r="N1533" s="368"/>
      <c r="O1533" s="383"/>
      <c r="P1533" s="368"/>
      <c r="Q1533" s="368"/>
      <c r="R1533" s="368"/>
      <c r="S1533" s="368"/>
      <c r="T1533" s="368"/>
      <c r="U1533" s="368"/>
      <c r="V1533" s="368"/>
      <c r="W1533" s="368"/>
      <c r="X1533" s="368"/>
    </row>
    <row r="1534" spans="1:36">
      <c r="H1534" s="368"/>
      <c r="I1534" s="368"/>
      <c r="J1534" s="368"/>
      <c r="K1534" s="368"/>
      <c r="L1534" s="368"/>
      <c r="M1534" s="368"/>
      <c r="N1534" s="368"/>
      <c r="O1534" s="383"/>
      <c r="P1534" s="368"/>
      <c r="Q1534" s="368"/>
      <c r="R1534" s="368"/>
      <c r="S1534" s="368"/>
      <c r="T1534" s="368"/>
      <c r="U1534" s="368"/>
      <c r="V1534" s="368"/>
      <c r="W1534" s="368"/>
      <c r="X1534" s="368"/>
    </row>
    <row r="1535" spans="1:36">
      <c r="H1535" s="368"/>
      <c r="I1535" s="368"/>
      <c r="J1535" s="368"/>
      <c r="K1535" s="368"/>
      <c r="L1535" s="368"/>
      <c r="M1535" s="368"/>
      <c r="N1535" s="368"/>
      <c r="O1535" s="383"/>
      <c r="P1535" s="368"/>
      <c r="Q1535" s="368"/>
      <c r="R1535" s="368"/>
      <c r="S1535" s="368"/>
      <c r="T1535" s="368"/>
      <c r="U1535" s="368"/>
      <c r="V1535" s="368"/>
      <c r="W1535" s="368"/>
      <c r="X1535" s="368"/>
    </row>
    <row r="1536" spans="1:36">
      <c r="H1536" s="368"/>
      <c r="I1536" s="368"/>
      <c r="J1536" s="368"/>
      <c r="K1536" s="368"/>
      <c r="L1536" s="368"/>
      <c r="M1536" s="368"/>
      <c r="N1536" s="368"/>
      <c r="O1536" s="383"/>
      <c r="P1536" s="368"/>
      <c r="Q1536" s="368"/>
      <c r="R1536" s="368"/>
      <c r="S1536" s="368"/>
      <c r="T1536" s="368"/>
      <c r="U1536" s="368"/>
      <c r="V1536" s="368"/>
      <c r="W1536" s="368"/>
      <c r="X1536" s="368"/>
    </row>
    <row r="1537" spans="8:24">
      <c r="H1537" s="368"/>
      <c r="I1537" s="368"/>
      <c r="J1537" s="368"/>
      <c r="K1537" s="368"/>
      <c r="L1537" s="368"/>
      <c r="M1537" s="368"/>
      <c r="N1537" s="368"/>
      <c r="O1537" s="383"/>
      <c r="P1537" s="368"/>
      <c r="Q1537" s="368"/>
      <c r="R1537" s="368"/>
      <c r="S1537" s="368"/>
      <c r="T1537" s="368"/>
      <c r="U1537" s="368"/>
      <c r="V1537" s="368"/>
      <c r="W1537" s="368"/>
      <c r="X1537" s="368"/>
    </row>
    <row r="1538" spans="8:24">
      <c r="H1538" s="368"/>
      <c r="I1538" s="368"/>
      <c r="J1538" s="368"/>
      <c r="K1538" s="368"/>
      <c r="L1538" s="368"/>
      <c r="M1538" s="368"/>
      <c r="N1538" s="368"/>
      <c r="O1538" s="383"/>
      <c r="P1538" s="368"/>
      <c r="Q1538" s="368"/>
      <c r="R1538" s="368"/>
      <c r="S1538" s="368"/>
      <c r="T1538" s="368"/>
      <c r="U1538" s="368"/>
      <c r="V1538" s="368"/>
      <c r="W1538" s="368"/>
      <c r="X1538" s="368"/>
    </row>
    <row r="1539" spans="8:24">
      <c r="H1539" s="368"/>
      <c r="I1539" s="368"/>
      <c r="J1539" s="368"/>
      <c r="K1539" s="368"/>
      <c r="L1539" s="368"/>
      <c r="M1539" s="368"/>
      <c r="N1539" s="368"/>
      <c r="O1539" s="383"/>
      <c r="P1539" s="368"/>
      <c r="Q1539" s="368"/>
      <c r="R1539" s="368"/>
      <c r="S1539" s="368"/>
      <c r="T1539" s="368"/>
      <c r="U1539" s="368"/>
      <c r="V1539" s="368"/>
      <c r="W1539" s="368"/>
      <c r="X1539" s="368"/>
    </row>
    <row r="1540" spans="8:24">
      <c r="H1540" s="368"/>
      <c r="I1540" s="368"/>
      <c r="J1540" s="368"/>
      <c r="K1540" s="368"/>
      <c r="L1540" s="368"/>
      <c r="M1540" s="368"/>
      <c r="N1540" s="368"/>
      <c r="O1540" s="383"/>
      <c r="P1540" s="368"/>
      <c r="Q1540" s="368"/>
      <c r="R1540" s="368"/>
      <c r="S1540" s="368"/>
      <c r="T1540" s="368"/>
      <c r="U1540" s="368"/>
      <c r="V1540" s="368"/>
      <c r="W1540" s="368"/>
      <c r="X1540" s="368"/>
    </row>
  </sheetData>
  <mergeCells count="14">
    <mergeCell ref="B1023:C1023"/>
    <mergeCell ref="B1024:C1024"/>
    <mergeCell ref="B11:C11"/>
    <mergeCell ref="B13:C13"/>
    <mergeCell ref="B14:C14"/>
    <mergeCell ref="B15:C15"/>
    <mergeCell ref="B516:C516"/>
    <mergeCell ref="B518:C518"/>
    <mergeCell ref="G3:AF3"/>
    <mergeCell ref="B519:C519"/>
    <mergeCell ref="B520:C520"/>
    <mergeCell ref="B1020:C1020"/>
    <mergeCell ref="B1022:C1022"/>
    <mergeCell ref="G4:AF4"/>
  </mergeCells>
  <dataValidations disablePrompts="1" count="5">
    <dataValidation type="list" allowBlank="1" showInputMessage="1" showErrorMessage="1" sqref="C1021">
      <formula1>G1021:G1527</formula1>
    </dataValidation>
    <dataValidation type="list" allowBlank="1" showInputMessage="1" showErrorMessage="1" sqref="B12 B517">
      <formula1>AJ12:AJ512</formula1>
    </dataValidation>
    <dataValidation type="list" allowBlank="1" showInputMessage="1" showErrorMessage="1" sqref="C12 C517">
      <formula1>G12:G512</formula1>
    </dataValidation>
    <dataValidation type="list" allowBlank="1" showInputMessage="1" showErrorMessage="1" sqref="B8">
      <formula1>"1,2,3"</formula1>
    </dataValidation>
    <dataValidation type="list" allowBlank="1" showInputMessage="1" showErrorMessage="1" sqref="B1021">
      <formula1>$A$1021:$A$1523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>
    <tabColor theme="2" tint="-0.499984740745262"/>
  </sheetPr>
  <dimension ref="B2:O2914"/>
  <sheetViews>
    <sheetView showGridLines="0" zoomScale="80" zoomScaleNormal="80" workbookViewId="0">
      <selection activeCell="O6" sqref="O6"/>
    </sheetView>
  </sheetViews>
  <sheetFormatPr defaultColWidth="8.85546875" defaultRowHeight="15"/>
  <cols>
    <col min="2" max="2" width="13.140625" customWidth="1"/>
    <col min="3" max="3" width="16.42578125" style="418" customWidth="1"/>
    <col min="4" max="4" width="18.5703125" style="418" customWidth="1"/>
    <col min="5" max="5" width="11.42578125" customWidth="1"/>
    <col min="6" max="6" width="11" customWidth="1"/>
    <col min="7" max="7" width="14.7109375" style="418" customWidth="1"/>
    <col min="8" max="8" width="9.42578125" customWidth="1"/>
    <col min="11" max="11" width="8.85546875" style="50"/>
  </cols>
  <sheetData>
    <row r="2" spans="2:15" ht="15.75" thickBot="1">
      <c r="B2" s="384"/>
      <c r="C2" s="385"/>
      <c r="D2" s="385"/>
      <c r="F2" s="384"/>
      <c r="G2" s="385"/>
      <c r="I2" s="384"/>
      <c r="J2" s="385"/>
    </row>
    <row r="3" spans="2:15">
      <c r="B3" s="822" t="s">
        <v>2822</v>
      </c>
      <c r="C3" s="823"/>
      <c r="D3" s="823"/>
      <c r="E3" s="823"/>
      <c r="F3" s="823"/>
      <c r="G3" s="823"/>
      <c r="H3" s="823"/>
      <c r="I3" s="823"/>
      <c r="J3" s="824"/>
    </row>
    <row r="4" spans="2:15" ht="77.25" customHeight="1" thickBot="1">
      <c r="B4" s="916" t="str">
        <f>LE_DECLARE_TABLE("ExpectedMileage","sex",B5:D88)</f>
        <v>Declared table EXPECTEDMILEAGE</v>
      </c>
      <c r="C4" s="917"/>
      <c r="D4" s="917"/>
      <c r="E4" s="777"/>
      <c r="F4" s="917" t="str">
        <f>LE_DECLARE_TABLE("ExpectedMileage","KM",F5:G2914)</f>
        <v>Declared table EXPECTEDMILEAGE</v>
      </c>
      <c r="G4" s="917"/>
      <c r="H4" s="917" t="str">
        <f>LE_DECLARE_TABLE("ExpectedMileage","Ratio",I5:J29)</f>
        <v>Declared table EXPECTEDMILEAGE</v>
      </c>
      <c r="I4" s="917"/>
      <c r="J4" s="918"/>
    </row>
    <row r="5" spans="2:15" ht="15.75" thickBot="1">
      <c r="B5" s="386"/>
      <c r="C5" s="387" t="s">
        <v>870</v>
      </c>
      <c r="D5" s="387" t="s">
        <v>862</v>
      </c>
      <c r="E5" s="388"/>
      <c r="F5" s="389"/>
      <c r="G5" s="390" t="s">
        <v>360</v>
      </c>
      <c r="H5" s="391"/>
      <c r="I5" s="389"/>
      <c r="J5" s="392" t="s">
        <v>2823</v>
      </c>
      <c r="N5" s="393" t="s">
        <v>2824</v>
      </c>
      <c r="O5" s="393"/>
    </row>
    <row r="6" spans="2:15">
      <c r="B6" s="394">
        <v>18</v>
      </c>
      <c r="C6" s="395">
        <v>0.90510000000000002</v>
      </c>
      <c r="D6" s="396">
        <v>0.98980000000000001</v>
      </c>
      <c r="E6" s="397"/>
      <c r="F6" s="394">
        <v>800</v>
      </c>
      <c r="G6" s="398">
        <v>12922</v>
      </c>
      <c r="H6" s="399"/>
      <c r="I6" s="400">
        <v>0</v>
      </c>
      <c r="J6" s="401">
        <v>1.0479248167348842</v>
      </c>
      <c r="N6" s="402" t="s">
        <v>862</v>
      </c>
      <c r="O6" s="192">
        <f>EXPECTEDMILEAGE(N7,N6)</f>
        <v>1.0228999999999999</v>
      </c>
    </row>
    <row r="7" spans="2:15">
      <c r="B7" s="403">
        <v>19</v>
      </c>
      <c r="C7" s="404">
        <v>0.92110000000000003</v>
      </c>
      <c r="D7" s="405">
        <v>0.99750000000000005</v>
      </c>
      <c r="E7" s="397"/>
      <c r="F7" s="403">
        <v>810</v>
      </c>
      <c r="G7" s="406">
        <v>12922</v>
      </c>
      <c r="H7" s="399"/>
      <c r="I7" s="407">
        <v>1</v>
      </c>
      <c r="J7" s="306">
        <v>1.0452801485673868</v>
      </c>
      <c r="N7" s="408">
        <v>23</v>
      </c>
      <c r="O7" s="192"/>
    </row>
    <row r="8" spans="2:15">
      <c r="B8" s="403">
        <v>20</v>
      </c>
      <c r="C8" s="404">
        <v>0.93640000000000001</v>
      </c>
      <c r="D8" s="405">
        <v>1.0046999999999999</v>
      </c>
      <c r="E8" s="397"/>
      <c r="F8" s="403">
        <v>812</v>
      </c>
      <c r="G8" s="406">
        <v>12922</v>
      </c>
      <c r="H8" s="399"/>
      <c r="I8" s="407">
        <v>2</v>
      </c>
      <c r="J8" s="306">
        <v>1.0425179017034134</v>
      </c>
    </row>
    <row r="9" spans="2:15">
      <c r="B9" s="403">
        <v>21</v>
      </c>
      <c r="C9" s="404">
        <v>0.95109999999999995</v>
      </c>
      <c r="D9" s="405">
        <v>1.0113000000000001</v>
      </c>
      <c r="E9" s="397"/>
      <c r="F9" s="403">
        <v>820</v>
      </c>
      <c r="G9" s="406">
        <v>12922</v>
      </c>
      <c r="H9" s="399"/>
      <c r="I9" s="407">
        <v>3</v>
      </c>
      <c r="J9" s="306">
        <v>1.0396271329269289</v>
      </c>
    </row>
    <row r="10" spans="2:15">
      <c r="B10" s="403">
        <v>22</v>
      </c>
      <c r="C10" s="404">
        <v>0.96499999999999997</v>
      </c>
      <c r="D10" s="405">
        <v>1.0174000000000001</v>
      </c>
      <c r="E10" s="397"/>
      <c r="F10" s="403">
        <v>822</v>
      </c>
      <c r="G10" s="406">
        <v>14922</v>
      </c>
      <c r="H10" s="399"/>
      <c r="I10" s="407">
        <v>4</v>
      </c>
      <c r="J10" s="306">
        <v>1.0365952963882763</v>
      </c>
    </row>
    <row r="11" spans="2:15">
      <c r="B11" s="403">
        <v>23</v>
      </c>
      <c r="C11" s="404">
        <v>0.97829999999999995</v>
      </c>
      <c r="D11" s="405">
        <v>1.0228999999999999</v>
      </c>
      <c r="E11" s="397"/>
      <c r="F11" s="403">
        <v>828</v>
      </c>
      <c r="G11" s="406">
        <v>12984</v>
      </c>
      <c r="H11" s="399"/>
      <c r="I11" s="407">
        <v>5</v>
      </c>
      <c r="J11" s="306">
        <v>1.0334079145304904</v>
      </c>
    </row>
    <row r="12" spans="2:15">
      <c r="B12" s="403">
        <v>24</v>
      </c>
      <c r="C12" s="404">
        <v>0.9909</v>
      </c>
      <c r="D12" s="405">
        <v>1.0279</v>
      </c>
      <c r="E12" s="397"/>
      <c r="F12" s="403">
        <v>829</v>
      </c>
      <c r="G12" s="406">
        <v>13004</v>
      </c>
      <c r="H12" s="399"/>
      <c r="I12" s="407">
        <v>6</v>
      </c>
      <c r="J12" s="306">
        <v>1.0300481599614879</v>
      </c>
    </row>
    <row r="13" spans="2:15">
      <c r="B13" s="403">
        <v>25</v>
      </c>
      <c r="C13" s="404">
        <v>1.0027999999999999</v>
      </c>
      <c r="D13" s="405">
        <v>1.0323</v>
      </c>
      <c r="E13" s="397"/>
      <c r="F13" s="403">
        <v>830</v>
      </c>
      <c r="G13" s="406">
        <v>13015</v>
      </c>
      <c r="H13" s="399"/>
      <c r="I13" s="407">
        <v>7</v>
      </c>
      <c r="J13" s="306">
        <v>1.0264963176891484</v>
      </c>
    </row>
    <row r="14" spans="2:15">
      <c r="B14" s="403">
        <v>26</v>
      </c>
      <c r="C14" s="404">
        <v>1.014</v>
      </c>
      <c r="D14" s="405">
        <v>1.0362</v>
      </c>
      <c r="E14" s="397"/>
      <c r="F14" s="403">
        <v>832</v>
      </c>
      <c r="G14" s="406">
        <v>13015</v>
      </c>
      <c r="H14" s="399"/>
      <c r="I14" s="407">
        <v>8</v>
      </c>
      <c r="J14" s="306">
        <v>1.0227290841351317</v>
      </c>
    </row>
    <row r="15" spans="2:15">
      <c r="B15" s="403">
        <v>27</v>
      </c>
      <c r="C15" s="404">
        <v>1.0245</v>
      </c>
      <c r="D15" s="405">
        <v>1.0396000000000001</v>
      </c>
      <c r="E15" s="397"/>
      <c r="F15" s="403">
        <v>835</v>
      </c>
      <c r="G15" s="406">
        <v>13055</v>
      </c>
      <c r="H15" s="399"/>
      <c r="I15" s="407">
        <v>9</v>
      </c>
      <c r="J15" s="306">
        <v>1.01871863961488</v>
      </c>
    </row>
    <row r="16" spans="2:15">
      <c r="B16" s="403">
        <v>28</v>
      </c>
      <c r="C16" s="404">
        <v>1.0344</v>
      </c>
      <c r="D16" s="405">
        <v>1.0424</v>
      </c>
      <c r="E16" s="397"/>
      <c r="F16" s="403">
        <v>836</v>
      </c>
      <c r="G16" s="406">
        <v>13055</v>
      </c>
      <c r="H16" s="399"/>
      <c r="I16" s="407">
        <v>10</v>
      </c>
      <c r="J16" s="306">
        <v>1.0144314003271764</v>
      </c>
    </row>
    <row r="17" spans="2:10">
      <c r="B17" s="403">
        <v>29</v>
      </c>
      <c r="C17" s="404">
        <v>1.0436000000000001</v>
      </c>
      <c r="D17" s="405">
        <v>1.0446</v>
      </c>
      <c r="E17" s="397"/>
      <c r="F17" s="403">
        <v>837</v>
      </c>
      <c r="G17" s="406">
        <v>13096</v>
      </c>
      <c r="H17" s="399"/>
      <c r="I17" s="407">
        <v>11</v>
      </c>
      <c r="J17" s="306">
        <v>1.0098263070341749</v>
      </c>
    </row>
    <row r="18" spans="2:10">
      <c r="B18" s="403">
        <v>30</v>
      </c>
      <c r="C18" s="404">
        <v>1.0521</v>
      </c>
      <c r="D18" s="405">
        <v>1.0464</v>
      </c>
      <c r="E18" s="397"/>
      <c r="F18" s="403">
        <v>838</v>
      </c>
      <c r="G18" s="406">
        <v>13052</v>
      </c>
      <c r="H18" s="399"/>
      <c r="I18" s="407">
        <v>12</v>
      </c>
      <c r="J18" s="306">
        <v>1.0048524273617356</v>
      </c>
    </row>
    <row r="19" spans="2:10">
      <c r="B19" s="403">
        <v>31</v>
      </c>
      <c r="C19" s="404">
        <v>1.0599000000000001</v>
      </c>
      <c r="D19" s="405">
        <v>1.0475000000000001</v>
      </c>
      <c r="E19" s="397"/>
      <c r="F19" s="403">
        <v>840</v>
      </c>
      <c r="G19" s="406">
        <v>12922</v>
      </c>
      <c r="H19" s="399"/>
      <c r="I19" s="407">
        <v>13</v>
      </c>
      <c r="J19" s="306">
        <v>0.99944551233026491</v>
      </c>
    </row>
    <row r="20" spans="2:10">
      <c r="B20" s="403">
        <v>32</v>
      </c>
      <c r="C20" s="404">
        <v>1.0669999999999999</v>
      </c>
      <c r="D20" s="405">
        <v>1.0481</v>
      </c>
      <c r="E20" s="397"/>
      <c r="F20" s="403">
        <v>841</v>
      </c>
      <c r="G20" s="406">
        <v>13096</v>
      </c>
      <c r="H20" s="399"/>
      <c r="I20" s="407">
        <v>14</v>
      </c>
      <c r="J20" s="306">
        <v>0.9935229070151278</v>
      </c>
    </row>
    <row r="21" spans="2:10">
      <c r="B21" s="403">
        <v>33</v>
      </c>
      <c r="C21" s="404">
        <v>1.0734999999999999</v>
      </c>
      <c r="D21" s="405">
        <v>1.0482</v>
      </c>
      <c r="E21" s="397"/>
      <c r="F21" s="403">
        <v>845</v>
      </c>
      <c r="G21" s="406">
        <v>13096</v>
      </c>
      <c r="H21" s="399"/>
      <c r="I21" s="407">
        <v>15</v>
      </c>
      <c r="J21" s="306">
        <v>0.98697577058833952</v>
      </c>
    </row>
    <row r="22" spans="2:10">
      <c r="B22" s="403">
        <v>34</v>
      </c>
      <c r="C22" s="404">
        <v>1.0792999999999999</v>
      </c>
      <c r="D22" s="405">
        <v>1.0477000000000001</v>
      </c>
      <c r="E22" s="397"/>
      <c r="F22" s="403">
        <v>846</v>
      </c>
      <c r="G22" s="406">
        <v>13096</v>
      </c>
      <c r="H22" s="399"/>
      <c r="I22" s="407">
        <v>16</v>
      </c>
      <c r="J22" s="306">
        <v>0.97965669476198336</v>
      </c>
    </row>
    <row r="23" spans="2:10">
      <c r="B23" s="403">
        <v>35</v>
      </c>
      <c r="C23" s="404">
        <v>1.0844</v>
      </c>
      <c r="D23" s="405">
        <v>1.0467</v>
      </c>
      <c r="E23" s="397"/>
      <c r="F23" s="403">
        <v>847</v>
      </c>
      <c r="G23" s="406">
        <v>14867</v>
      </c>
      <c r="H23" s="399"/>
      <c r="I23" s="407">
        <v>17</v>
      </c>
      <c r="J23" s="306">
        <v>0.97135901095402799</v>
      </c>
    </row>
    <row r="24" spans="2:10">
      <c r="B24" s="403">
        <v>36</v>
      </c>
      <c r="C24" s="404">
        <v>1.0888</v>
      </c>
      <c r="D24" s="405">
        <v>1.0450999999999999</v>
      </c>
      <c r="E24" s="397"/>
      <c r="F24" s="403">
        <v>850</v>
      </c>
      <c r="G24" s="406">
        <v>14867</v>
      </c>
      <c r="H24" s="399"/>
      <c r="I24" s="407">
        <v>18</v>
      </c>
      <c r="J24" s="306">
        <v>0.96178003798858724</v>
      </c>
    </row>
    <row r="25" spans="2:10">
      <c r="B25" s="403">
        <v>37</v>
      </c>
      <c r="C25" s="404">
        <v>1.0925</v>
      </c>
      <c r="D25" s="405">
        <v>1.0429999999999999</v>
      </c>
      <c r="E25" s="397"/>
      <c r="F25" s="403">
        <v>852</v>
      </c>
      <c r="G25" s="406">
        <v>15213</v>
      </c>
      <c r="H25" s="399"/>
      <c r="I25" s="407">
        <v>19</v>
      </c>
      <c r="J25" s="306">
        <v>0.9504505176419793</v>
      </c>
    </row>
    <row r="26" spans="2:10">
      <c r="B26" s="403">
        <v>38</v>
      </c>
      <c r="C26" s="404">
        <v>1.0955999999999999</v>
      </c>
      <c r="D26" s="405">
        <v>1.0404</v>
      </c>
      <c r="E26" s="397"/>
      <c r="F26" s="403">
        <v>853</v>
      </c>
      <c r="G26" s="406">
        <v>14957</v>
      </c>
      <c r="H26" s="399"/>
      <c r="I26" s="407">
        <v>20</v>
      </c>
      <c r="J26" s="306">
        <v>0.93658430538883497</v>
      </c>
    </row>
    <row r="27" spans="2:10">
      <c r="B27" s="403">
        <v>39</v>
      </c>
      <c r="C27" s="404">
        <v>1.0980000000000001</v>
      </c>
      <c r="D27" s="405">
        <v>1.0371999999999999</v>
      </c>
      <c r="E27" s="397"/>
      <c r="F27" s="403">
        <v>854</v>
      </c>
      <c r="G27" s="406">
        <v>15461</v>
      </c>
      <c r="H27" s="399"/>
      <c r="I27" s="407">
        <v>21</v>
      </c>
      <c r="J27" s="306">
        <v>0.91870764861543874</v>
      </c>
    </row>
    <row r="28" spans="2:10">
      <c r="B28" s="403">
        <v>40</v>
      </c>
      <c r="C28" s="404">
        <v>1.0996999999999999</v>
      </c>
      <c r="D28" s="405">
        <v>1.0334000000000001</v>
      </c>
      <c r="E28" s="397"/>
      <c r="F28" s="403">
        <v>860</v>
      </c>
      <c r="G28" s="406">
        <v>17291</v>
      </c>
      <c r="H28" s="399"/>
      <c r="I28" s="407">
        <v>22</v>
      </c>
      <c r="J28" s="306">
        <v>0.89351191601568647</v>
      </c>
    </row>
    <row r="29" spans="2:10" ht="15.75" thickBot="1">
      <c r="B29" s="403">
        <v>41</v>
      </c>
      <c r="C29" s="404">
        <v>1.1007</v>
      </c>
      <c r="D29" s="405">
        <v>1.0290999999999999</v>
      </c>
      <c r="E29" s="397"/>
      <c r="F29" s="403">
        <v>862</v>
      </c>
      <c r="G29" s="406">
        <v>15327</v>
      </c>
      <c r="H29" s="399"/>
      <c r="I29" s="409">
        <v>23</v>
      </c>
      <c r="J29" s="330">
        <v>0.85043952664253808</v>
      </c>
    </row>
    <row r="30" spans="2:10">
      <c r="B30" s="403">
        <v>42</v>
      </c>
      <c r="C30" s="404">
        <v>1.101</v>
      </c>
      <c r="D30" s="405">
        <v>1.0242</v>
      </c>
      <c r="E30" s="397"/>
      <c r="F30" s="403">
        <v>870</v>
      </c>
      <c r="G30" s="406">
        <v>18153</v>
      </c>
      <c r="H30" s="399"/>
      <c r="I30" s="50"/>
      <c r="J30" s="306"/>
    </row>
    <row r="31" spans="2:10">
      <c r="B31" s="403">
        <v>43</v>
      </c>
      <c r="C31" s="404">
        <v>1.1006</v>
      </c>
      <c r="D31" s="405">
        <v>1.0188999999999999</v>
      </c>
      <c r="E31" s="397"/>
      <c r="F31" s="403">
        <v>872</v>
      </c>
      <c r="G31" s="406">
        <v>17419</v>
      </c>
      <c r="H31" s="399"/>
      <c r="I31" s="50"/>
      <c r="J31" s="306"/>
    </row>
    <row r="32" spans="2:10">
      <c r="B32" s="403">
        <v>44</v>
      </c>
      <c r="C32" s="404">
        <v>1.0995999999999999</v>
      </c>
      <c r="D32" s="405">
        <v>1.0128999999999999</v>
      </c>
      <c r="E32" s="397"/>
      <c r="F32" s="403">
        <v>880</v>
      </c>
      <c r="G32" s="406">
        <v>14942</v>
      </c>
      <c r="H32" s="399"/>
      <c r="I32" s="50"/>
      <c r="J32" s="306"/>
    </row>
    <row r="33" spans="2:10">
      <c r="B33" s="403">
        <v>45</v>
      </c>
      <c r="C33" s="404">
        <v>1.0979000000000001</v>
      </c>
      <c r="D33" s="405">
        <v>1.0064</v>
      </c>
      <c r="E33" s="397"/>
      <c r="F33" s="403">
        <v>885</v>
      </c>
      <c r="G33" s="406">
        <v>15186</v>
      </c>
      <c r="H33" s="399"/>
      <c r="I33" s="50"/>
      <c r="J33" s="306"/>
    </row>
    <row r="34" spans="2:10">
      <c r="B34" s="403">
        <v>46</v>
      </c>
      <c r="C34" s="404">
        <v>1.0954999999999999</v>
      </c>
      <c r="D34" s="405">
        <v>0.99939999999999996</v>
      </c>
      <c r="E34" s="397"/>
      <c r="F34" s="403">
        <v>886</v>
      </c>
      <c r="G34" s="406">
        <v>14033</v>
      </c>
      <c r="H34" s="399"/>
      <c r="I34" s="50"/>
      <c r="J34" s="306"/>
    </row>
    <row r="35" spans="2:10">
      <c r="B35" s="403">
        <v>47</v>
      </c>
      <c r="C35" s="404">
        <v>1.0924</v>
      </c>
      <c r="D35" s="405">
        <v>0.99180000000000001</v>
      </c>
      <c r="E35" s="397"/>
      <c r="F35" s="403">
        <v>2000</v>
      </c>
      <c r="G35" s="406">
        <v>13397</v>
      </c>
      <c r="H35" s="399"/>
      <c r="I35" s="50"/>
      <c r="J35" s="306"/>
    </row>
    <row r="36" spans="2:10">
      <c r="B36" s="403">
        <v>48</v>
      </c>
      <c r="C36" s="404">
        <v>1.0887</v>
      </c>
      <c r="D36" s="405">
        <v>0.98370000000000002</v>
      </c>
      <c r="E36" s="397"/>
      <c r="F36" s="403">
        <v>2006</v>
      </c>
      <c r="G36" s="406">
        <v>11326</v>
      </c>
      <c r="H36" s="399"/>
      <c r="I36" s="50"/>
      <c r="J36" s="306"/>
    </row>
    <row r="37" spans="2:10">
      <c r="B37" s="403">
        <v>49</v>
      </c>
      <c r="C37" s="404">
        <v>1.0842000000000001</v>
      </c>
      <c r="D37" s="405">
        <v>0.97499999999999998</v>
      </c>
      <c r="E37" s="397"/>
      <c r="F37" s="403">
        <v>2007</v>
      </c>
      <c r="G37" s="406">
        <v>13152</v>
      </c>
      <c r="H37" s="399"/>
      <c r="I37" s="50"/>
      <c r="J37" s="306"/>
    </row>
    <row r="38" spans="2:10">
      <c r="B38" s="403">
        <v>50</v>
      </c>
      <c r="C38" s="404">
        <v>1.0790999999999999</v>
      </c>
      <c r="D38" s="405">
        <v>0.96579999999999999</v>
      </c>
      <c r="E38" s="397"/>
      <c r="F38" s="403">
        <v>2008</v>
      </c>
      <c r="G38" s="406">
        <v>11863</v>
      </c>
      <c r="H38" s="399"/>
      <c r="I38" s="50"/>
      <c r="J38" s="306"/>
    </row>
    <row r="39" spans="2:10">
      <c r="B39" s="403">
        <v>51</v>
      </c>
      <c r="C39" s="404">
        <v>1.0732999999999999</v>
      </c>
      <c r="D39" s="405">
        <v>0.95599999999999996</v>
      </c>
      <c r="E39" s="397"/>
      <c r="F39" s="403">
        <v>2009</v>
      </c>
      <c r="G39" s="406">
        <v>13145</v>
      </c>
      <c r="H39" s="399"/>
      <c r="I39" s="50"/>
      <c r="J39" s="306"/>
    </row>
    <row r="40" spans="2:10">
      <c r="B40" s="403">
        <v>52</v>
      </c>
      <c r="C40" s="404">
        <v>1.0668</v>
      </c>
      <c r="D40" s="405">
        <v>0.94569999999999999</v>
      </c>
      <c r="E40" s="397"/>
      <c r="F40" s="403">
        <v>2010</v>
      </c>
      <c r="G40" s="406">
        <v>13200</v>
      </c>
      <c r="H40" s="399"/>
      <c r="I40" s="50"/>
      <c r="J40" s="306"/>
    </row>
    <row r="41" spans="2:10">
      <c r="B41" s="403">
        <v>53</v>
      </c>
      <c r="C41" s="404">
        <v>1.0597000000000001</v>
      </c>
      <c r="D41" s="405">
        <v>0.93489999999999995</v>
      </c>
      <c r="E41" s="397"/>
      <c r="F41" s="403">
        <v>2011</v>
      </c>
      <c r="G41" s="406">
        <v>13294</v>
      </c>
      <c r="H41" s="399"/>
      <c r="I41" s="50"/>
      <c r="J41" s="306"/>
    </row>
    <row r="42" spans="2:10">
      <c r="B42" s="403">
        <v>54</v>
      </c>
      <c r="C42" s="404">
        <v>1.0518000000000001</v>
      </c>
      <c r="D42" s="405">
        <v>0.92349999999999999</v>
      </c>
      <c r="E42" s="397"/>
      <c r="F42" s="403">
        <v>2015</v>
      </c>
      <c r="G42" s="406">
        <v>11493</v>
      </c>
      <c r="H42" s="399"/>
      <c r="I42" s="50"/>
      <c r="J42" s="306"/>
    </row>
    <row r="43" spans="2:10">
      <c r="B43" s="403">
        <v>55</v>
      </c>
      <c r="C43" s="404">
        <v>1.0432999999999999</v>
      </c>
      <c r="D43" s="405">
        <v>0.91149999999999998</v>
      </c>
      <c r="E43" s="397"/>
      <c r="F43" s="403">
        <v>2016</v>
      </c>
      <c r="G43" s="406">
        <v>12238</v>
      </c>
      <c r="H43" s="399"/>
      <c r="I43" s="50"/>
      <c r="J43" s="306"/>
    </row>
    <row r="44" spans="2:10">
      <c r="B44" s="403">
        <v>56</v>
      </c>
      <c r="C44" s="404">
        <v>1.0341</v>
      </c>
      <c r="D44" s="405">
        <v>0.89900000000000002</v>
      </c>
      <c r="E44" s="397"/>
      <c r="F44" s="403">
        <v>2017</v>
      </c>
      <c r="G44" s="406">
        <v>11652</v>
      </c>
      <c r="H44" s="399"/>
      <c r="I44" s="50"/>
      <c r="J44" s="306"/>
    </row>
    <row r="45" spans="2:10">
      <c r="B45" s="403">
        <v>57</v>
      </c>
      <c r="C45" s="404">
        <v>1.0242</v>
      </c>
      <c r="D45" s="405">
        <v>0.88600000000000001</v>
      </c>
      <c r="E45" s="397"/>
      <c r="F45" s="403">
        <v>2018</v>
      </c>
      <c r="G45" s="406">
        <v>11140</v>
      </c>
      <c r="H45" s="399"/>
      <c r="I45" s="50"/>
      <c r="J45" s="306"/>
    </row>
    <row r="46" spans="2:10">
      <c r="B46" s="403">
        <v>58</v>
      </c>
      <c r="C46" s="404">
        <v>1.0137</v>
      </c>
      <c r="D46" s="405">
        <v>0.87239999999999995</v>
      </c>
      <c r="E46" s="397"/>
      <c r="F46" s="403">
        <v>2019</v>
      </c>
      <c r="G46" s="406">
        <v>11024</v>
      </c>
      <c r="H46" s="399"/>
      <c r="I46" s="50"/>
      <c r="J46" s="306"/>
    </row>
    <row r="47" spans="2:10">
      <c r="B47" s="403">
        <v>59</v>
      </c>
      <c r="C47" s="404">
        <v>1.0024</v>
      </c>
      <c r="D47" s="405">
        <v>0.85819999999999996</v>
      </c>
      <c r="E47" s="397"/>
      <c r="F47" s="403">
        <v>2020</v>
      </c>
      <c r="G47" s="406">
        <v>11585</v>
      </c>
      <c r="H47" s="399"/>
      <c r="I47" s="50"/>
      <c r="J47" s="306"/>
    </row>
    <row r="48" spans="2:10">
      <c r="B48" s="403">
        <v>60</v>
      </c>
      <c r="C48" s="404">
        <v>0.99050000000000005</v>
      </c>
      <c r="D48" s="405">
        <v>0.84350000000000003</v>
      </c>
      <c r="E48" s="397"/>
      <c r="F48" s="403">
        <v>2021</v>
      </c>
      <c r="G48" s="406">
        <v>12343</v>
      </c>
      <c r="H48" s="399"/>
      <c r="I48" s="50"/>
      <c r="J48" s="306"/>
    </row>
    <row r="49" spans="2:10">
      <c r="B49" s="403">
        <v>61</v>
      </c>
      <c r="C49" s="404">
        <v>0.97789999999999999</v>
      </c>
      <c r="D49" s="405">
        <v>0.82830000000000004</v>
      </c>
      <c r="E49" s="397"/>
      <c r="F49" s="403">
        <v>2022</v>
      </c>
      <c r="G49" s="406">
        <v>10956</v>
      </c>
      <c r="H49" s="399"/>
      <c r="I49" s="50"/>
      <c r="J49" s="306"/>
    </row>
    <row r="50" spans="2:10">
      <c r="B50" s="403">
        <v>62</v>
      </c>
      <c r="C50" s="404">
        <v>0.96460000000000001</v>
      </c>
      <c r="D50" s="405">
        <v>0.8125</v>
      </c>
      <c r="E50" s="397"/>
      <c r="F50" s="403">
        <v>2023</v>
      </c>
      <c r="G50" s="406">
        <v>11109</v>
      </c>
      <c r="H50" s="399"/>
      <c r="I50" s="50"/>
      <c r="J50" s="306"/>
    </row>
    <row r="51" spans="2:10">
      <c r="B51" s="403">
        <v>63</v>
      </c>
      <c r="C51" s="404">
        <v>0.9506</v>
      </c>
      <c r="D51" s="405">
        <v>0.79620000000000002</v>
      </c>
      <c r="E51" s="397"/>
      <c r="F51" s="403">
        <v>2024</v>
      </c>
      <c r="G51" s="406">
        <v>10837</v>
      </c>
      <c r="H51" s="399"/>
      <c r="I51" s="50"/>
      <c r="J51" s="306"/>
    </row>
    <row r="52" spans="2:10">
      <c r="B52" s="403">
        <v>64</v>
      </c>
      <c r="C52" s="404">
        <v>0.93600000000000005</v>
      </c>
      <c r="D52" s="405">
        <v>0.77929999999999999</v>
      </c>
      <c r="E52" s="397"/>
      <c r="F52" s="403">
        <v>2025</v>
      </c>
      <c r="G52" s="406">
        <v>12524</v>
      </c>
      <c r="H52" s="399"/>
      <c r="I52" s="50"/>
      <c r="J52" s="306"/>
    </row>
    <row r="53" spans="2:10">
      <c r="B53" s="403">
        <v>65</v>
      </c>
      <c r="C53" s="404">
        <v>0.92059999999999997</v>
      </c>
      <c r="D53" s="405">
        <v>0.76190000000000002</v>
      </c>
      <c r="E53" s="397"/>
      <c r="F53" s="403">
        <v>2026</v>
      </c>
      <c r="G53" s="406">
        <v>11084</v>
      </c>
      <c r="H53" s="399"/>
      <c r="I53" s="50"/>
      <c r="J53" s="306"/>
    </row>
    <row r="54" spans="2:10">
      <c r="B54" s="403">
        <v>66</v>
      </c>
      <c r="C54" s="404">
        <v>0.90459999999999996</v>
      </c>
      <c r="D54" s="405">
        <v>0.74399999999999999</v>
      </c>
      <c r="E54" s="397"/>
      <c r="F54" s="403">
        <v>2027</v>
      </c>
      <c r="G54" s="406">
        <v>12852</v>
      </c>
      <c r="H54" s="399"/>
      <c r="I54" s="50"/>
      <c r="J54" s="306"/>
    </row>
    <row r="55" spans="2:10">
      <c r="B55" s="403">
        <v>67</v>
      </c>
      <c r="C55" s="404">
        <v>0.88790000000000002</v>
      </c>
      <c r="D55" s="405">
        <v>0.72550000000000003</v>
      </c>
      <c r="E55" s="397"/>
      <c r="F55" s="403">
        <v>2028</v>
      </c>
      <c r="G55" s="406">
        <v>12524</v>
      </c>
      <c r="H55" s="399"/>
      <c r="I55" s="50"/>
      <c r="J55" s="306"/>
    </row>
    <row r="56" spans="2:10">
      <c r="B56" s="403">
        <v>68</v>
      </c>
      <c r="C56" s="404">
        <v>0.87060000000000004</v>
      </c>
      <c r="D56" s="405">
        <v>0.70640000000000003</v>
      </c>
      <c r="E56" s="397"/>
      <c r="F56" s="403">
        <v>2029</v>
      </c>
      <c r="G56" s="406">
        <v>11222</v>
      </c>
      <c r="H56" s="399"/>
      <c r="I56" s="50"/>
      <c r="J56" s="306"/>
    </row>
    <row r="57" spans="2:10">
      <c r="B57" s="403">
        <v>69</v>
      </c>
      <c r="C57" s="404">
        <v>0.85250000000000004</v>
      </c>
      <c r="D57" s="405">
        <v>0.68679999999999997</v>
      </c>
      <c r="E57" s="397"/>
      <c r="F57" s="403">
        <v>2030</v>
      </c>
      <c r="G57" s="406">
        <v>11343</v>
      </c>
      <c r="H57" s="399"/>
      <c r="I57" s="50"/>
      <c r="J57" s="306"/>
    </row>
    <row r="58" spans="2:10">
      <c r="B58" s="403">
        <v>70</v>
      </c>
      <c r="C58" s="404">
        <v>0.83379999999999999</v>
      </c>
      <c r="D58" s="405">
        <v>0.66669999999999996</v>
      </c>
      <c r="E58" s="397"/>
      <c r="F58" s="403">
        <v>2031</v>
      </c>
      <c r="G58" s="406">
        <v>10837</v>
      </c>
      <c r="H58" s="399"/>
      <c r="I58" s="50"/>
      <c r="J58" s="306"/>
    </row>
    <row r="59" spans="2:10">
      <c r="B59" s="403">
        <v>71</v>
      </c>
      <c r="C59" s="404">
        <v>0.81430000000000002</v>
      </c>
      <c r="D59" s="405">
        <v>0.64600000000000002</v>
      </c>
      <c r="E59" s="397"/>
      <c r="F59" s="403">
        <v>2032</v>
      </c>
      <c r="G59" s="406">
        <v>10851</v>
      </c>
      <c r="H59" s="399"/>
      <c r="I59" s="50"/>
      <c r="J59" s="306"/>
    </row>
    <row r="60" spans="2:10">
      <c r="B60" s="403">
        <v>72</v>
      </c>
      <c r="C60" s="404">
        <v>0.79420000000000002</v>
      </c>
      <c r="D60" s="405">
        <v>0.62470000000000003</v>
      </c>
      <c r="E60" s="397"/>
      <c r="F60" s="403">
        <v>2033</v>
      </c>
      <c r="G60" s="406">
        <v>11105</v>
      </c>
      <c r="H60" s="399"/>
      <c r="I60" s="50"/>
      <c r="J60" s="306"/>
    </row>
    <row r="61" spans="2:10">
      <c r="B61" s="403">
        <v>73</v>
      </c>
      <c r="C61" s="404">
        <v>0.77349999999999997</v>
      </c>
      <c r="D61" s="405">
        <v>0.60289999999999999</v>
      </c>
      <c r="E61" s="397"/>
      <c r="F61" s="403">
        <v>2034</v>
      </c>
      <c r="G61" s="406">
        <v>10804</v>
      </c>
      <c r="H61" s="399"/>
      <c r="I61" s="50"/>
      <c r="J61" s="306"/>
    </row>
    <row r="62" spans="2:10">
      <c r="B62" s="403">
        <v>74</v>
      </c>
      <c r="C62" s="404">
        <v>0.752</v>
      </c>
      <c r="D62" s="405">
        <v>0.5806</v>
      </c>
      <c r="E62" s="397"/>
      <c r="F62" s="403">
        <v>2035</v>
      </c>
      <c r="G62" s="406">
        <v>10933</v>
      </c>
      <c r="H62" s="399"/>
      <c r="I62" s="50"/>
      <c r="J62" s="306"/>
    </row>
    <row r="63" spans="2:10">
      <c r="B63" s="403">
        <v>75</v>
      </c>
      <c r="C63" s="404">
        <v>0.72989999999999999</v>
      </c>
      <c r="D63" s="405">
        <v>0.55769999999999997</v>
      </c>
      <c r="E63" s="397"/>
      <c r="F63" s="403">
        <v>2036</v>
      </c>
      <c r="G63" s="406">
        <v>10962</v>
      </c>
      <c r="H63" s="399"/>
      <c r="I63" s="50"/>
      <c r="J63" s="306"/>
    </row>
    <row r="64" spans="2:10">
      <c r="B64" s="403">
        <v>76</v>
      </c>
      <c r="C64" s="404">
        <v>0.70699999999999996</v>
      </c>
      <c r="D64" s="405">
        <v>0.5343</v>
      </c>
      <c r="E64" s="397"/>
      <c r="F64" s="403">
        <v>2037</v>
      </c>
      <c r="G64" s="406">
        <v>11251</v>
      </c>
      <c r="H64" s="399"/>
      <c r="I64" s="50"/>
      <c r="J64" s="306"/>
    </row>
    <row r="65" spans="2:10">
      <c r="B65" s="403">
        <v>77</v>
      </c>
      <c r="C65" s="404">
        <v>0.6835</v>
      </c>
      <c r="D65" s="405">
        <v>0.51029999999999998</v>
      </c>
      <c r="E65" s="397"/>
      <c r="F65" s="403">
        <v>2038</v>
      </c>
      <c r="G65" s="406">
        <v>10728</v>
      </c>
      <c r="H65" s="399"/>
      <c r="I65" s="50"/>
      <c r="J65" s="306"/>
    </row>
    <row r="66" spans="2:10">
      <c r="B66" s="403">
        <v>78</v>
      </c>
      <c r="C66" s="404">
        <v>0.6835</v>
      </c>
      <c r="D66" s="405">
        <v>0.51029999999999998</v>
      </c>
      <c r="E66" s="397"/>
      <c r="F66" s="403">
        <v>2039</v>
      </c>
      <c r="G66" s="406">
        <v>11898</v>
      </c>
      <c r="H66" s="399"/>
      <c r="I66" s="50"/>
      <c r="J66" s="306"/>
    </row>
    <row r="67" spans="2:10">
      <c r="B67" s="403">
        <v>79</v>
      </c>
      <c r="C67" s="404">
        <v>0.6835</v>
      </c>
      <c r="D67" s="405">
        <v>0.51029999999999998</v>
      </c>
      <c r="E67" s="397"/>
      <c r="F67" s="403">
        <v>2040</v>
      </c>
      <c r="G67" s="406">
        <v>11692</v>
      </c>
      <c r="H67" s="399"/>
      <c r="I67" s="50"/>
      <c r="J67" s="306"/>
    </row>
    <row r="68" spans="2:10">
      <c r="B68" s="403">
        <v>80</v>
      </c>
      <c r="C68" s="404">
        <v>0.6835</v>
      </c>
      <c r="D68" s="405">
        <v>0.51029999999999998</v>
      </c>
      <c r="E68" s="397"/>
      <c r="F68" s="403">
        <v>2041</v>
      </c>
      <c r="G68" s="406">
        <v>12252</v>
      </c>
      <c r="H68" s="399"/>
      <c r="I68" s="50"/>
      <c r="J68" s="306"/>
    </row>
    <row r="69" spans="2:10">
      <c r="B69" s="403">
        <v>81</v>
      </c>
      <c r="C69" s="404">
        <v>0.6835</v>
      </c>
      <c r="D69" s="405">
        <v>0.51029999999999998</v>
      </c>
      <c r="E69" s="397"/>
      <c r="F69" s="403">
        <v>2042</v>
      </c>
      <c r="G69" s="406">
        <v>10861</v>
      </c>
      <c r="H69" s="399"/>
      <c r="I69" s="50"/>
      <c r="J69" s="306"/>
    </row>
    <row r="70" spans="2:10">
      <c r="B70" s="403">
        <v>82</v>
      </c>
      <c r="C70" s="404">
        <v>0.6835</v>
      </c>
      <c r="D70" s="405">
        <v>0.51029999999999998</v>
      </c>
      <c r="E70" s="397"/>
      <c r="F70" s="403">
        <v>2043</v>
      </c>
      <c r="G70" s="406">
        <v>11067</v>
      </c>
      <c r="H70" s="399"/>
      <c r="I70" s="50"/>
      <c r="J70" s="306"/>
    </row>
    <row r="71" spans="2:10">
      <c r="B71" s="403">
        <v>83</v>
      </c>
      <c r="C71" s="404">
        <v>0.6835</v>
      </c>
      <c r="D71" s="405">
        <v>0.51029999999999998</v>
      </c>
      <c r="E71" s="397"/>
      <c r="F71" s="403">
        <v>2044</v>
      </c>
      <c r="G71" s="406">
        <v>10946</v>
      </c>
      <c r="H71" s="399"/>
      <c r="I71" s="50"/>
      <c r="J71" s="306"/>
    </row>
    <row r="72" spans="2:10">
      <c r="B72" s="403">
        <v>84</v>
      </c>
      <c r="C72" s="404">
        <v>0.6835</v>
      </c>
      <c r="D72" s="405">
        <v>0.51029999999999998</v>
      </c>
      <c r="E72" s="397"/>
      <c r="F72" s="403">
        <v>2045</v>
      </c>
      <c r="G72" s="406">
        <v>14829</v>
      </c>
      <c r="H72" s="399"/>
      <c r="I72" s="50"/>
      <c r="J72" s="306"/>
    </row>
    <row r="73" spans="2:10">
      <c r="B73" s="403">
        <v>85</v>
      </c>
      <c r="C73" s="404">
        <v>0.6835</v>
      </c>
      <c r="D73" s="405">
        <v>0.51029999999999998</v>
      </c>
      <c r="E73" s="397"/>
      <c r="F73" s="403">
        <v>2046</v>
      </c>
      <c r="G73" s="406">
        <v>13680</v>
      </c>
      <c r="H73" s="399"/>
      <c r="I73" s="50"/>
      <c r="J73" s="306"/>
    </row>
    <row r="74" spans="2:10">
      <c r="B74" s="403">
        <v>86</v>
      </c>
      <c r="C74" s="404">
        <v>0.6835</v>
      </c>
      <c r="D74" s="405">
        <v>0.51029999999999998</v>
      </c>
      <c r="E74" s="397"/>
      <c r="F74" s="403">
        <v>2047</v>
      </c>
      <c r="G74" s="406">
        <v>12829</v>
      </c>
      <c r="H74" s="399"/>
      <c r="I74" s="50"/>
      <c r="J74" s="306"/>
    </row>
    <row r="75" spans="2:10">
      <c r="B75" s="403">
        <v>87</v>
      </c>
      <c r="C75" s="404">
        <v>0.6835</v>
      </c>
      <c r="D75" s="405">
        <v>0.51029999999999998</v>
      </c>
      <c r="E75" s="397"/>
      <c r="F75" s="403">
        <v>2048</v>
      </c>
      <c r="G75" s="406">
        <v>10575</v>
      </c>
      <c r="H75" s="399"/>
      <c r="I75" s="50"/>
      <c r="J75" s="306"/>
    </row>
    <row r="76" spans="2:10">
      <c r="B76" s="403">
        <v>88</v>
      </c>
      <c r="C76" s="404">
        <v>0.6835</v>
      </c>
      <c r="D76" s="405">
        <v>0.51029999999999998</v>
      </c>
      <c r="E76" s="397"/>
      <c r="F76" s="403">
        <v>2049</v>
      </c>
      <c r="G76" s="406">
        <v>12992</v>
      </c>
      <c r="H76" s="399"/>
      <c r="I76" s="50"/>
      <c r="J76" s="306"/>
    </row>
    <row r="77" spans="2:10">
      <c r="B77" s="403">
        <v>89</v>
      </c>
      <c r="C77" s="404">
        <v>0.6835</v>
      </c>
      <c r="D77" s="405">
        <v>0.51029999999999998</v>
      </c>
      <c r="E77" s="397"/>
      <c r="F77" s="403">
        <v>2050</v>
      </c>
      <c r="G77" s="406">
        <v>10629</v>
      </c>
      <c r="H77" s="399"/>
      <c r="I77" s="50"/>
      <c r="J77" s="306"/>
    </row>
    <row r="78" spans="2:10">
      <c r="B78" s="403">
        <v>90</v>
      </c>
      <c r="C78" s="404">
        <v>0.6835</v>
      </c>
      <c r="D78" s="405">
        <v>0.51029999999999998</v>
      </c>
      <c r="E78" s="397"/>
      <c r="F78" s="403">
        <v>2060</v>
      </c>
      <c r="G78" s="406">
        <v>13795</v>
      </c>
      <c r="H78" s="399"/>
      <c r="I78" s="50"/>
      <c r="J78" s="306"/>
    </row>
    <row r="79" spans="2:10">
      <c r="B79" s="403">
        <v>91</v>
      </c>
      <c r="C79" s="404">
        <v>0.6835</v>
      </c>
      <c r="D79" s="405">
        <v>0.51029999999999998</v>
      </c>
      <c r="E79" s="397"/>
      <c r="F79" s="403">
        <v>2061</v>
      </c>
      <c r="G79" s="406">
        <v>13696</v>
      </c>
      <c r="H79" s="399"/>
      <c r="I79" s="50"/>
      <c r="J79" s="306"/>
    </row>
    <row r="80" spans="2:10">
      <c r="B80" s="403">
        <v>92</v>
      </c>
      <c r="C80" s="404">
        <v>0.6835</v>
      </c>
      <c r="D80" s="405">
        <v>0.51029999999999998</v>
      </c>
      <c r="E80" s="397"/>
      <c r="F80" s="403">
        <v>2062</v>
      </c>
      <c r="G80" s="406">
        <v>13794</v>
      </c>
      <c r="H80" s="399"/>
      <c r="I80" s="50"/>
      <c r="J80" s="306"/>
    </row>
    <row r="81" spans="2:10">
      <c r="B81" s="403">
        <v>93</v>
      </c>
      <c r="C81" s="404">
        <v>0.6835</v>
      </c>
      <c r="D81" s="405">
        <v>0.51029999999999998</v>
      </c>
      <c r="E81" s="397"/>
      <c r="F81" s="403">
        <v>2063</v>
      </c>
      <c r="G81" s="406">
        <v>13472</v>
      </c>
      <c r="H81" s="399"/>
      <c r="I81" s="50"/>
      <c r="J81" s="306"/>
    </row>
    <row r="82" spans="2:10">
      <c r="B82" s="403">
        <v>94</v>
      </c>
      <c r="C82" s="404">
        <v>0.6835</v>
      </c>
      <c r="D82" s="405">
        <v>0.51029999999999998</v>
      </c>
      <c r="E82" s="397"/>
      <c r="F82" s="403">
        <v>2064</v>
      </c>
      <c r="G82" s="406">
        <v>13142</v>
      </c>
      <c r="H82" s="399"/>
      <c r="I82" s="50"/>
      <c r="J82" s="306"/>
    </row>
    <row r="83" spans="2:10">
      <c r="B83" s="403">
        <v>95</v>
      </c>
      <c r="C83" s="404">
        <v>0.6835</v>
      </c>
      <c r="D83" s="405">
        <v>0.51029999999999998</v>
      </c>
      <c r="E83" s="397"/>
      <c r="F83" s="403">
        <v>2065</v>
      </c>
      <c r="G83" s="406">
        <v>13605</v>
      </c>
      <c r="H83" s="399"/>
      <c r="I83" s="50"/>
      <c r="J83" s="306"/>
    </row>
    <row r="84" spans="2:10">
      <c r="B84" s="403">
        <v>96</v>
      </c>
      <c r="C84" s="404">
        <v>0.6835</v>
      </c>
      <c r="D84" s="405">
        <v>0.51029999999999998</v>
      </c>
      <c r="E84" s="397"/>
      <c r="F84" s="403">
        <v>2066</v>
      </c>
      <c r="G84" s="406">
        <v>13158</v>
      </c>
      <c r="H84" s="399"/>
      <c r="I84" s="50"/>
      <c r="J84" s="306"/>
    </row>
    <row r="85" spans="2:10">
      <c r="B85" s="403">
        <v>97</v>
      </c>
      <c r="C85" s="404">
        <v>0.6835</v>
      </c>
      <c r="D85" s="405">
        <v>0.51029999999999998</v>
      </c>
      <c r="E85" s="397"/>
      <c r="F85" s="403">
        <v>2067</v>
      </c>
      <c r="G85" s="406">
        <v>12904</v>
      </c>
      <c r="H85" s="399"/>
      <c r="I85" s="50"/>
      <c r="J85" s="306"/>
    </row>
    <row r="86" spans="2:10">
      <c r="B86" s="403">
        <v>98</v>
      </c>
      <c r="C86" s="404">
        <v>0.6835</v>
      </c>
      <c r="D86" s="405">
        <v>0.51029999999999998</v>
      </c>
      <c r="E86" s="397"/>
      <c r="F86" s="403">
        <v>2068</v>
      </c>
      <c r="G86" s="406">
        <v>13007</v>
      </c>
      <c r="H86" s="399"/>
      <c r="I86" s="50"/>
      <c r="J86" s="306"/>
    </row>
    <row r="87" spans="2:10">
      <c r="B87" s="403">
        <v>99</v>
      </c>
      <c r="C87" s="404">
        <v>0.6835</v>
      </c>
      <c r="D87" s="405">
        <v>0.51029999999999998</v>
      </c>
      <c r="E87" s="397"/>
      <c r="F87" s="403">
        <v>2069</v>
      </c>
      <c r="G87" s="406">
        <v>12838</v>
      </c>
      <c r="H87" s="399"/>
      <c r="I87" s="50"/>
      <c r="J87" s="306"/>
    </row>
    <row r="88" spans="2:10" ht="15.75" thickBot="1">
      <c r="B88" s="410">
        <v>100</v>
      </c>
      <c r="C88" s="411">
        <v>0.6835</v>
      </c>
      <c r="D88" s="412">
        <v>0.51029999999999998</v>
      </c>
      <c r="E88" s="397"/>
      <c r="F88" s="403">
        <v>2070</v>
      </c>
      <c r="G88" s="406">
        <v>12842</v>
      </c>
      <c r="H88" s="399"/>
      <c r="I88" s="50"/>
      <c r="J88" s="306"/>
    </row>
    <row r="89" spans="2:10">
      <c r="B89" s="413"/>
      <c r="C89" s="414"/>
      <c r="D89" s="414"/>
      <c r="E89" s="50"/>
      <c r="F89" s="403">
        <v>2071</v>
      </c>
      <c r="G89" s="406">
        <v>12824</v>
      </c>
      <c r="H89" s="399"/>
      <c r="I89" s="50"/>
      <c r="J89" s="306"/>
    </row>
    <row r="90" spans="2:10">
      <c r="B90" s="413"/>
      <c r="C90" s="414"/>
      <c r="D90" s="414"/>
      <c r="E90" s="50"/>
      <c r="F90" s="403">
        <v>2072</v>
      </c>
      <c r="G90" s="406">
        <v>13335</v>
      </c>
      <c r="H90" s="50"/>
      <c r="I90" s="50"/>
      <c r="J90" s="306"/>
    </row>
    <row r="91" spans="2:10">
      <c r="B91" s="413"/>
      <c r="C91" s="414"/>
      <c r="D91" s="414"/>
      <c r="E91" s="50"/>
      <c r="F91" s="403">
        <v>2073</v>
      </c>
      <c r="G91" s="406">
        <v>13915</v>
      </c>
      <c r="H91" s="50"/>
      <c r="I91" s="50"/>
      <c r="J91" s="306"/>
    </row>
    <row r="92" spans="2:10">
      <c r="B92" s="413"/>
      <c r="C92" s="414"/>
      <c r="D92" s="414"/>
      <c r="E92" s="50"/>
      <c r="F92" s="403">
        <v>2074</v>
      </c>
      <c r="G92" s="406">
        <v>14367</v>
      </c>
      <c r="H92" s="50"/>
      <c r="I92" s="50"/>
      <c r="J92" s="306"/>
    </row>
    <row r="93" spans="2:10">
      <c r="B93" s="413"/>
      <c r="C93" s="414"/>
      <c r="D93" s="414"/>
      <c r="E93" s="50"/>
      <c r="F93" s="403">
        <v>2075</v>
      </c>
      <c r="G93" s="406">
        <v>13567</v>
      </c>
      <c r="H93" s="50"/>
      <c r="I93" s="50"/>
      <c r="J93" s="306"/>
    </row>
    <row r="94" spans="2:10">
      <c r="B94" s="413"/>
      <c r="C94" s="414"/>
      <c r="D94" s="414"/>
      <c r="E94" s="50"/>
      <c r="F94" s="403">
        <v>2076</v>
      </c>
      <c r="G94" s="406">
        <v>14040</v>
      </c>
      <c r="H94" s="50"/>
      <c r="I94" s="50"/>
      <c r="J94" s="306"/>
    </row>
    <row r="95" spans="2:10">
      <c r="B95" s="413"/>
      <c r="C95" s="414"/>
      <c r="D95" s="414"/>
      <c r="E95" s="50"/>
      <c r="F95" s="403">
        <v>2077</v>
      </c>
      <c r="G95" s="406">
        <v>14622</v>
      </c>
      <c r="H95" s="50"/>
      <c r="I95" s="50"/>
      <c r="J95" s="306"/>
    </row>
    <row r="96" spans="2:10">
      <c r="B96" s="413"/>
      <c r="C96" s="414"/>
      <c r="D96" s="414"/>
      <c r="E96" s="50"/>
      <c r="F96" s="403">
        <v>2079</v>
      </c>
      <c r="G96" s="406">
        <v>14632</v>
      </c>
      <c r="H96" s="50"/>
      <c r="I96" s="50"/>
      <c r="J96" s="306"/>
    </row>
    <row r="97" spans="2:10">
      <c r="B97" s="413"/>
      <c r="C97" s="414"/>
      <c r="D97" s="414"/>
      <c r="E97" s="50"/>
      <c r="F97" s="403">
        <v>2080</v>
      </c>
      <c r="G97" s="406">
        <v>14608</v>
      </c>
      <c r="H97" s="50"/>
      <c r="I97" s="50"/>
      <c r="J97" s="306"/>
    </row>
    <row r="98" spans="2:10">
      <c r="B98" s="413"/>
      <c r="C98" s="414"/>
      <c r="D98" s="414"/>
      <c r="E98" s="50"/>
      <c r="F98" s="403">
        <v>2081</v>
      </c>
      <c r="G98" s="406">
        <v>14819</v>
      </c>
      <c r="H98" s="50"/>
      <c r="I98" s="50"/>
      <c r="J98" s="306"/>
    </row>
    <row r="99" spans="2:10">
      <c r="B99" s="413"/>
      <c r="C99" s="414"/>
      <c r="D99" s="414"/>
      <c r="E99" s="50"/>
      <c r="F99" s="403">
        <v>2082</v>
      </c>
      <c r="G99" s="406">
        <v>14819</v>
      </c>
      <c r="H99" s="50"/>
      <c r="I99" s="50"/>
      <c r="J99" s="306"/>
    </row>
    <row r="100" spans="2:10">
      <c r="B100" s="413"/>
      <c r="C100" s="414"/>
      <c r="D100" s="414"/>
      <c r="E100" s="50"/>
      <c r="F100" s="403">
        <v>2083</v>
      </c>
      <c r="G100" s="406">
        <v>15580</v>
      </c>
      <c r="H100" s="50"/>
      <c r="I100" s="50"/>
      <c r="J100" s="306"/>
    </row>
    <row r="101" spans="2:10">
      <c r="B101" s="413"/>
      <c r="C101" s="414"/>
      <c r="D101" s="414"/>
      <c r="E101" s="50"/>
      <c r="F101" s="403">
        <v>2084</v>
      </c>
      <c r="G101" s="406">
        <v>14563</v>
      </c>
      <c r="H101" s="50"/>
      <c r="I101" s="50"/>
      <c r="J101" s="306"/>
    </row>
    <row r="102" spans="2:10">
      <c r="B102" s="413"/>
      <c r="C102" s="414"/>
      <c r="D102" s="414"/>
      <c r="E102" s="50"/>
      <c r="F102" s="403">
        <v>2085</v>
      </c>
      <c r="G102" s="406">
        <v>13137</v>
      </c>
      <c r="H102" s="50"/>
      <c r="I102" s="50"/>
      <c r="J102" s="306"/>
    </row>
    <row r="103" spans="2:10">
      <c r="B103" s="413"/>
      <c r="C103" s="414"/>
      <c r="D103" s="414"/>
      <c r="E103" s="50"/>
      <c r="F103" s="403">
        <v>2086</v>
      </c>
      <c r="G103" s="406">
        <v>13238</v>
      </c>
      <c r="H103" s="50"/>
      <c r="I103" s="50"/>
      <c r="J103" s="306"/>
    </row>
    <row r="104" spans="2:10">
      <c r="B104" s="413"/>
      <c r="C104" s="414"/>
      <c r="D104" s="414"/>
      <c r="E104" s="50"/>
      <c r="F104" s="403">
        <v>2087</v>
      </c>
      <c r="G104" s="406">
        <v>12949</v>
      </c>
      <c r="H104" s="50"/>
      <c r="I104" s="50"/>
      <c r="J104" s="306"/>
    </row>
    <row r="105" spans="2:10">
      <c r="B105" s="413"/>
      <c r="C105" s="414"/>
      <c r="D105" s="414"/>
      <c r="E105" s="50"/>
      <c r="F105" s="403">
        <v>2088</v>
      </c>
      <c r="G105" s="406">
        <v>14169</v>
      </c>
      <c r="H105" s="50"/>
      <c r="I105" s="50"/>
      <c r="J105" s="306"/>
    </row>
    <row r="106" spans="2:10">
      <c r="B106" s="413"/>
      <c r="C106" s="414"/>
      <c r="D106" s="414"/>
      <c r="E106" s="50"/>
      <c r="F106" s="403">
        <v>2089</v>
      </c>
      <c r="G106" s="406">
        <v>13795</v>
      </c>
      <c r="H106" s="50"/>
      <c r="I106" s="50"/>
      <c r="J106" s="306"/>
    </row>
    <row r="107" spans="2:10">
      <c r="B107" s="413"/>
      <c r="C107" s="414"/>
      <c r="D107" s="414"/>
      <c r="E107" s="50"/>
      <c r="F107" s="403">
        <v>2090</v>
      </c>
      <c r="G107" s="406">
        <v>14016</v>
      </c>
      <c r="H107" s="50"/>
      <c r="I107" s="50"/>
      <c r="J107" s="306"/>
    </row>
    <row r="108" spans="2:10">
      <c r="B108" s="413"/>
      <c r="C108" s="414"/>
      <c r="D108" s="414"/>
      <c r="E108" s="50"/>
      <c r="F108" s="403">
        <v>2092</v>
      </c>
      <c r="G108" s="406">
        <v>13251</v>
      </c>
      <c r="H108" s="50"/>
      <c r="I108" s="50"/>
      <c r="J108" s="306"/>
    </row>
    <row r="109" spans="2:10">
      <c r="B109" s="413"/>
      <c r="C109" s="414"/>
      <c r="D109" s="414"/>
      <c r="E109" s="50"/>
      <c r="F109" s="403">
        <v>2093</v>
      </c>
      <c r="G109" s="406">
        <v>14380</v>
      </c>
      <c r="H109" s="50"/>
      <c r="I109" s="50"/>
      <c r="J109" s="306"/>
    </row>
    <row r="110" spans="2:10">
      <c r="B110" s="413"/>
      <c r="C110" s="414"/>
      <c r="D110" s="414"/>
      <c r="E110" s="50"/>
      <c r="F110" s="403">
        <v>2094</v>
      </c>
      <c r="G110" s="406">
        <v>14380</v>
      </c>
      <c r="H110" s="50"/>
      <c r="I110" s="50"/>
      <c r="J110" s="306"/>
    </row>
    <row r="111" spans="2:10">
      <c r="B111" s="413"/>
      <c r="C111" s="414"/>
      <c r="D111" s="414"/>
      <c r="E111" s="50"/>
      <c r="F111" s="403">
        <v>2095</v>
      </c>
      <c r="G111" s="406">
        <v>14380</v>
      </c>
      <c r="H111" s="50"/>
      <c r="I111" s="50"/>
      <c r="J111" s="306"/>
    </row>
    <row r="112" spans="2:10">
      <c r="B112" s="413"/>
      <c r="C112" s="414"/>
      <c r="D112" s="414"/>
      <c r="E112" s="50"/>
      <c r="F112" s="403">
        <v>2096</v>
      </c>
      <c r="G112" s="406">
        <v>13647</v>
      </c>
      <c r="H112" s="50"/>
      <c r="I112" s="50"/>
      <c r="J112" s="306"/>
    </row>
    <row r="113" spans="2:10">
      <c r="B113" s="413"/>
      <c r="C113" s="414"/>
      <c r="D113" s="414"/>
      <c r="E113" s="50"/>
      <c r="F113" s="403">
        <v>2097</v>
      </c>
      <c r="G113" s="406">
        <v>13846</v>
      </c>
      <c r="H113" s="50"/>
      <c r="I113" s="50"/>
      <c r="J113" s="306"/>
    </row>
    <row r="114" spans="2:10">
      <c r="B114" s="413"/>
      <c r="C114" s="414"/>
      <c r="D114" s="414"/>
      <c r="E114" s="50"/>
      <c r="F114" s="403">
        <v>2099</v>
      </c>
      <c r="G114" s="406">
        <v>13548</v>
      </c>
      <c r="H114" s="50"/>
      <c r="I114" s="50"/>
      <c r="J114" s="306"/>
    </row>
    <row r="115" spans="2:10">
      <c r="B115" s="413"/>
      <c r="C115" s="414"/>
      <c r="D115" s="414"/>
      <c r="E115" s="50"/>
      <c r="F115" s="403">
        <v>2100</v>
      </c>
      <c r="G115" s="406">
        <v>13437</v>
      </c>
      <c r="H115" s="50"/>
      <c r="I115" s="50"/>
      <c r="J115" s="306"/>
    </row>
    <row r="116" spans="2:10">
      <c r="B116" s="413"/>
      <c r="C116" s="414"/>
      <c r="D116" s="414"/>
      <c r="E116" s="50"/>
      <c r="F116" s="403">
        <v>2101</v>
      </c>
      <c r="G116" s="406">
        <v>14358</v>
      </c>
      <c r="H116" s="50"/>
      <c r="I116" s="50"/>
      <c r="J116" s="306"/>
    </row>
    <row r="117" spans="2:10">
      <c r="B117" s="413"/>
      <c r="C117" s="414"/>
      <c r="D117" s="414"/>
      <c r="E117" s="50"/>
      <c r="F117" s="403">
        <v>2102</v>
      </c>
      <c r="G117" s="406">
        <v>14577</v>
      </c>
      <c r="H117" s="50"/>
      <c r="I117" s="50"/>
      <c r="J117" s="306"/>
    </row>
    <row r="118" spans="2:10">
      <c r="B118" s="413"/>
      <c r="C118" s="414"/>
      <c r="D118" s="414"/>
      <c r="E118" s="50"/>
      <c r="F118" s="403">
        <v>2103</v>
      </c>
      <c r="G118" s="406">
        <v>14577</v>
      </c>
      <c r="H118" s="50"/>
      <c r="I118" s="50"/>
      <c r="J118" s="306"/>
    </row>
    <row r="119" spans="2:10">
      <c r="B119" s="413"/>
      <c r="C119" s="414"/>
      <c r="D119" s="414"/>
      <c r="E119" s="50"/>
      <c r="F119" s="403">
        <v>2104</v>
      </c>
      <c r="G119" s="406">
        <v>14577</v>
      </c>
      <c r="H119" s="50"/>
      <c r="I119" s="50"/>
      <c r="J119" s="306"/>
    </row>
    <row r="120" spans="2:10">
      <c r="B120" s="413"/>
      <c r="C120" s="414"/>
      <c r="D120" s="414"/>
      <c r="E120" s="50"/>
      <c r="F120" s="403">
        <v>2105</v>
      </c>
      <c r="G120" s="406">
        <v>14535</v>
      </c>
      <c r="H120" s="50"/>
      <c r="I120" s="50"/>
      <c r="J120" s="306"/>
    </row>
    <row r="121" spans="2:10">
      <c r="B121" s="413"/>
      <c r="C121" s="414"/>
      <c r="D121" s="414"/>
      <c r="E121" s="50"/>
      <c r="F121" s="403">
        <v>2106</v>
      </c>
      <c r="G121" s="406">
        <v>14573</v>
      </c>
      <c r="H121" s="50"/>
      <c r="I121" s="50"/>
      <c r="J121" s="306"/>
    </row>
    <row r="122" spans="2:10">
      <c r="B122" s="413"/>
      <c r="C122" s="414"/>
      <c r="D122" s="414"/>
      <c r="E122" s="50"/>
      <c r="F122" s="403">
        <v>2107</v>
      </c>
      <c r="G122" s="406">
        <v>14484</v>
      </c>
      <c r="H122" s="50"/>
      <c r="I122" s="50"/>
      <c r="J122" s="306"/>
    </row>
    <row r="123" spans="2:10">
      <c r="B123" s="413"/>
      <c r="C123" s="414"/>
      <c r="D123" s="414"/>
      <c r="E123" s="50"/>
      <c r="F123" s="403">
        <v>2108</v>
      </c>
      <c r="G123" s="406">
        <v>14484</v>
      </c>
      <c r="H123" s="50"/>
      <c r="I123" s="50"/>
      <c r="J123" s="306"/>
    </row>
    <row r="124" spans="2:10">
      <c r="B124" s="413"/>
      <c r="C124" s="414"/>
      <c r="D124" s="414"/>
      <c r="E124" s="50"/>
      <c r="F124" s="403">
        <v>2109</v>
      </c>
      <c r="G124" s="406">
        <v>13621</v>
      </c>
      <c r="H124" s="50"/>
      <c r="I124" s="50"/>
      <c r="J124" s="306"/>
    </row>
    <row r="125" spans="2:10">
      <c r="B125" s="413"/>
      <c r="C125" s="414"/>
      <c r="D125" s="414"/>
      <c r="E125" s="50"/>
      <c r="F125" s="403">
        <v>2110</v>
      </c>
      <c r="G125" s="406">
        <v>13144</v>
      </c>
      <c r="H125" s="50"/>
      <c r="I125" s="50"/>
      <c r="J125" s="306"/>
    </row>
    <row r="126" spans="2:10">
      <c r="B126" s="413"/>
      <c r="C126" s="414"/>
      <c r="D126" s="414"/>
      <c r="E126" s="50"/>
      <c r="F126" s="403">
        <v>2111</v>
      </c>
      <c r="G126" s="406">
        <v>13144</v>
      </c>
      <c r="H126" s="50"/>
      <c r="I126" s="50"/>
      <c r="J126" s="306"/>
    </row>
    <row r="127" spans="2:10">
      <c r="B127" s="413"/>
      <c r="C127" s="414"/>
      <c r="D127" s="414"/>
      <c r="E127" s="50"/>
      <c r="F127" s="403">
        <v>2112</v>
      </c>
      <c r="G127" s="406">
        <v>13585</v>
      </c>
      <c r="H127" s="50"/>
      <c r="I127" s="50"/>
      <c r="J127" s="306"/>
    </row>
    <row r="128" spans="2:10">
      <c r="B128" s="413"/>
      <c r="C128" s="414"/>
      <c r="D128" s="414"/>
      <c r="E128" s="50"/>
      <c r="F128" s="403">
        <v>2113</v>
      </c>
      <c r="G128" s="406">
        <v>13397</v>
      </c>
      <c r="H128" s="50"/>
      <c r="I128" s="50"/>
      <c r="J128" s="306"/>
    </row>
    <row r="129" spans="2:10">
      <c r="B129" s="413"/>
      <c r="C129" s="414"/>
      <c r="D129" s="414"/>
      <c r="E129" s="50"/>
      <c r="F129" s="403">
        <v>2114</v>
      </c>
      <c r="G129" s="406">
        <v>14131</v>
      </c>
      <c r="H129" s="50"/>
      <c r="I129" s="50"/>
      <c r="J129" s="306"/>
    </row>
    <row r="130" spans="2:10">
      <c r="B130" s="413"/>
      <c r="C130" s="414"/>
      <c r="D130" s="414"/>
      <c r="E130" s="50"/>
      <c r="F130" s="403">
        <v>2115</v>
      </c>
      <c r="G130" s="406">
        <v>16872</v>
      </c>
      <c r="H130" s="50"/>
      <c r="I130" s="50"/>
      <c r="J130" s="306"/>
    </row>
    <row r="131" spans="2:10">
      <c r="B131" s="413"/>
      <c r="C131" s="414"/>
      <c r="D131" s="414"/>
      <c r="E131" s="50"/>
      <c r="F131" s="403">
        <v>2116</v>
      </c>
      <c r="G131" s="406">
        <v>19870</v>
      </c>
      <c r="H131" s="50"/>
      <c r="I131" s="50"/>
      <c r="J131" s="306"/>
    </row>
    <row r="132" spans="2:10">
      <c r="B132" s="413"/>
      <c r="C132" s="414"/>
      <c r="D132" s="414"/>
      <c r="E132" s="50"/>
      <c r="F132" s="403">
        <v>2117</v>
      </c>
      <c r="G132" s="406">
        <v>20326</v>
      </c>
      <c r="H132" s="50"/>
      <c r="I132" s="50"/>
      <c r="J132" s="306"/>
    </row>
    <row r="133" spans="2:10">
      <c r="B133" s="413"/>
      <c r="C133" s="414"/>
      <c r="D133" s="414"/>
      <c r="E133" s="50"/>
      <c r="F133" s="403">
        <v>2118</v>
      </c>
      <c r="G133" s="406">
        <v>16735</v>
      </c>
      <c r="H133" s="50"/>
      <c r="I133" s="50"/>
      <c r="J133" s="306"/>
    </row>
    <row r="134" spans="2:10">
      <c r="B134" s="413"/>
      <c r="C134" s="414"/>
      <c r="D134" s="414"/>
      <c r="E134" s="50"/>
      <c r="F134" s="403">
        <v>2119</v>
      </c>
      <c r="G134" s="406">
        <v>14684</v>
      </c>
      <c r="H134" s="50"/>
      <c r="I134" s="50"/>
      <c r="J134" s="306"/>
    </row>
    <row r="135" spans="2:10">
      <c r="B135" s="413"/>
      <c r="C135" s="414"/>
      <c r="D135" s="414"/>
      <c r="E135" s="50"/>
      <c r="F135" s="403">
        <v>2120</v>
      </c>
      <c r="G135" s="406">
        <v>14564</v>
      </c>
      <c r="H135" s="50"/>
      <c r="I135" s="50"/>
      <c r="J135" s="306"/>
    </row>
    <row r="136" spans="2:10">
      <c r="B136" s="413"/>
      <c r="C136" s="414"/>
      <c r="D136" s="414"/>
      <c r="E136" s="50"/>
      <c r="F136" s="403">
        <v>2121</v>
      </c>
      <c r="G136" s="406">
        <v>14102</v>
      </c>
      <c r="H136" s="50"/>
      <c r="I136" s="50"/>
      <c r="J136" s="306"/>
    </row>
    <row r="137" spans="2:10">
      <c r="B137" s="413"/>
      <c r="C137" s="414"/>
      <c r="D137" s="414"/>
      <c r="E137" s="50"/>
      <c r="F137" s="403">
        <v>2122</v>
      </c>
      <c r="G137" s="406">
        <v>13720</v>
      </c>
      <c r="H137" s="50"/>
      <c r="I137" s="50"/>
      <c r="J137" s="306"/>
    </row>
    <row r="138" spans="2:10">
      <c r="B138" s="413"/>
      <c r="C138" s="414"/>
      <c r="D138" s="414"/>
      <c r="E138" s="50"/>
      <c r="F138" s="403">
        <v>2123</v>
      </c>
      <c r="G138" s="406">
        <v>20347</v>
      </c>
      <c r="H138" s="50"/>
      <c r="I138" s="50"/>
      <c r="J138" s="306"/>
    </row>
    <row r="139" spans="2:10">
      <c r="B139" s="413"/>
      <c r="C139" s="414"/>
      <c r="D139" s="414"/>
      <c r="E139" s="50"/>
      <c r="F139" s="403">
        <v>2125</v>
      </c>
      <c r="G139" s="406">
        <v>16644</v>
      </c>
      <c r="H139" s="50"/>
      <c r="I139" s="50"/>
      <c r="J139" s="306"/>
    </row>
    <row r="140" spans="2:10">
      <c r="B140" s="413"/>
      <c r="C140" s="414"/>
      <c r="D140" s="414"/>
      <c r="E140" s="50"/>
      <c r="F140" s="403">
        <v>2126</v>
      </c>
      <c r="G140" s="406">
        <v>15749</v>
      </c>
      <c r="H140" s="50"/>
      <c r="I140" s="50"/>
      <c r="J140" s="306"/>
    </row>
    <row r="141" spans="2:10">
      <c r="B141" s="413"/>
      <c r="C141" s="414"/>
      <c r="D141" s="414"/>
      <c r="E141" s="50"/>
      <c r="F141" s="403">
        <v>2127</v>
      </c>
      <c r="G141" s="406">
        <v>15826</v>
      </c>
      <c r="H141" s="50"/>
      <c r="I141" s="50"/>
      <c r="J141" s="306"/>
    </row>
    <row r="142" spans="2:10">
      <c r="B142" s="413"/>
      <c r="C142" s="414"/>
      <c r="D142" s="414"/>
      <c r="E142" s="50"/>
      <c r="F142" s="403">
        <v>2128</v>
      </c>
      <c r="G142" s="406">
        <v>16421</v>
      </c>
      <c r="H142" s="50"/>
      <c r="I142" s="50"/>
      <c r="J142" s="306"/>
    </row>
    <row r="143" spans="2:10">
      <c r="B143" s="413"/>
      <c r="C143" s="414"/>
      <c r="D143" s="414"/>
      <c r="E143" s="50"/>
      <c r="F143" s="403">
        <v>2129</v>
      </c>
      <c r="G143" s="406">
        <v>16236</v>
      </c>
      <c r="H143" s="50"/>
      <c r="I143" s="50"/>
      <c r="J143" s="306"/>
    </row>
    <row r="144" spans="2:10">
      <c r="B144" s="413"/>
      <c r="C144" s="414"/>
      <c r="D144" s="414"/>
      <c r="E144" s="50"/>
      <c r="F144" s="403">
        <v>2130</v>
      </c>
      <c r="G144" s="406">
        <v>15109</v>
      </c>
      <c r="H144" s="50"/>
      <c r="I144" s="50"/>
      <c r="J144" s="306"/>
    </row>
    <row r="145" spans="2:10">
      <c r="B145" s="413"/>
      <c r="C145" s="414"/>
      <c r="D145" s="414"/>
      <c r="E145" s="50"/>
      <c r="F145" s="403">
        <v>2131</v>
      </c>
      <c r="G145" s="406">
        <v>15100</v>
      </c>
      <c r="H145" s="50"/>
      <c r="I145" s="50"/>
      <c r="J145" s="306"/>
    </row>
    <row r="146" spans="2:10">
      <c r="B146" s="413"/>
      <c r="C146" s="414"/>
      <c r="D146" s="414"/>
      <c r="E146" s="50"/>
      <c r="F146" s="403">
        <v>2132</v>
      </c>
      <c r="G146" s="406">
        <v>15449</v>
      </c>
      <c r="H146" s="50"/>
      <c r="I146" s="50"/>
      <c r="J146" s="306"/>
    </row>
    <row r="147" spans="2:10">
      <c r="B147" s="413"/>
      <c r="C147" s="414"/>
      <c r="D147" s="414"/>
      <c r="E147" s="50"/>
      <c r="F147" s="403">
        <v>2133</v>
      </c>
      <c r="G147" s="406">
        <v>15916</v>
      </c>
      <c r="H147" s="50"/>
      <c r="I147" s="50"/>
      <c r="J147" s="306"/>
    </row>
    <row r="148" spans="2:10">
      <c r="B148" s="413"/>
      <c r="C148" s="414"/>
      <c r="D148" s="414"/>
      <c r="E148" s="50"/>
      <c r="F148" s="403">
        <v>2134</v>
      </c>
      <c r="G148" s="406">
        <v>16053</v>
      </c>
      <c r="H148" s="50"/>
      <c r="I148" s="50"/>
      <c r="J148" s="306"/>
    </row>
    <row r="149" spans="2:10">
      <c r="B149" s="413"/>
      <c r="C149" s="414"/>
      <c r="D149" s="414"/>
      <c r="E149" s="50"/>
      <c r="F149" s="403">
        <v>2135</v>
      </c>
      <c r="G149" s="406">
        <v>16890</v>
      </c>
      <c r="H149" s="50"/>
      <c r="I149" s="50"/>
      <c r="J149" s="306"/>
    </row>
    <row r="150" spans="2:10">
      <c r="B150" s="413"/>
      <c r="C150" s="414"/>
      <c r="D150" s="414"/>
      <c r="E150" s="50"/>
      <c r="F150" s="403">
        <v>2136</v>
      </c>
      <c r="G150" s="406">
        <v>16801</v>
      </c>
      <c r="H150" s="50"/>
      <c r="I150" s="50"/>
      <c r="J150" s="306"/>
    </row>
    <row r="151" spans="2:10">
      <c r="B151" s="413"/>
      <c r="C151" s="414"/>
      <c r="D151" s="414"/>
      <c r="E151" s="50"/>
      <c r="F151" s="403">
        <v>2137</v>
      </c>
      <c r="G151" s="406">
        <v>14617</v>
      </c>
      <c r="H151" s="50"/>
      <c r="I151" s="50"/>
      <c r="J151" s="306"/>
    </row>
    <row r="152" spans="2:10">
      <c r="B152" s="413"/>
      <c r="C152" s="414"/>
      <c r="D152" s="414"/>
      <c r="E152" s="50"/>
      <c r="F152" s="403">
        <v>2138</v>
      </c>
      <c r="G152" s="406">
        <v>15197</v>
      </c>
      <c r="H152" s="50"/>
      <c r="I152" s="50"/>
      <c r="J152" s="306"/>
    </row>
    <row r="153" spans="2:10">
      <c r="B153" s="413"/>
      <c r="C153" s="414"/>
      <c r="D153" s="414"/>
      <c r="E153" s="50"/>
      <c r="F153" s="403">
        <v>2139</v>
      </c>
      <c r="G153" s="406">
        <v>14530</v>
      </c>
      <c r="H153" s="50"/>
      <c r="I153" s="50"/>
      <c r="J153" s="306"/>
    </row>
    <row r="154" spans="2:10">
      <c r="B154" s="413"/>
      <c r="C154" s="414"/>
      <c r="D154" s="414"/>
      <c r="E154" s="50"/>
      <c r="F154" s="403">
        <v>2140</v>
      </c>
      <c r="G154" s="406">
        <v>15483</v>
      </c>
      <c r="H154" s="50"/>
      <c r="I154" s="50"/>
      <c r="J154" s="306"/>
    </row>
    <row r="155" spans="2:10">
      <c r="B155" s="413"/>
      <c r="C155" s="414"/>
      <c r="D155" s="414"/>
      <c r="E155" s="50"/>
      <c r="F155" s="403">
        <v>2141</v>
      </c>
      <c r="G155" s="406">
        <v>15624</v>
      </c>
      <c r="H155" s="50"/>
      <c r="I155" s="50"/>
      <c r="J155" s="306"/>
    </row>
    <row r="156" spans="2:10">
      <c r="B156" s="413"/>
      <c r="C156" s="414"/>
      <c r="D156" s="414"/>
      <c r="E156" s="50"/>
      <c r="F156" s="403">
        <v>2142</v>
      </c>
      <c r="G156" s="406">
        <v>18849</v>
      </c>
      <c r="H156" s="50"/>
      <c r="I156" s="50"/>
      <c r="J156" s="306"/>
    </row>
    <row r="157" spans="2:10">
      <c r="B157" s="413"/>
      <c r="C157" s="414"/>
      <c r="D157" s="414"/>
      <c r="E157" s="50"/>
      <c r="F157" s="403">
        <v>2143</v>
      </c>
      <c r="G157" s="406">
        <v>16556</v>
      </c>
      <c r="H157" s="50"/>
      <c r="I157" s="50"/>
      <c r="J157" s="306"/>
    </row>
    <row r="158" spans="2:10">
      <c r="B158" s="413"/>
      <c r="C158" s="414"/>
      <c r="D158" s="414"/>
      <c r="E158" s="50"/>
      <c r="F158" s="403">
        <v>2144</v>
      </c>
      <c r="G158" s="406">
        <v>16073</v>
      </c>
      <c r="H158" s="50"/>
      <c r="I158" s="50"/>
      <c r="J158" s="306"/>
    </row>
    <row r="159" spans="2:10">
      <c r="B159" s="413"/>
      <c r="C159" s="414"/>
      <c r="D159" s="414"/>
      <c r="E159" s="50"/>
      <c r="F159" s="403">
        <v>2145</v>
      </c>
      <c r="G159" s="406">
        <v>20146</v>
      </c>
      <c r="H159" s="50"/>
      <c r="I159" s="50"/>
      <c r="J159" s="306"/>
    </row>
    <row r="160" spans="2:10">
      <c r="B160" s="413"/>
      <c r="C160" s="414"/>
      <c r="D160" s="414"/>
      <c r="E160" s="50"/>
      <c r="F160" s="403">
        <v>2146</v>
      </c>
      <c r="G160" s="406">
        <v>19144</v>
      </c>
      <c r="H160" s="50"/>
      <c r="I160" s="50"/>
      <c r="J160" s="306"/>
    </row>
    <row r="161" spans="2:10">
      <c r="B161" s="413"/>
      <c r="C161" s="414"/>
      <c r="D161" s="414"/>
      <c r="E161" s="50"/>
      <c r="F161" s="403">
        <v>2147</v>
      </c>
      <c r="G161" s="406">
        <v>18980</v>
      </c>
      <c r="H161" s="50"/>
      <c r="I161" s="50"/>
      <c r="J161" s="306"/>
    </row>
    <row r="162" spans="2:10">
      <c r="B162" s="413"/>
      <c r="C162" s="414"/>
      <c r="D162" s="414"/>
      <c r="E162" s="50"/>
      <c r="F162" s="403">
        <v>2148</v>
      </c>
      <c r="G162" s="406">
        <v>19275</v>
      </c>
      <c r="H162" s="50"/>
      <c r="I162" s="50"/>
      <c r="J162" s="306"/>
    </row>
    <row r="163" spans="2:10">
      <c r="B163" s="413"/>
      <c r="C163" s="414"/>
      <c r="D163" s="414"/>
      <c r="E163" s="50"/>
      <c r="F163" s="403">
        <v>2150</v>
      </c>
      <c r="G163" s="406">
        <v>20347</v>
      </c>
      <c r="H163" s="50"/>
      <c r="I163" s="50"/>
      <c r="J163" s="306"/>
    </row>
    <row r="164" spans="2:10">
      <c r="B164" s="413"/>
      <c r="C164" s="414"/>
      <c r="D164" s="414"/>
      <c r="E164" s="50"/>
      <c r="F164" s="403">
        <v>2151</v>
      </c>
      <c r="G164" s="406">
        <v>20835</v>
      </c>
      <c r="H164" s="50"/>
      <c r="I164" s="50"/>
      <c r="J164" s="306"/>
    </row>
    <row r="165" spans="2:10">
      <c r="B165" s="413"/>
      <c r="C165" s="414"/>
      <c r="D165" s="414"/>
      <c r="E165" s="50"/>
      <c r="F165" s="403">
        <v>2152</v>
      </c>
      <c r="G165" s="406">
        <v>19349</v>
      </c>
      <c r="H165" s="50"/>
      <c r="I165" s="50"/>
      <c r="J165" s="306"/>
    </row>
    <row r="166" spans="2:10">
      <c r="B166" s="413"/>
      <c r="C166" s="414"/>
      <c r="D166" s="414"/>
      <c r="E166" s="50"/>
      <c r="F166" s="403">
        <v>2153</v>
      </c>
      <c r="G166" s="406">
        <v>18179</v>
      </c>
      <c r="H166" s="50"/>
      <c r="I166" s="50"/>
      <c r="J166" s="306"/>
    </row>
    <row r="167" spans="2:10">
      <c r="B167" s="413"/>
      <c r="C167" s="414"/>
      <c r="D167" s="414"/>
      <c r="E167" s="50"/>
      <c r="F167" s="403">
        <v>2154</v>
      </c>
      <c r="G167" s="406">
        <v>17393</v>
      </c>
      <c r="H167" s="50"/>
      <c r="I167" s="50"/>
      <c r="J167" s="306"/>
    </row>
    <row r="168" spans="2:10">
      <c r="B168" s="413"/>
      <c r="C168" s="414"/>
      <c r="D168" s="414"/>
      <c r="E168" s="50"/>
      <c r="F168" s="403">
        <v>2155</v>
      </c>
      <c r="G168" s="406">
        <v>16401</v>
      </c>
      <c r="H168" s="50"/>
      <c r="I168" s="50"/>
      <c r="J168" s="306"/>
    </row>
    <row r="169" spans="2:10">
      <c r="B169" s="413"/>
      <c r="C169" s="414"/>
      <c r="D169" s="414"/>
      <c r="E169" s="50"/>
      <c r="F169" s="403">
        <v>2156</v>
      </c>
      <c r="G169" s="406">
        <v>16323</v>
      </c>
      <c r="H169" s="50"/>
      <c r="I169" s="50"/>
      <c r="J169" s="306"/>
    </row>
    <row r="170" spans="2:10">
      <c r="B170" s="413"/>
      <c r="C170" s="414"/>
      <c r="D170" s="414"/>
      <c r="E170" s="50"/>
      <c r="F170" s="403">
        <v>2157</v>
      </c>
      <c r="G170" s="406">
        <v>17451</v>
      </c>
      <c r="H170" s="50"/>
      <c r="I170" s="50"/>
      <c r="J170" s="306"/>
    </row>
    <row r="171" spans="2:10">
      <c r="B171" s="413"/>
      <c r="C171" s="414"/>
      <c r="D171" s="414"/>
      <c r="E171" s="50"/>
      <c r="F171" s="403">
        <v>2158</v>
      </c>
      <c r="G171" s="406">
        <v>15680</v>
      </c>
      <c r="H171" s="50"/>
      <c r="I171" s="50"/>
      <c r="J171" s="306"/>
    </row>
    <row r="172" spans="2:10">
      <c r="B172" s="413"/>
      <c r="C172" s="414"/>
      <c r="D172" s="414"/>
      <c r="E172" s="50"/>
      <c r="F172" s="403">
        <v>2159</v>
      </c>
      <c r="G172" s="406">
        <v>14901</v>
      </c>
      <c r="H172" s="50"/>
      <c r="I172" s="50"/>
      <c r="J172" s="306"/>
    </row>
    <row r="173" spans="2:10">
      <c r="B173" s="413"/>
      <c r="C173" s="414"/>
      <c r="D173" s="414"/>
      <c r="E173" s="50"/>
      <c r="F173" s="403">
        <v>2160</v>
      </c>
      <c r="G173" s="406">
        <v>20019</v>
      </c>
      <c r="H173" s="50"/>
      <c r="I173" s="50"/>
      <c r="J173" s="306"/>
    </row>
    <row r="174" spans="2:10">
      <c r="B174" s="413"/>
      <c r="C174" s="414"/>
      <c r="D174" s="414"/>
      <c r="E174" s="50"/>
      <c r="F174" s="403">
        <v>2161</v>
      </c>
      <c r="G174" s="406">
        <v>16501</v>
      </c>
      <c r="H174" s="50"/>
      <c r="I174" s="50"/>
      <c r="J174" s="306"/>
    </row>
    <row r="175" spans="2:10">
      <c r="B175" s="413"/>
      <c r="C175" s="414"/>
      <c r="D175" s="414"/>
      <c r="E175" s="50"/>
      <c r="F175" s="403">
        <v>2162</v>
      </c>
      <c r="G175" s="406">
        <v>17010</v>
      </c>
      <c r="H175" s="50"/>
      <c r="I175" s="50"/>
      <c r="J175" s="306"/>
    </row>
    <row r="176" spans="2:10">
      <c r="B176" s="413"/>
      <c r="C176" s="414"/>
      <c r="D176" s="414"/>
      <c r="E176" s="50"/>
      <c r="F176" s="403">
        <v>2163</v>
      </c>
      <c r="G176" s="406">
        <v>16449</v>
      </c>
      <c r="H176" s="50"/>
      <c r="I176" s="50"/>
      <c r="J176" s="306"/>
    </row>
    <row r="177" spans="2:10">
      <c r="B177" s="413"/>
      <c r="C177" s="414"/>
      <c r="D177" s="414"/>
      <c r="E177" s="50"/>
      <c r="F177" s="403">
        <v>2164</v>
      </c>
      <c r="G177" s="406">
        <v>16182</v>
      </c>
      <c r="H177" s="50"/>
      <c r="I177" s="50"/>
      <c r="J177" s="306"/>
    </row>
    <row r="178" spans="2:10">
      <c r="B178" s="413"/>
      <c r="C178" s="414"/>
      <c r="D178" s="414"/>
      <c r="E178" s="50"/>
      <c r="F178" s="403">
        <v>2165</v>
      </c>
      <c r="G178" s="406">
        <v>16619</v>
      </c>
      <c r="H178" s="50"/>
      <c r="I178" s="50"/>
      <c r="J178" s="306"/>
    </row>
    <row r="179" spans="2:10">
      <c r="B179" s="413"/>
      <c r="C179" s="414"/>
      <c r="D179" s="414"/>
      <c r="E179" s="50"/>
      <c r="F179" s="403">
        <v>2166</v>
      </c>
      <c r="G179" s="406">
        <v>16210</v>
      </c>
      <c r="H179" s="50"/>
      <c r="I179" s="50"/>
      <c r="J179" s="306"/>
    </row>
    <row r="180" spans="2:10">
      <c r="B180" s="413"/>
      <c r="C180" s="414"/>
      <c r="D180" s="414"/>
      <c r="E180" s="50"/>
      <c r="F180" s="403">
        <v>2167</v>
      </c>
      <c r="G180" s="406">
        <v>15723</v>
      </c>
      <c r="H180" s="50"/>
      <c r="I180" s="50"/>
      <c r="J180" s="306"/>
    </row>
    <row r="181" spans="2:10">
      <c r="B181" s="413"/>
      <c r="C181" s="414"/>
      <c r="D181" s="414"/>
      <c r="E181" s="50"/>
      <c r="F181" s="403">
        <v>2168</v>
      </c>
      <c r="G181" s="406">
        <v>16001</v>
      </c>
      <c r="H181" s="50"/>
      <c r="I181" s="50"/>
      <c r="J181" s="306"/>
    </row>
    <row r="182" spans="2:10">
      <c r="B182" s="413"/>
      <c r="C182" s="414"/>
      <c r="D182" s="414"/>
      <c r="E182" s="50"/>
      <c r="F182" s="403">
        <v>2170</v>
      </c>
      <c r="G182" s="406">
        <v>15990</v>
      </c>
      <c r="H182" s="50"/>
      <c r="I182" s="50"/>
      <c r="J182" s="306"/>
    </row>
    <row r="183" spans="2:10">
      <c r="B183" s="413"/>
      <c r="C183" s="414"/>
      <c r="D183" s="414"/>
      <c r="E183" s="50"/>
      <c r="F183" s="403">
        <v>2171</v>
      </c>
      <c r="G183" s="406">
        <v>15992</v>
      </c>
      <c r="H183" s="50"/>
      <c r="I183" s="50"/>
      <c r="J183" s="306"/>
    </row>
    <row r="184" spans="2:10">
      <c r="B184" s="413"/>
      <c r="C184" s="414"/>
      <c r="D184" s="414"/>
      <c r="E184" s="50"/>
      <c r="F184" s="403">
        <v>2172</v>
      </c>
      <c r="G184" s="406">
        <v>19158</v>
      </c>
      <c r="H184" s="50"/>
      <c r="I184" s="50"/>
      <c r="J184" s="306"/>
    </row>
    <row r="185" spans="2:10">
      <c r="B185" s="413"/>
      <c r="C185" s="414"/>
      <c r="D185" s="414"/>
      <c r="E185" s="50"/>
      <c r="F185" s="403">
        <v>2173</v>
      </c>
      <c r="G185" s="406">
        <v>15240</v>
      </c>
      <c r="H185" s="50"/>
      <c r="I185" s="50"/>
      <c r="J185" s="306"/>
    </row>
    <row r="186" spans="2:10">
      <c r="B186" s="413"/>
      <c r="C186" s="414"/>
      <c r="D186" s="414"/>
      <c r="E186" s="50"/>
      <c r="F186" s="403">
        <v>2174</v>
      </c>
      <c r="G186" s="406">
        <v>15436</v>
      </c>
      <c r="H186" s="50"/>
      <c r="I186" s="50"/>
      <c r="J186" s="306"/>
    </row>
    <row r="187" spans="2:10">
      <c r="B187" s="413"/>
      <c r="C187" s="414"/>
      <c r="D187" s="414"/>
      <c r="E187" s="50"/>
      <c r="F187" s="403">
        <v>2175</v>
      </c>
      <c r="G187" s="406">
        <v>16252</v>
      </c>
      <c r="H187" s="50"/>
      <c r="I187" s="50"/>
      <c r="J187" s="306"/>
    </row>
    <row r="188" spans="2:10">
      <c r="B188" s="413"/>
      <c r="C188" s="414"/>
      <c r="D188" s="414"/>
      <c r="E188" s="50"/>
      <c r="F188" s="403">
        <v>2176</v>
      </c>
      <c r="G188" s="406">
        <v>16026</v>
      </c>
      <c r="H188" s="50"/>
      <c r="I188" s="50"/>
      <c r="J188" s="306"/>
    </row>
    <row r="189" spans="2:10">
      <c r="B189" s="413"/>
      <c r="C189" s="414"/>
      <c r="D189" s="414"/>
      <c r="E189" s="50"/>
      <c r="F189" s="403">
        <v>2177</v>
      </c>
      <c r="G189" s="406">
        <v>16001</v>
      </c>
      <c r="H189" s="50"/>
      <c r="I189" s="50"/>
      <c r="J189" s="306"/>
    </row>
    <row r="190" spans="2:10">
      <c r="B190" s="413"/>
      <c r="C190" s="414"/>
      <c r="D190" s="414"/>
      <c r="E190" s="50"/>
      <c r="F190" s="403">
        <v>2178</v>
      </c>
      <c r="G190" s="406">
        <v>16676</v>
      </c>
      <c r="H190" s="50"/>
      <c r="I190" s="50"/>
      <c r="J190" s="306"/>
    </row>
    <row r="191" spans="2:10">
      <c r="B191" s="413"/>
      <c r="C191" s="414"/>
      <c r="D191" s="414"/>
      <c r="E191" s="50"/>
      <c r="F191" s="403">
        <v>2179</v>
      </c>
      <c r="G191" s="406">
        <v>15631</v>
      </c>
      <c r="H191" s="50"/>
      <c r="I191" s="50"/>
      <c r="J191" s="306"/>
    </row>
    <row r="192" spans="2:10">
      <c r="B192" s="413"/>
      <c r="C192" s="414"/>
      <c r="D192" s="414"/>
      <c r="E192" s="50"/>
      <c r="F192" s="403">
        <v>2190</v>
      </c>
      <c r="G192" s="406">
        <v>16626</v>
      </c>
      <c r="H192" s="50"/>
      <c r="I192" s="50"/>
      <c r="J192" s="306"/>
    </row>
    <row r="193" spans="2:10">
      <c r="B193" s="413"/>
      <c r="C193" s="414"/>
      <c r="D193" s="414"/>
      <c r="E193" s="50"/>
      <c r="F193" s="403">
        <v>2191</v>
      </c>
      <c r="G193" s="406">
        <v>16441</v>
      </c>
      <c r="H193" s="50"/>
      <c r="I193" s="50"/>
      <c r="J193" s="306"/>
    </row>
    <row r="194" spans="2:10">
      <c r="B194" s="413"/>
      <c r="C194" s="414"/>
      <c r="D194" s="414"/>
      <c r="E194" s="50"/>
      <c r="F194" s="403">
        <v>2192</v>
      </c>
      <c r="G194" s="406">
        <v>16282</v>
      </c>
      <c r="H194" s="50"/>
      <c r="I194" s="50"/>
      <c r="J194" s="306"/>
    </row>
    <row r="195" spans="2:10">
      <c r="B195" s="413"/>
      <c r="C195" s="414"/>
      <c r="D195" s="414"/>
      <c r="E195" s="50"/>
      <c r="F195" s="403">
        <v>2193</v>
      </c>
      <c r="G195" s="406">
        <v>14937</v>
      </c>
      <c r="H195" s="50"/>
      <c r="I195" s="50"/>
      <c r="J195" s="306"/>
    </row>
    <row r="196" spans="2:10">
      <c r="B196" s="413"/>
      <c r="C196" s="414"/>
      <c r="D196" s="414"/>
      <c r="E196" s="50"/>
      <c r="F196" s="403">
        <v>2194</v>
      </c>
      <c r="G196" s="406">
        <v>16218</v>
      </c>
      <c r="H196" s="50"/>
      <c r="I196" s="50"/>
      <c r="J196" s="306"/>
    </row>
    <row r="197" spans="2:10">
      <c r="B197" s="413"/>
      <c r="C197" s="414"/>
      <c r="D197" s="414"/>
      <c r="E197" s="50"/>
      <c r="F197" s="403">
        <v>2195</v>
      </c>
      <c r="G197" s="406">
        <v>16423</v>
      </c>
      <c r="H197" s="50"/>
      <c r="I197" s="50"/>
      <c r="J197" s="306"/>
    </row>
    <row r="198" spans="2:10">
      <c r="B198" s="413"/>
      <c r="C198" s="414"/>
      <c r="D198" s="414"/>
      <c r="E198" s="50"/>
      <c r="F198" s="403">
        <v>2196</v>
      </c>
      <c r="G198" s="406">
        <v>16396</v>
      </c>
      <c r="H198" s="50"/>
      <c r="I198" s="50"/>
      <c r="J198" s="306"/>
    </row>
    <row r="199" spans="2:10">
      <c r="B199" s="413"/>
      <c r="C199" s="414"/>
      <c r="D199" s="414"/>
      <c r="E199" s="50"/>
      <c r="F199" s="403">
        <v>2197</v>
      </c>
      <c r="G199" s="406">
        <v>17431</v>
      </c>
      <c r="H199" s="50"/>
      <c r="I199" s="50"/>
      <c r="J199" s="306"/>
    </row>
    <row r="200" spans="2:10">
      <c r="B200" s="413"/>
      <c r="C200" s="414"/>
      <c r="D200" s="414"/>
      <c r="E200" s="50"/>
      <c r="F200" s="403">
        <v>2198</v>
      </c>
      <c r="G200" s="406">
        <v>17431</v>
      </c>
      <c r="H200" s="50"/>
      <c r="I200" s="50"/>
      <c r="J200" s="306"/>
    </row>
    <row r="201" spans="2:10">
      <c r="B201" s="413"/>
      <c r="C201" s="414"/>
      <c r="D201" s="414"/>
      <c r="E201" s="50"/>
      <c r="F201" s="403">
        <v>2199</v>
      </c>
      <c r="G201" s="406">
        <v>17254</v>
      </c>
      <c r="H201" s="50"/>
      <c r="I201" s="50"/>
      <c r="J201" s="306"/>
    </row>
    <row r="202" spans="2:10">
      <c r="B202" s="413"/>
      <c r="C202" s="414"/>
      <c r="D202" s="414"/>
      <c r="E202" s="50"/>
      <c r="F202" s="403">
        <v>2200</v>
      </c>
      <c r="G202" s="406">
        <v>17977</v>
      </c>
      <c r="H202" s="50"/>
      <c r="I202" s="50"/>
      <c r="J202" s="306"/>
    </row>
    <row r="203" spans="2:10">
      <c r="B203" s="413"/>
      <c r="C203" s="414"/>
      <c r="D203" s="414"/>
      <c r="E203" s="50"/>
      <c r="F203" s="403">
        <v>2203</v>
      </c>
      <c r="G203" s="406">
        <v>15016</v>
      </c>
      <c r="H203" s="50"/>
      <c r="I203" s="50"/>
      <c r="J203" s="306"/>
    </row>
    <row r="204" spans="2:10">
      <c r="B204" s="413"/>
      <c r="C204" s="414"/>
      <c r="D204" s="414"/>
      <c r="E204" s="50"/>
      <c r="F204" s="403">
        <v>2204</v>
      </c>
      <c r="G204" s="406">
        <v>12243</v>
      </c>
      <c r="H204" s="50"/>
      <c r="I204" s="50"/>
      <c r="J204" s="306"/>
    </row>
    <row r="205" spans="2:10">
      <c r="B205" s="413"/>
      <c r="C205" s="414"/>
      <c r="D205" s="414"/>
      <c r="E205" s="50"/>
      <c r="F205" s="403">
        <v>2205</v>
      </c>
      <c r="G205" s="406">
        <v>14445</v>
      </c>
      <c r="H205" s="50"/>
      <c r="I205" s="50"/>
      <c r="J205" s="306"/>
    </row>
    <row r="206" spans="2:10">
      <c r="B206" s="413"/>
      <c r="C206" s="414"/>
      <c r="D206" s="414"/>
      <c r="E206" s="50"/>
      <c r="F206" s="403">
        <v>2206</v>
      </c>
      <c r="G206" s="406">
        <v>14600</v>
      </c>
      <c r="H206" s="50"/>
      <c r="I206" s="50"/>
      <c r="J206" s="306"/>
    </row>
    <row r="207" spans="2:10">
      <c r="B207" s="413"/>
      <c r="C207" s="414"/>
      <c r="D207" s="414"/>
      <c r="E207" s="50"/>
      <c r="F207" s="403">
        <v>2207</v>
      </c>
      <c r="G207" s="406">
        <v>14754</v>
      </c>
      <c r="H207" s="50"/>
      <c r="I207" s="50"/>
      <c r="J207" s="306"/>
    </row>
    <row r="208" spans="2:10">
      <c r="B208" s="413"/>
      <c r="C208" s="414"/>
      <c r="D208" s="414"/>
      <c r="E208" s="50"/>
      <c r="F208" s="403">
        <v>2208</v>
      </c>
      <c r="G208" s="406">
        <v>16038</v>
      </c>
      <c r="H208" s="50"/>
      <c r="I208" s="50"/>
      <c r="J208" s="306"/>
    </row>
    <row r="209" spans="2:10">
      <c r="B209" s="413"/>
      <c r="C209" s="414"/>
      <c r="D209" s="414"/>
      <c r="E209" s="50"/>
      <c r="F209" s="403">
        <v>2209</v>
      </c>
      <c r="G209" s="406">
        <v>17509</v>
      </c>
      <c r="H209" s="50"/>
      <c r="I209" s="50"/>
      <c r="J209" s="306"/>
    </row>
    <row r="210" spans="2:10">
      <c r="B210" s="413"/>
      <c r="C210" s="414"/>
      <c r="D210" s="414"/>
      <c r="E210" s="50"/>
      <c r="F210" s="403">
        <v>2210</v>
      </c>
      <c r="G210" s="406">
        <v>19001</v>
      </c>
      <c r="H210" s="50"/>
      <c r="I210" s="50"/>
      <c r="J210" s="306"/>
    </row>
    <row r="211" spans="2:10">
      <c r="B211" s="413"/>
      <c r="C211" s="414"/>
      <c r="D211" s="414"/>
      <c r="E211" s="50"/>
      <c r="F211" s="403">
        <v>2211</v>
      </c>
      <c r="G211" s="406">
        <v>18777</v>
      </c>
      <c r="H211" s="50"/>
      <c r="I211" s="50"/>
      <c r="J211" s="306"/>
    </row>
    <row r="212" spans="2:10">
      <c r="B212" s="413"/>
      <c r="C212" s="414"/>
      <c r="D212" s="414"/>
      <c r="E212" s="50"/>
      <c r="F212" s="403">
        <v>2212</v>
      </c>
      <c r="G212" s="406">
        <v>19158</v>
      </c>
      <c r="H212" s="50"/>
      <c r="I212" s="50"/>
      <c r="J212" s="306"/>
    </row>
    <row r="213" spans="2:10">
      <c r="B213" s="413"/>
      <c r="C213" s="414"/>
      <c r="D213" s="414"/>
      <c r="E213" s="50"/>
      <c r="F213" s="403">
        <v>2213</v>
      </c>
      <c r="G213" s="406">
        <v>19158</v>
      </c>
      <c r="H213" s="50"/>
      <c r="I213" s="50"/>
      <c r="J213" s="306"/>
    </row>
    <row r="214" spans="2:10">
      <c r="B214" s="413"/>
      <c r="C214" s="414"/>
      <c r="D214" s="414"/>
      <c r="E214" s="50"/>
      <c r="F214" s="403">
        <v>2214</v>
      </c>
      <c r="G214" s="406">
        <v>18926</v>
      </c>
      <c r="H214" s="50"/>
      <c r="I214" s="50"/>
      <c r="J214" s="306"/>
    </row>
    <row r="215" spans="2:10">
      <c r="B215" s="413"/>
      <c r="C215" s="414"/>
      <c r="D215" s="414"/>
      <c r="E215" s="50"/>
      <c r="F215" s="403">
        <v>2216</v>
      </c>
      <c r="G215" s="406">
        <v>13617</v>
      </c>
      <c r="H215" s="50"/>
      <c r="I215" s="50"/>
      <c r="J215" s="306"/>
    </row>
    <row r="216" spans="2:10">
      <c r="B216" s="413"/>
      <c r="C216" s="414"/>
      <c r="D216" s="414"/>
      <c r="E216" s="50"/>
      <c r="F216" s="403">
        <v>2217</v>
      </c>
      <c r="G216" s="406">
        <v>15078</v>
      </c>
      <c r="H216" s="50"/>
      <c r="I216" s="50"/>
      <c r="J216" s="306"/>
    </row>
    <row r="217" spans="2:10">
      <c r="B217" s="413"/>
      <c r="C217" s="414"/>
      <c r="D217" s="414"/>
      <c r="E217" s="50"/>
      <c r="F217" s="403">
        <v>2218</v>
      </c>
      <c r="G217" s="406">
        <v>15292</v>
      </c>
      <c r="H217" s="50"/>
      <c r="I217" s="50"/>
      <c r="J217" s="306"/>
    </row>
    <row r="218" spans="2:10">
      <c r="B218" s="413"/>
      <c r="C218" s="414"/>
      <c r="D218" s="414"/>
      <c r="E218" s="50"/>
      <c r="F218" s="403">
        <v>2219</v>
      </c>
      <c r="G218" s="406">
        <v>15362</v>
      </c>
      <c r="H218" s="50"/>
      <c r="I218" s="50"/>
      <c r="J218" s="306"/>
    </row>
    <row r="219" spans="2:10">
      <c r="B219" s="413"/>
      <c r="C219" s="414"/>
      <c r="D219" s="414"/>
      <c r="E219" s="50"/>
      <c r="F219" s="403">
        <v>2220</v>
      </c>
      <c r="G219" s="406">
        <v>16007</v>
      </c>
      <c r="H219" s="50"/>
      <c r="I219" s="50"/>
      <c r="J219" s="306"/>
    </row>
    <row r="220" spans="2:10">
      <c r="B220" s="413"/>
      <c r="C220" s="414"/>
      <c r="D220" s="414"/>
      <c r="E220" s="50"/>
      <c r="F220" s="403">
        <v>2221</v>
      </c>
      <c r="G220" s="406">
        <v>15425</v>
      </c>
      <c r="H220" s="50"/>
      <c r="I220" s="50"/>
      <c r="J220" s="306"/>
    </row>
    <row r="221" spans="2:10">
      <c r="B221" s="413"/>
      <c r="C221" s="414"/>
      <c r="D221" s="414"/>
      <c r="E221" s="50"/>
      <c r="F221" s="403">
        <v>2222</v>
      </c>
      <c r="G221" s="406">
        <v>18078</v>
      </c>
      <c r="H221" s="50"/>
      <c r="I221" s="50"/>
      <c r="J221" s="306"/>
    </row>
    <row r="222" spans="2:10">
      <c r="B222" s="413"/>
      <c r="C222" s="414"/>
      <c r="D222" s="414"/>
      <c r="E222" s="50"/>
      <c r="F222" s="403">
        <v>2223</v>
      </c>
      <c r="G222" s="406">
        <v>18078</v>
      </c>
      <c r="H222" s="50"/>
      <c r="I222" s="50"/>
      <c r="J222" s="306"/>
    </row>
    <row r="223" spans="2:10">
      <c r="B223" s="413"/>
      <c r="C223" s="414"/>
      <c r="D223" s="414"/>
      <c r="E223" s="50"/>
      <c r="F223" s="403">
        <v>2224</v>
      </c>
      <c r="G223" s="406">
        <v>14639</v>
      </c>
      <c r="H223" s="50"/>
      <c r="I223" s="50"/>
      <c r="J223" s="306"/>
    </row>
    <row r="224" spans="2:10">
      <c r="B224" s="413"/>
      <c r="C224" s="414"/>
      <c r="D224" s="414"/>
      <c r="E224" s="50"/>
      <c r="F224" s="403">
        <v>2225</v>
      </c>
      <c r="G224" s="406">
        <v>14555</v>
      </c>
      <c r="H224" s="50"/>
      <c r="I224" s="50"/>
      <c r="J224" s="306"/>
    </row>
    <row r="225" spans="2:10">
      <c r="B225" s="413"/>
      <c r="C225" s="414"/>
      <c r="D225" s="414"/>
      <c r="E225" s="50"/>
      <c r="F225" s="403">
        <v>2226</v>
      </c>
      <c r="G225" s="406">
        <v>15523</v>
      </c>
      <c r="H225" s="50"/>
      <c r="I225" s="50"/>
      <c r="J225" s="306"/>
    </row>
    <row r="226" spans="2:10">
      <c r="B226" s="413"/>
      <c r="C226" s="414"/>
      <c r="D226" s="414"/>
      <c r="E226" s="50"/>
      <c r="F226" s="403">
        <v>2227</v>
      </c>
      <c r="G226" s="406">
        <v>14315</v>
      </c>
      <c r="H226" s="50"/>
      <c r="I226" s="50"/>
      <c r="J226" s="306"/>
    </row>
    <row r="227" spans="2:10">
      <c r="B227" s="413"/>
      <c r="C227" s="414"/>
      <c r="D227" s="414"/>
      <c r="E227" s="50"/>
      <c r="F227" s="403">
        <v>2228</v>
      </c>
      <c r="G227" s="406">
        <v>14315</v>
      </c>
      <c r="H227" s="50"/>
      <c r="I227" s="50"/>
      <c r="J227" s="306"/>
    </row>
    <row r="228" spans="2:10">
      <c r="B228" s="413"/>
      <c r="C228" s="414"/>
      <c r="D228" s="414"/>
      <c r="E228" s="50"/>
      <c r="F228" s="403">
        <v>2229</v>
      </c>
      <c r="G228" s="406">
        <v>14357</v>
      </c>
      <c r="H228" s="50"/>
      <c r="I228" s="50"/>
      <c r="J228" s="306"/>
    </row>
    <row r="229" spans="2:10">
      <c r="B229" s="413"/>
      <c r="C229" s="414"/>
      <c r="D229" s="414"/>
      <c r="E229" s="50"/>
      <c r="F229" s="403">
        <v>2230</v>
      </c>
      <c r="G229" s="406">
        <v>14311</v>
      </c>
      <c r="H229" s="50"/>
      <c r="I229" s="50"/>
      <c r="J229" s="306"/>
    </row>
    <row r="230" spans="2:10">
      <c r="B230" s="413"/>
      <c r="C230" s="414"/>
      <c r="D230" s="414"/>
      <c r="E230" s="50"/>
      <c r="F230" s="403">
        <v>2231</v>
      </c>
      <c r="G230" s="406">
        <v>12824</v>
      </c>
      <c r="H230" s="50"/>
      <c r="I230" s="50"/>
      <c r="J230" s="306"/>
    </row>
    <row r="231" spans="2:10">
      <c r="B231" s="413"/>
      <c r="C231" s="414"/>
      <c r="D231" s="414"/>
      <c r="E231" s="50"/>
      <c r="F231" s="403">
        <v>2232</v>
      </c>
      <c r="G231" s="406">
        <v>14275</v>
      </c>
      <c r="H231" s="50"/>
      <c r="I231" s="50"/>
      <c r="J231" s="306"/>
    </row>
    <row r="232" spans="2:10">
      <c r="B232" s="413"/>
      <c r="C232" s="414"/>
      <c r="D232" s="414"/>
      <c r="E232" s="50"/>
      <c r="F232" s="403">
        <v>2233</v>
      </c>
      <c r="G232" s="406">
        <v>14830</v>
      </c>
      <c r="H232" s="50"/>
      <c r="I232" s="50"/>
      <c r="J232" s="306"/>
    </row>
    <row r="233" spans="2:10">
      <c r="B233" s="413"/>
      <c r="C233" s="414"/>
      <c r="D233" s="414"/>
      <c r="E233" s="50"/>
      <c r="F233" s="403">
        <v>2234</v>
      </c>
      <c r="G233" s="406">
        <v>16474</v>
      </c>
      <c r="H233" s="50"/>
      <c r="I233" s="50"/>
      <c r="J233" s="306"/>
    </row>
    <row r="234" spans="2:10">
      <c r="B234" s="413"/>
      <c r="C234" s="414"/>
      <c r="D234" s="414"/>
      <c r="E234" s="50"/>
      <c r="F234" s="403">
        <v>2250</v>
      </c>
      <c r="G234" s="406">
        <v>18055</v>
      </c>
      <c r="H234" s="50"/>
      <c r="I234" s="50"/>
      <c r="J234" s="306"/>
    </row>
    <row r="235" spans="2:10">
      <c r="B235" s="413"/>
      <c r="C235" s="414"/>
      <c r="D235" s="414"/>
      <c r="E235" s="50"/>
      <c r="F235" s="403">
        <v>2251</v>
      </c>
      <c r="G235" s="406">
        <v>17496</v>
      </c>
      <c r="H235" s="50"/>
      <c r="I235" s="50"/>
      <c r="J235" s="306"/>
    </row>
    <row r="236" spans="2:10">
      <c r="B236" s="413"/>
      <c r="C236" s="414"/>
      <c r="D236" s="414"/>
      <c r="E236" s="50"/>
      <c r="F236" s="403">
        <v>2256</v>
      </c>
      <c r="G236" s="406">
        <v>16997</v>
      </c>
      <c r="H236" s="50"/>
      <c r="I236" s="50"/>
      <c r="J236" s="306"/>
    </row>
    <row r="237" spans="2:10">
      <c r="B237" s="413"/>
      <c r="C237" s="414"/>
      <c r="D237" s="414"/>
      <c r="E237" s="50"/>
      <c r="F237" s="403">
        <v>2257</v>
      </c>
      <c r="G237" s="406">
        <v>16623</v>
      </c>
      <c r="H237" s="50"/>
      <c r="I237" s="50"/>
      <c r="J237" s="306"/>
    </row>
    <row r="238" spans="2:10">
      <c r="B238" s="413"/>
      <c r="C238" s="414"/>
      <c r="D238" s="414"/>
      <c r="E238" s="50"/>
      <c r="F238" s="403">
        <v>2258</v>
      </c>
      <c r="G238" s="406">
        <v>18122</v>
      </c>
      <c r="H238" s="50"/>
      <c r="I238" s="50"/>
      <c r="J238" s="306"/>
    </row>
    <row r="239" spans="2:10">
      <c r="B239" s="413"/>
      <c r="C239" s="414"/>
      <c r="D239" s="414"/>
      <c r="E239" s="50"/>
      <c r="F239" s="403">
        <v>2259</v>
      </c>
      <c r="G239" s="406">
        <v>18159</v>
      </c>
      <c r="H239" s="50"/>
      <c r="I239" s="50"/>
      <c r="J239" s="306"/>
    </row>
    <row r="240" spans="2:10">
      <c r="B240" s="413"/>
      <c r="C240" s="414"/>
      <c r="D240" s="414"/>
      <c r="E240" s="50"/>
      <c r="F240" s="403">
        <v>2260</v>
      </c>
      <c r="G240" s="406">
        <v>17728</v>
      </c>
      <c r="H240" s="50"/>
      <c r="I240" s="50"/>
      <c r="J240" s="306"/>
    </row>
    <row r="241" spans="2:10">
      <c r="B241" s="413"/>
      <c r="C241" s="414"/>
      <c r="D241" s="414"/>
      <c r="E241" s="50"/>
      <c r="F241" s="403">
        <v>2261</v>
      </c>
      <c r="G241" s="406">
        <v>18113</v>
      </c>
      <c r="H241" s="50"/>
      <c r="I241" s="50"/>
      <c r="J241" s="306"/>
    </row>
    <row r="242" spans="2:10">
      <c r="B242" s="413"/>
      <c r="C242" s="414"/>
      <c r="D242" s="414"/>
      <c r="E242" s="50"/>
      <c r="F242" s="403">
        <v>2262</v>
      </c>
      <c r="G242" s="406">
        <v>18093</v>
      </c>
      <c r="H242" s="50"/>
      <c r="I242" s="50"/>
      <c r="J242" s="306"/>
    </row>
    <row r="243" spans="2:10">
      <c r="B243" s="413"/>
      <c r="C243" s="414"/>
      <c r="D243" s="414"/>
      <c r="E243" s="50"/>
      <c r="F243" s="403">
        <v>2263</v>
      </c>
      <c r="G243" s="406">
        <v>18211</v>
      </c>
      <c r="H243" s="50"/>
      <c r="I243" s="50"/>
      <c r="J243" s="306"/>
    </row>
    <row r="244" spans="2:10">
      <c r="B244" s="413"/>
      <c r="C244" s="414"/>
      <c r="D244" s="414"/>
      <c r="E244" s="50"/>
      <c r="F244" s="403">
        <v>2264</v>
      </c>
      <c r="G244" s="406">
        <v>16880</v>
      </c>
      <c r="H244" s="50"/>
      <c r="I244" s="50"/>
      <c r="J244" s="306"/>
    </row>
    <row r="245" spans="2:10">
      <c r="B245" s="413"/>
      <c r="C245" s="414"/>
      <c r="D245" s="414"/>
      <c r="E245" s="50"/>
      <c r="F245" s="403">
        <v>2265</v>
      </c>
      <c r="G245" s="406">
        <v>17608</v>
      </c>
      <c r="H245" s="50"/>
      <c r="I245" s="50"/>
      <c r="J245" s="306"/>
    </row>
    <row r="246" spans="2:10">
      <c r="B246" s="413"/>
      <c r="C246" s="414"/>
      <c r="D246" s="414"/>
      <c r="E246" s="50"/>
      <c r="F246" s="403">
        <v>2267</v>
      </c>
      <c r="G246" s="406">
        <v>13417</v>
      </c>
      <c r="H246" s="50"/>
      <c r="I246" s="50"/>
      <c r="J246" s="306"/>
    </row>
    <row r="247" spans="2:10">
      <c r="B247" s="413"/>
      <c r="C247" s="414"/>
      <c r="D247" s="414"/>
      <c r="E247" s="50"/>
      <c r="F247" s="403">
        <v>2278</v>
      </c>
      <c r="G247" s="406">
        <v>12040</v>
      </c>
      <c r="H247" s="50"/>
      <c r="I247" s="50"/>
      <c r="J247" s="306"/>
    </row>
    <row r="248" spans="2:10">
      <c r="B248" s="413"/>
      <c r="C248" s="414"/>
      <c r="D248" s="414"/>
      <c r="E248" s="50"/>
      <c r="F248" s="403">
        <v>2280</v>
      </c>
      <c r="G248" s="406">
        <v>12038</v>
      </c>
      <c r="H248" s="50"/>
      <c r="I248" s="50"/>
      <c r="J248" s="306"/>
    </row>
    <row r="249" spans="2:10">
      <c r="B249" s="413"/>
      <c r="C249" s="414"/>
      <c r="D249" s="414"/>
      <c r="E249" s="50"/>
      <c r="F249" s="403">
        <v>2281</v>
      </c>
      <c r="G249" s="406">
        <v>15883</v>
      </c>
      <c r="H249" s="50"/>
      <c r="I249" s="50"/>
      <c r="J249" s="306"/>
    </row>
    <row r="250" spans="2:10">
      <c r="B250" s="413"/>
      <c r="C250" s="414"/>
      <c r="D250" s="414"/>
      <c r="E250" s="50"/>
      <c r="F250" s="403">
        <v>2282</v>
      </c>
      <c r="G250" s="406">
        <v>12040</v>
      </c>
      <c r="H250" s="50"/>
      <c r="I250" s="50"/>
      <c r="J250" s="306"/>
    </row>
    <row r="251" spans="2:10">
      <c r="B251" s="413"/>
      <c r="C251" s="414"/>
      <c r="D251" s="414"/>
      <c r="E251" s="50"/>
      <c r="F251" s="403">
        <v>2283</v>
      </c>
      <c r="G251" s="406">
        <v>12039</v>
      </c>
      <c r="H251" s="50"/>
      <c r="I251" s="50"/>
      <c r="J251" s="306"/>
    </row>
    <row r="252" spans="2:10">
      <c r="B252" s="413"/>
      <c r="C252" s="414"/>
      <c r="D252" s="414"/>
      <c r="E252" s="50"/>
      <c r="F252" s="403">
        <v>2284</v>
      </c>
      <c r="G252" s="406">
        <v>12042</v>
      </c>
      <c r="H252" s="50"/>
      <c r="I252" s="50"/>
      <c r="J252" s="306"/>
    </row>
    <row r="253" spans="2:10">
      <c r="B253" s="413"/>
      <c r="C253" s="414"/>
      <c r="D253" s="414"/>
      <c r="E253" s="50"/>
      <c r="F253" s="403">
        <v>2285</v>
      </c>
      <c r="G253" s="406">
        <v>12008</v>
      </c>
      <c r="H253" s="50"/>
      <c r="I253" s="50"/>
      <c r="J253" s="306"/>
    </row>
    <row r="254" spans="2:10">
      <c r="B254" s="413"/>
      <c r="C254" s="414"/>
      <c r="D254" s="414"/>
      <c r="E254" s="50"/>
      <c r="F254" s="403">
        <v>2286</v>
      </c>
      <c r="G254" s="406">
        <v>12040</v>
      </c>
      <c r="H254" s="50"/>
      <c r="I254" s="50"/>
      <c r="J254" s="306"/>
    </row>
    <row r="255" spans="2:10">
      <c r="B255" s="413"/>
      <c r="C255" s="414"/>
      <c r="D255" s="414"/>
      <c r="E255" s="50"/>
      <c r="F255" s="403">
        <v>2287</v>
      </c>
      <c r="G255" s="406">
        <v>11968</v>
      </c>
      <c r="H255" s="50"/>
      <c r="I255" s="50"/>
      <c r="J255" s="306"/>
    </row>
    <row r="256" spans="2:10">
      <c r="B256" s="413"/>
      <c r="C256" s="414"/>
      <c r="D256" s="414"/>
      <c r="E256" s="50"/>
      <c r="F256" s="403">
        <v>2289</v>
      </c>
      <c r="G256" s="406">
        <v>11842</v>
      </c>
      <c r="H256" s="50"/>
      <c r="I256" s="50"/>
      <c r="J256" s="306"/>
    </row>
    <row r="257" spans="2:10">
      <c r="B257" s="413"/>
      <c r="C257" s="414"/>
      <c r="D257" s="414"/>
      <c r="E257" s="50"/>
      <c r="F257" s="403">
        <v>2290</v>
      </c>
      <c r="G257" s="406">
        <v>12016</v>
      </c>
      <c r="H257" s="50"/>
      <c r="I257" s="50"/>
      <c r="J257" s="306"/>
    </row>
    <row r="258" spans="2:10">
      <c r="B258" s="413"/>
      <c r="C258" s="414"/>
      <c r="D258" s="414"/>
      <c r="E258" s="50"/>
      <c r="F258" s="403">
        <v>2291</v>
      </c>
      <c r="G258" s="406">
        <v>11752</v>
      </c>
      <c r="H258" s="50"/>
      <c r="I258" s="50"/>
      <c r="J258" s="306"/>
    </row>
    <row r="259" spans="2:10">
      <c r="B259" s="413"/>
      <c r="C259" s="414"/>
      <c r="D259" s="414"/>
      <c r="E259" s="50"/>
      <c r="F259" s="403">
        <v>2292</v>
      </c>
      <c r="G259" s="406">
        <v>11671</v>
      </c>
      <c r="H259" s="50"/>
      <c r="I259" s="50"/>
      <c r="J259" s="306"/>
    </row>
    <row r="260" spans="2:10">
      <c r="B260" s="413"/>
      <c r="C260" s="414"/>
      <c r="D260" s="414"/>
      <c r="E260" s="50"/>
      <c r="F260" s="403">
        <v>2293</v>
      </c>
      <c r="G260" s="406">
        <v>11566</v>
      </c>
      <c r="H260" s="50"/>
      <c r="I260" s="50"/>
      <c r="J260" s="306"/>
    </row>
    <row r="261" spans="2:10">
      <c r="B261" s="413"/>
      <c r="C261" s="414"/>
      <c r="D261" s="414"/>
      <c r="E261" s="50"/>
      <c r="F261" s="403">
        <v>2294</v>
      </c>
      <c r="G261" s="406">
        <v>11496</v>
      </c>
      <c r="H261" s="50"/>
      <c r="I261" s="50"/>
      <c r="J261" s="306"/>
    </row>
    <row r="262" spans="2:10">
      <c r="B262" s="413"/>
      <c r="C262" s="414"/>
      <c r="D262" s="414"/>
      <c r="E262" s="50"/>
      <c r="F262" s="403">
        <v>2295</v>
      </c>
      <c r="G262" s="406">
        <v>11556</v>
      </c>
      <c r="H262" s="50"/>
      <c r="I262" s="50"/>
      <c r="J262" s="306"/>
    </row>
    <row r="263" spans="2:10">
      <c r="B263" s="413"/>
      <c r="C263" s="414"/>
      <c r="D263" s="414"/>
      <c r="E263" s="50"/>
      <c r="F263" s="403">
        <v>2296</v>
      </c>
      <c r="G263" s="406">
        <v>11671</v>
      </c>
      <c r="H263" s="50"/>
      <c r="I263" s="50"/>
      <c r="J263" s="306"/>
    </row>
    <row r="264" spans="2:10">
      <c r="B264" s="413"/>
      <c r="C264" s="414"/>
      <c r="D264" s="414"/>
      <c r="E264" s="50"/>
      <c r="F264" s="403">
        <v>2297</v>
      </c>
      <c r="G264" s="406">
        <v>11566</v>
      </c>
      <c r="H264" s="50"/>
      <c r="I264" s="50"/>
      <c r="J264" s="306"/>
    </row>
    <row r="265" spans="2:10">
      <c r="B265" s="413"/>
      <c r="C265" s="414"/>
      <c r="D265" s="414"/>
      <c r="E265" s="50"/>
      <c r="F265" s="403">
        <v>2298</v>
      </c>
      <c r="G265" s="406">
        <v>11605</v>
      </c>
      <c r="H265" s="50"/>
      <c r="I265" s="50"/>
      <c r="J265" s="306"/>
    </row>
    <row r="266" spans="2:10">
      <c r="B266" s="413"/>
      <c r="C266" s="414"/>
      <c r="D266" s="414"/>
      <c r="E266" s="50"/>
      <c r="F266" s="403">
        <v>2299</v>
      </c>
      <c r="G266" s="406">
        <v>11808</v>
      </c>
      <c r="H266" s="50"/>
      <c r="I266" s="50"/>
      <c r="J266" s="306"/>
    </row>
    <row r="267" spans="2:10">
      <c r="B267" s="413"/>
      <c r="C267" s="414"/>
      <c r="D267" s="414"/>
      <c r="E267" s="50"/>
      <c r="F267" s="403">
        <v>2300</v>
      </c>
      <c r="G267" s="406">
        <v>11562</v>
      </c>
      <c r="H267" s="50"/>
      <c r="I267" s="50"/>
      <c r="J267" s="306"/>
    </row>
    <row r="268" spans="2:10">
      <c r="B268" s="413"/>
      <c r="C268" s="414"/>
      <c r="D268" s="414"/>
      <c r="E268" s="50"/>
      <c r="F268" s="403">
        <v>2302</v>
      </c>
      <c r="G268" s="406">
        <v>11715</v>
      </c>
      <c r="H268" s="50"/>
      <c r="I268" s="50"/>
      <c r="J268" s="306"/>
    </row>
    <row r="269" spans="2:10">
      <c r="B269" s="413"/>
      <c r="C269" s="414"/>
      <c r="D269" s="414"/>
      <c r="E269" s="50"/>
      <c r="F269" s="403">
        <v>2303</v>
      </c>
      <c r="G269" s="406">
        <v>11715</v>
      </c>
      <c r="H269" s="50"/>
      <c r="I269" s="50"/>
      <c r="J269" s="306"/>
    </row>
    <row r="270" spans="2:10">
      <c r="B270" s="413"/>
      <c r="C270" s="414"/>
      <c r="D270" s="414"/>
      <c r="E270" s="50"/>
      <c r="F270" s="403">
        <v>2304</v>
      </c>
      <c r="G270" s="406">
        <v>11605</v>
      </c>
      <c r="H270" s="50"/>
      <c r="I270" s="50"/>
      <c r="J270" s="306"/>
    </row>
    <row r="271" spans="2:10">
      <c r="B271" s="413"/>
      <c r="C271" s="414"/>
      <c r="D271" s="414"/>
      <c r="E271" s="50"/>
      <c r="F271" s="403">
        <v>2305</v>
      </c>
      <c r="G271" s="406">
        <v>11808</v>
      </c>
      <c r="H271" s="50"/>
      <c r="I271" s="50"/>
      <c r="J271" s="306"/>
    </row>
    <row r="272" spans="2:10">
      <c r="B272" s="413"/>
      <c r="C272" s="414"/>
      <c r="D272" s="414"/>
      <c r="E272" s="50"/>
      <c r="F272" s="403">
        <v>2306</v>
      </c>
      <c r="G272" s="406">
        <v>12016</v>
      </c>
      <c r="H272" s="50"/>
      <c r="I272" s="50"/>
      <c r="J272" s="306"/>
    </row>
    <row r="273" spans="2:10">
      <c r="B273" s="413"/>
      <c r="C273" s="414"/>
      <c r="D273" s="414"/>
      <c r="E273" s="50"/>
      <c r="F273" s="403">
        <v>2307</v>
      </c>
      <c r="G273" s="406">
        <v>11734</v>
      </c>
      <c r="H273" s="50"/>
      <c r="I273" s="50"/>
      <c r="J273" s="306"/>
    </row>
    <row r="274" spans="2:10">
      <c r="B274" s="413"/>
      <c r="C274" s="414"/>
      <c r="D274" s="414"/>
      <c r="E274" s="50"/>
      <c r="F274" s="403">
        <v>2308</v>
      </c>
      <c r="G274" s="406">
        <v>11605</v>
      </c>
      <c r="H274" s="50"/>
      <c r="I274" s="50"/>
      <c r="J274" s="306"/>
    </row>
    <row r="275" spans="2:10">
      <c r="B275" s="413"/>
      <c r="C275" s="414"/>
      <c r="D275" s="414"/>
      <c r="E275" s="50"/>
      <c r="F275" s="403">
        <v>2311</v>
      </c>
      <c r="G275" s="406">
        <v>16095</v>
      </c>
      <c r="H275" s="50"/>
      <c r="I275" s="50"/>
      <c r="J275" s="306"/>
    </row>
    <row r="276" spans="2:10">
      <c r="B276" s="413"/>
      <c r="C276" s="414"/>
      <c r="D276" s="414"/>
      <c r="E276" s="50"/>
      <c r="F276" s="403">
        <v>2312</v>
      </c>
      <c r="G276" s="406">
        <v>17491</v>
      </c>
      <c r="H276" s="50"/>
      <c r="I276" s="50"/>
      <c r="J276" s="306"/>
    </row>
    <row r="277" spans="2:10">
      <c r="B277" s="413"/>
      <c r="C277" s="414"/>
      <c r="D277" s="414"/>
      <c r="E277" s="50"/>
      <c r="F277" s="403">
        <v>2314</v>
      </c>
      <c r="G277" s="406">
        <v>13291</v>
      </c>
      <c r="H277" s="50"/>
      <c r="I277" s="50"/>
      <c r="J277" s="306"/>
    </row>
    <row r="278" spans="2:10">
      <c r="B278" s="413"/>
      <c r="C278" s="414"/>
      <c r="D278" s="414"/>
      <c r="E278" s="50"/>
      <c r="F278" s="403">
        <v>2315</v>
      </c>
      <c r="G278" s="406">
        <v>22438</v>
      </c>
      <c r="H278" s="50"/>
      <c r="I278" s="50"/>
      <c r="J278" s="306"/>
    </row>
    <row r="279" spans="2:10">
      <c r="B279" s="413"/>
      <c r="C279" s="414"/>
      <c r="D279" s="414"/>
      <c r="E279" s="50"/>
      <c r="F279" s="403">
        <v>2316</v>
      </c>
      <c r="G279" s="406">
        <v>22438</v>
      </c>
      <c r="H279" s="50"/>
      <c r="I279" s="50"/>
      <c r="J279" s="306"/>
    </row>
    <row r="280" spans="2:10">
      <c r="B280" s="413"/>
      <c r="C280" s="414"/>
      <c r="D280" s="414"/>
      <c r="E280" s="50"/>
      <c r="F280" s="403">
        <v>2317</v>
      </c>
      <c r="G280" s="406">
        <v>22438</v>
      </c>
      <c r="H280" s="50"/>
      <c r="I280" s="50"/>
      <c r="J280" s="306"/>
    </row>
    <row r="281" spans="2:10">
      <c r="B281" s="413"/>
      <c r="C281" s="414"/>
      <c r="D281" s="414"/>
      <c r="E281" s="50"/>
      <c r="F281" s="403">
        <v>2318</v>
      </c>
      <c r="G281" s="406">
        <v>21269</v>
      </c>
      <c r="H281" s="50"/>
      <c r="I281" s="50"/>
      <c r="J281" s="306"/>
    </row>
    <row r="282" spans="2:10">
      <c r="B282" s="413"/>
      <c r="C282" s="414"/>
      <c r="D282" s="414"/>
      <c r="E282" s="50"/>
      <c r="F282" s="403">
        <v>2319</v>
      </c>
      <c r="G282" s="406">
        <v>22438</v>
      </c>
      <c r="H282" s="50"/>
      <c r="I282" s="50"/>
      <c r="J282" s="306"/>
    </row>
    <row r="283" spans="2:10">
      <c r="B283" s="413"/>
      <c r="C283" s="414"/>
      <c r="D283" s="414"/>
      <c r="E283" s="50"/>
      <c r="F283" s="403">
        <v>2320</v>
      </c>
      <c r="G283" s="406">
        <v>15966</v>
      </c>
      <c r="H283" s="50"/>
      <c r="I283" s="50"/>
      <c r="J283" s="306"/>
    </row>
    <row r="284" spans="2:10">
      <c r="B284" s="413"/>
      <c r="C284" s="414"/>
      <c r="D284" s="414"/>
      <c r="E284" s="50"/>
      <c r="F284" s="403">
        <v>2321</v>
      </c>
      <c r="G284" s="406">
        <v>14273</v>
      </c>
      <c r="H284" s="50"/>
      <c r="I284" s="50"/>
      <c r="J284" s="306"/>
    </row>
    <row r="285" spans="2:10">
      <c r="B285" s="413"/>
      <c r="C285" s="414"/>
      <c r="D285" s="414"/>
      <c r="E285" s="50"/>
      <c r="F285" s="403">
        <v>2322</v>
      </c>
      <c r="G285" s="406">
        <v>11736</v>
      </c>
      <c r="H285" s="50"/>
      <c r="I285" s="50"/>
      <c r="J285" s="306"/>
    </row>
    <row r="286" spans="2:10">
      <c r="B286" s="413"/>
      <c r="C286" s="414"/>
      <c r="D286" s="414"/>
      <c r="E286" s="50"/>
      <c r="F286" s="403">
        <v>2323</v>
      </c>
      <c r="G286" s="406">
        <v>13615</v>
      </c>
      <c r="H286" s="50"/>
      <c r="I286" s="50"/>
      <c r="J286" s="306"/>
    </row>
    <row r="287" spans="2:10">
      <c r="B287" s="413"/>
      <c r="C287" s="414"/>
      <c r="D287" s="414"/>
      <c r="E287" s="50"/>
      <c r="F287" s="403">
        <v>2324</v>
      </c>
      <c r="G287" s="406">
        <v>22438</v>
      </c>
      <c r="H287" s="50"/>
      <c r="I287" s="50"/>
      <c r="J287" s="306"/>
    </row>
    <row r="288" spans="2:10">
      <c r="B288" s="413"/>
      <c r="C288" s="414"/>
      <c r="D288" s="414"/>
      <c r="E288" s="50"/>
      <c r="F288" s="403">
        <v>2325</v>
      </c>
      <c r="G288" s="406">
        <v>16916</v>
      </c>
      <c r="H288" s="50"/>
      <c r="I288" s="50"/>
      <c r="J288" s="306"/>
    </row>
    <row r="289" spans="2:10">
      <c r="B289" s="413"/>
      <c r="C289" s="414"/>
      <c r="D289" s="414"/>
      <c r="E289" s="50"/>
      <c r="F289" s="403">
        <v>2326</v>
      </c>
      <c r="G289" s="406">
        <v>15966</v>
      </c>
      <c r="H289" s="50"/>
      <c r="I289" s="50"/>
      <c r="J289" s="306"/>
    </row>
    <row r="290" spans="2:10">
      <c r="B290" s="413"/>
      <c r="C290" s="414"/>
      <c r="D290" s="414"/>
      <c r="E290" s="50"/>
      <c r="F290" s="403">
        <v>2327</v>
      </c>
      <c r="G290" s="406">
        <v>15966</v>
      </c>
      <c r="H290" s="50"/>
      <c r="I290" s="50"/>
      <c r="J290" s="306"/>
    </row>
    <row r="291" spans="2:10">
      <c r="B291" s="413"/>
      <c r="C291" s="414"/>
      <c r="D291" s="414"/>
      <c r="E291" s="50"/>
      <c r="F291" s="403">
        <v>2328</v>
      </c>
      <c r="G291" s="406">
        <v>15842</v>
      </c>
      <c r="H291" s="50"/>
      <c r="I291" s="50"/>
      <c r="J291" s="306"/>
    </row>
    <row r="292" spans="2:10">
      <c r="B292" s="413"/>
      <c r="C292" s="414"/>
      <c r="D292" s="414"/>
      <c r="E292" s="50"/>
      <c r="F292" s="403">
        <v>2329</v>
      </c>
      <c r="G292" s="406">
        <v>16685</v>
      </c>
      <c r="H292" s="50"/>
      <c r="I292" s="50"/>
      <c r="J292" s="306"/>
    </row>
    <row r="293" spans="2:10">
      <c r="B293" s="413"/>
      <c r="C293" s="414"/>
      <c r="D293" s="414"/>
      <c r="E293" s="50"/>
      <c r="F293" s="403">
        <v>2330</v>
      </c>
      <c r="G293" s="406">
        <v>16100</v>
      </c>
      <c r="H293" s="50"/>
      <c r="I293" s="50"/>
      <c r="J293" s="306"/>
    </row>
    <row r="294" spans="2:10">
      <c r="B294" s="413"/>
      <c r="C294" s="414"/>
      <c r="D294" s="414"/>
      <c r="E294" s="50"/>
      <c r="F294" s="403">
        <v>2331</v>
      </c>
      <c r="G294" s="406">
        <v>16058</v>
      </c>
      <c r="H294" s="50"/>
      <c r="I294" s="50"/>
      <c r="J294" s="306"/>
    </row>
    <row r="295" spans="2:10">
      <c r="B295" s="413"/>
      <c r="C295" s="414"/>
      <c r="D295" s="414"/>
      <c r="E295" s="50"/>
      <c r="F295" s="403">
        <v>2333</v>
      </c>
      <c r="G295" s="406">
        <v>15619</v>
      </c>
      <c r="H295" s="50"/>
      <c r="I295" s="50"/>
      <c r="J295" s="306"/>
    </row>
    <row r="296" spans="2:10">
      <c r="B296" s="413"/>
      <c r="C296" s="414"/>
      <c r="D296" s="414"/>
      <c r="E296" s="50"/>
      <c r="F296" s="403">
        <v>2334</v>
      </c>
      <c r="G296" s="406">
        <v>15966</v>
      </c>
      <c r="H296" s="50"/>
      <c r="I296" s="50"/>
      <c r="J296" s="306"/>
    </row>
    <row r="297" spans="2:10">
      <c r="B297" s="413"/>
      <c r="C297" s="414"/>
      <c r="D297" s="414"/>
      <c r="E297" s="50"/>
      <c r="F297" s="403">
        <v>2335</v>
      </c>
      <c r="G297" s="406">
        <v>16311</v>
      </c>
      <c r="H297" s="50"/>
      <c r="I297" s="50"/>
      <c r="J297" s="306"/>
    </row>
    <row r="298" spans="2:10">
      <c r="B298" s="413"/>
      <c r="C298" s="414"/>
      <c r="D298" s="414"/>
      <c r="E298" s="50"/>
      <c r="F298" s="403">
        <v>2336</v>
      </c>
      <c r="G298" s="406">
        <v>15148</v>
      </c>
      <c r="H298" s="50"/>
      <c r="I298" s="50"/>
      <c r="J298" s="306"/>
    </row>
    <row r="299" spans="2:10">
      <c r="B299" s="413"/>
      <c r="C299" s="414"/>
      <c r="D299" s="414"/>
      <c r="E299" s="50"/>
      <c r="F299" s="403">
        <v>2337</v>
      </c>
      <c r="G299" s="406">
        <v>15084</v>
      </c>
      <c r="H299" s="50"/>
      <c r="I299" s="50"/>
      <c r="J299" s="306"/>
    </row>
    <row r="300" spans="2:10">
      <c r="B300" s="413"/>
      <c r="C300" s="414"/>
      <c r="D300" s="414"/>
      <c r="E300" s="50"/>
      <c r="F300" s="403">
        <v>2338</v>
      </c>
      <c r="G300" s="406">
        <v>14348</v>
      </c>
      <c r="H300" s="50"/>
      <c r="I300" s="50"/>
      <c r="J300" s="306"/>
    </row>
    <row r="301" spans="2:10">
      <c r="B301" s="413"/>
      <c r="C301" s="414"/>
      <c r="D301" s="414"/>
      <c r="E301" s="50"/>
      <c r="F301" s="403">
        <v>2339</v>
      </c>
      <c r="G301" s="406">
        <v>16408</v>
      </c>
      <c r="H301" s="50"/>
      <c r="I301" s="50"/>
      <c r="J301" s="306"/>
    </row>
    <row r="302" spans="2:10">
      <c r="B302" s="413"/>
      <c r="C302" s="414"/>
      <c r="D302" s="414"/>
      <c r="E302" s="50"/>
      <c r="F302" s="403">
        <v>2340</v>
      </c>
      <c r="G302" s="406">
        <v>14255</v>
      </c>
      <c r="H302" s="50"/>
      <c r="I302" s="50"/>
      <c r="J302" s="306"/>
    </row>
    <row r="303" spans="2:10">
      <c r="B303" s="413"/>
      <c r="C303" s="414"/>
      <c r="D303" s="414"/>
      <c r="E303" s="50"/>
      <c r="F303" s="403">
        <v>2341</v>
      </c>
      <c r="G303" s="406">
        <v>14706</v>
      </c>
      <c r="H303" s="50"/>
      <c r="I303" s="50"/>
      <c r="J303" s="306"/>
    </row>
    <row r="304" spans="2:10">
      <c r="B304" s="413"/>
      <c r="C304" s="414"/>
      <c r="D304" s="414"/>
      <c r="E304" s="50"/>
      <c r="F304" s="403">
        <v>2342</v>
      </c>
      <c r="G304" s="406">
        <v>14261</v>
      </c>
      <c r="H304" s="50"/>
      <c r="I304" s="50"/>
      <c r="J304" s="306"/>
    </row>
    <row r="305" spans="2:10">
      <c r="B305" s="413"/>
      <c r="C305" s="414"/>
      <c r="D305" s="414"/>
      <c r="E305" s="50"/>
      <c r="F305" s="403">
        <v>2343</v>
      </c>
      <c r="G305" s="406">
        <v>19331</v>
      </c>
      <c r="H305" s="50"/>
      <c r="I305" s="50"/>
      <c r="J305" s="306"/>
    </row>
    <row r="306" spans="2:10">
      <c r="B306" s="413"/>
      <c r="C306" s="414"/>
      <c r="D306" s="414"/>
      <c r="E306" s="50"/>
      <c r="F306" s="403">
        <v>2344</v>
      </c>
      <c r="G306" s="406">
        <v>14261</v>
      </c>
      <c r="H306" s="50"/>
      <c r="I306" s="50"/>
      <c r="J306" s="306"/>
    </row>
    <row r="307" spans="2:10">
      <c r="B307" s="413"/>
      <c r="C307" s="414"/>
      <c r="D307" s="414"/>
      <c r="E307" s="50"/>
      <c r="F307" s="403">
        <v>2345</v>
      </c>
      <c r="G307" s="406">
        <v>14218</v>
      </c>
      <c r="H307" s="50"/>
      <c r="I307" s="50"/>
      <c r="J307" s="306"/>
    </row>
    <row r="308" spans="2:10">
      <c r="B308" s="413"/>
      <c r="C308" s="414"/>
      <c r="D308" s="414"/>
      <c r="E308" s="50"/>
      <c r="F308" s="403">
        <v>2346</v>
      </c>
      <c r="G308" s="406">
        <v>14631</v>
      </c>
      <c r="H308" s="50"/>
      <c r="I308" s="50"/>
      <c r="J308" s="306"/>
    </row>
    <row r="309" spans="2:10">
      <c r="B309" s="413"/>
      <c r="C309" s="414"/>
      <c r="D309" s="414"/>
      <c r="E309" s="50"/>
      <c r="F309" s="403">
        <v>2347</v>
      </c>
      <c r="G309" s="406">
        <v>16420</v>
      </c>
      <c r="H309" s="50"/>
      <c r="I309" s="50"/>
      <c r="J309" s="306"/>
    </row>
    <row r="310" spans="2:10">
      <c r="B310" s="413"/>
      <c r="C310" s="414"/>
      <c r="D310" s="414"/>
      <c r="E310" s="50"/>
      <c r="F310" s="403">
        <v>2350</v>
      </c>
      <c r="G310" s="406">
        <v>12453</v>
      </c>
      <c r="H310" s="50"/>
      <c r="I310" s="50"/>
      <c r="J310" s="306"/>
    </row>
    <row r="311" spans="2:10">
      <c r="B311" s="413"/>
      <c r="C311" s="414"/>
      <c r="D311" s="414"/>
      <c r="E311" s="50"/>
      <c r="F311" s="403">
        <v>2351</v>
      </c>
      <c r="G311" s="406">
        <v>12077</v>
      </c>
      <c r="H311" s="50"/>
      <c r="I311" s="50"/>
      <c r="J311" s="306"/>
    </row>
    <row r="312" spans="2:10">
      <c r="B312" s="413"/>
      <c r="C312" s="414"/>
      <c r="D312" s="414"/>
      <c r="E312" s="50"/>
      <c r="F312" s="403">
        <v>2352</v>
      </c>
      <c r="G312" s="406">
        <v>14210</v>
      </c>
      <c r="H312" s="50"/>
      <c r="I312" s="50"/>
      <c r="J312" s="306"/>
    </row>
    <row r="313" spans="2:10">
      <c r="B313" s="413"/>
      <c r="C313" s="414"/>
      <c r="D313" s="414"/>
      <c r="E313" s="50"/>
      <c r="F313" s="403">
        <v>2353</v>
      </c>
      <c r="G313" s="406">
        <v>14210</v>
      </c>
      <c r="H313" s="50"/>
      <c r="I313" s="50"/>
      <c r="J313" s="306"/>
    </row>
    <row r="314" spans="2:10">
      <c r="B314" s="413"/>
      <c r="C314" s="414"/>
      <c r="D314" s="414"/>
      <c r="E314" s="50"/>
      <c r="F314" s="403">
        <v>2354</v>
      </c>
      <c r="G314" s="406">
        <v>15989</v>
      </c>
      <c r="H314" s="50"/>
      <c r="I314" s="50"/>
      <c r="J314" s="306"/>
    </row>
    <row r="315" spans="2:10">
      <c r="B315" s="413"/>
      <c r="C315" s="414"/>
      <c r="D315" s="414"/>
      <c r="E315" s="50"/>
      <c r="F315" s="403">
        <v>2355</v>
      </c>
      <c r="G315" s="406">
        <v>13223</v>
      </c>
      <c r="H315" s="50"/>
      <c r="I315" s="50"/>
      <c r="J315" s="306"/>
    </row>
    <row r="316" spans="2:10">
      <c r="B316" s="413"/>
      <c r="C316" s="414"/>
      <c r="D316" s="414"/>
      <c r="E316" s="50"/>
      <c r="F316" s="403">
        <v>2356</v>
      </c>
      <c r="G316" s="406">
        <v>20884</v>
      </c>
      <c r="H316" s="50"/>
      <c r="I316" s="50"/>
      <c r="J316" s="306"/>
    </row>
    <row r="317" spans="2:10">
      <c r="B317" s="413"/>
      <c r="C317" s="414"/>
      <c r="D317" s="414"/>
      <c r="E317" s="50"/>
      <c r="F317" s="403">
        <v>2357</v>
      </c>
      <c r="G317" s="406">
        <v>20632</v>
      </c>
      <c r="H317" s="50"/>
      <c r="I317" s="50"/>
      <c r="J317" s="306"/>
    </row>
    <row r="318" spans="2:10">
      <c r="B318" s="413"/>
      <c r="C318" s="414"/>
      <c r="D318" s="414"/>
      <c r="E318" s="50"/>
      <c r="F318" s="403">
        <v>2358</v>
      </c>
      <c r="G318" s="406">
        <v>12077</v>
      </c>
      <c r="H318" s="50"/>
      <c r="I318" s="50"/>
      <c r="J318" s="306"/>
    </row>
    <row r="319" spans="2:10">
      <c r="B319" s="413"/>
      <c r="C319" s="414"/>
      <c r="D319" s="414"/>
      <c r="E319" s="50"/>
      <c r="F319" s="403">
        <v>2359</v>
      </c>
      <c r="G319" s="406">
        <v>13330</v>
      </c>
      <c r="H319" s="50"/>
      <c r="I319" s="50"/>
      <c r="J319" s="306"/>
    </row>
    <row r="320" spans="2:10">
      <c r="B320" s="413"/>
      <c r="C320" s="414"/>
      <c r="D320" s="414"/>
      <c r="E320" s="50"/>
      <c r="F320" s="403">
        <v>2360</v>
      </c>
      <c r="G320" s="406">
        <v>13948</v>
      </c>
      <c r="H320" s="50"/>
      <c r="I320" s="50"/>
      <c r="J320" s="306"/>
    </row>
    <row r="321" spans="2:10">
      <c r="B321" s="413"/>
      <c r="C321" s="414"/>
      <c r="D321" s="414"/>
      <c r="E321" s="50"/>
      <c r="F321" s="403">
        <v>2361</v>
      </c>
      <c r="G321" s="406">
        <v>14051</v>
      </c>
      <c r="H321" s="50"/>
      <c r="I321" s="50"/>
      <c r="J321" s="306"/>
    </row>
    <row r="322" spans="2:10">
      <c r="B322" s="413"/>
      <c r="C322" s="414"/>
      <c r="D322" s="414"/>
      <c r="E322" s="50"/>
      <c r="F322" s="403">
        <v>2365</v>
      </c>
      <c r="G322" s="406">
        <v>12508</v>
      </c>
      <c r="H322" s="50"/>
      <c r="I322" s="50"/>
      <c r="J322" s="306"/>
    </row>
    <row r="323" spans="2:10">
      <c r="B323" s="413"/>
      <c r="C323" s="414"/>
      <c r="D323" s="414"/>
      <c r="E323" s="50"/>
      <c r="F323" s="403">
        <v>2369</v>
      </c>
      <c r="G323" s="406">
        <v>13687</v>
      </c>
      <c r="H323" s="50"/>
      <c r="I323" s="50"/>
      <c r="J323" s="306"/>
    </row>
    <row r="324" spans="2:10">
      <c r="B324" s="413"/>
      <c r="C324" s="414"/>
      <c r="D324" s="414"/>
      <c r="E324" s="50"/>
      <c r="F324" s="403">
        <v>2370</v>
      </c>
      <c r="G324" s="406">
        <v>13386</v>
      </c>
      <c r="H324" s="50"/>
      <c r="I324" s="50"/>
      <c r="J324" s="306"/>
    </row>
    <row r="325" spans="2:10">
      <c r="B325" s="413"/>
      <c r="C325" s="414"/>
      <c r="D325" s="414"/>
      <c r="E325" s="50"/>
      <c r="F325" s="403">
        <v>2371</v>
      </c>
      <c r="G325" s="406">
        <v>13245</v>
      </c>
      <c r="H325" s="50"/>
      <c r="I325" s="50"/>
      <c r="J325" s="306"/>
    </row>
    <row r="326" spans="2:10">
      <c r="B326" s="413"/>
      <c r="C326" s="414"/>
      <c r="D326" s="414"/>
      <c r="E326" s="50"/>
      <c r="F326" s="403">
        <v>2372</v>
      </c>
      <c r="G326" s="406">
        <v>9451</v>
      </c>
      <c r="H326" s="50"/>
      <c r="I326" s="50"/>
      <c r="J326" s="306"/>
    </row>
    <row r="327" spans="2:10">
      <c r="B327" s="413"/>
      <c r="C327" s="414"/>
      <c r="D327" s="414"/>
      <c r="E327" s="50"/>
      <c r="F327" s="403">
        <v>2379</v>
      </c>
      <c r="G327" s="406">
        <v>20593</v>
      </c>
      <c r="H327" s="50"/>
      <c r="I327" s="50"/>
      <c r="J327" s="306"/>
    </row>
    <row r="328" spans="2:10">
      <c r="B328" s="413"/>
      <c r="C328" s="414"/>
      <c r="D328" s="414"/>
      <c r="E328" s="50"/>
      <c r="F328" s="403">
        <v>2380</v>
      </c>
      <c r="G328" s="406">
        <v>19948</v>
      </c>
      <c r="H328" s="50"/>
      <c r="I328" s="50"/>
      <c r="J328" s="306"/>
    </row>
    <row r="329" spans="2:10">
      <c r="B329" s="413"/>
      <c r="C329" s="414"/>
      <c r="D329" s="414"/>
      <c r="E329" s="50"/>
      <c r="F329" s="403">
        <v>2381</v>
      </c>
      <c r="G329" s="406">
        <v>19127</v>
      </c>
      <c r="H329" s="50"/>
      <c r="I329" s="50"/>
      <c r="J329" s="306"/>
    </row>
    <row r="330" spans="2:10">
      <c r="B330" s="413"/>
      <c r="C330" s="414"/>
      <c r="D330" s="414"/>
      <c r="E330" s="50"/>
      <c r="F330" s="403">
        <v>2382</v>
      </c>
      <c r="G330" s="406">
        <v>18429</v>
      </c>
      <c r="H330" s="50"/>
      <c r="I330" s="50"/>
      <c r="J330" s="306"/>
    </row>
    <row r="331" spans="2:10">
      <c r="B331" s="413"/>
      <c r="C331" s="414"/>
      <c r="D331" s="414"/>
      <c r="E331" s="50"/>
      <c r="F331" s="403">
        <v>2386</v>
      </c>
      <c r="G331" s="406">
        <v>18407</v>
      </c>
      <c r="H331" s="50"/>
      <c r="I331" s="50"/>
      <c r="J331" s="306"/>
    </row>
    <row r="332" spans="2:10">
      <c r="B332" s="413"/>
      <c r="C332" s="414"/>
      <c r="D332" s="414"/>
      <c r="E332" s="50"/>
      <c r="F332" s="403">
        <v>2387</v>
      </c>
      <c r="G332" s="406">
        <v>16945</v>
      </c>
      <c r="H332" s="50"/>
      <c r="I332" s="50"/>
      <c r="J332" s="306"/>
    </row>
    <row r="333" spans="2:10">
      <c r="B333" s="413"/>
      <c r="C333" s="414"/>
      <c r="D333" s="414"/>
      <c r="E333" s="50"/>
      <c r="F333" s="403">
        <v>2388</v>
      </c>
      <c r="G333" s="406">
        <v>18614</v>
      </c>
      <c r="H333" s="50"/>
      <c r="I333" s="50"/>
      <c r="J333" s="306"/>
    </row>
    <row r="334" spans="2:10">
      <c r="B334" s="413"/>
      <c r="C334" s="414"/>
      <c r="D334" s="414"/>
      <c r="E334" s="50"/>
      <c r="F334" s="403">
        <v>2390</v>
      </c>
      <c r="G334" s="406">
        <v>16986</v>
      </c>
      <c r="H334" s="50"/>
      <c r="I334" s="50"/>
      <c r="J334" s="306"/>
    </row>
    <row r="335" spans="2:10">
      <c r="B335" s="413"/>
      <c r="C335" s="414"/>
      <c r="D335" s="414"/>
      <c r="E335" s="50"/>
      <c r="F335" s="403">
        <v>2395</v>
      </c>
      <c r="G335" s="406">
        <v>20212</v>
      </c>
      <c r="H335" s="50"/>
      <c r="I335" s="50"/>
      <c r="J335" s="306"/>
    </row>
    <row r="336" spans="2:10">
      <c r="B336" s="413"/>
      <c r="C336" s="414"/>
      <c r="D336" s="414"/>
      <c r="E336" s="50"/>
      <c r="F336" s="403">
        <v>2396</v>
      </c>
      <c r="G336" s="406">
        <v>20884</v>
      </c>
      <c r="H336" s="50"/>
      <c r="I336" s="50"/>
      <c r="J336" s="306"/>
    </row>
    <row r="337" spans="2:10">
      <c r="B337" s="413"/>
      <c r="C337" s="414"/>
      <c r="D337" s="414"/>
      <c r="E337" s="50"/>
      <c r="F337" s="403">
        <v>2397</v>
      </c>
      <c r="G337" s="406">
        <v>16762</v>
      </c>
      <c r="H337" s="50"/>
      <c r="I337" s="50"/>
      <c r="J337" s="306"/>
    </row>
    <row r="338" spans="2:10">
      <c r="B338" s="413"/>
      <c r="C338" s="414"/>
      <c r="D338" s="414"/>
      <c r="E338" s="50"/>
      <c r="F338" s="403">
        <v>2398</v>
      </c>
      <c r="G338" s="406">
        <v>16902</v>
      </c>
      <c r="H338" s="50"/>
      <c r="I338" s="50"/>
      <c r="J338" s="306"/>
    </row>
    <row r="339" spans="2:10">
      <c r="B339" s="413"/>
      <c r="C339" s="414"/>
      <c r="D339" s="414"/>
      <c r="E339" s="50"/>
      <c r="F339" s="403">
        <v>2399</v>
      </c>
      <c r="G339" s="406">
        <v>16599</v>
      </c>
      <c r="H339" s="50"/>
      <c r="I339" s="50"/>
      <c r="J339" s="306"/>
    </row>
    <row r="340" spans="2:10">
      <c r="B340" s="413"/>
      <c r="C340" s="414"/>
      <c r="D340" s="414"/>
      <c r="E340" s="50"/>
      <c r="F340" s="403">
        <v>2400</v>
      </c>
      <c r="G340" s="406">
        <v>16902</v>
      </c>
      <c r="H340" s="50"/>
      <c r="I340" s="50"/>
      <c r="J340" s="306"/>
    </row>
    <row r="341" spans="2:10">
      <c r="B341" s="413"/>
      <c r="C341" s="414"/>
      <c r="D341" s="414"/>
      <c r="E341" s="50"/>
      <c r="F341" s="403">
        <v>2401</v>
      </c>
      <c r="G341" s="406">
        <v>16599</v>
      </c>
      <c r="H341" s="50"/>
      <c r="I341" s="50"/>
      <c r="J341" s="306"/>
    </row>
    <row r="342" spans="2:10">
      <c r="B342" s="413"/>
      <c r="C342" s="414"/>
      <c r="D342" s="414"/>
      <c r="E342" s="50"/>
      <c r="F342" s="403">
        <v>2402</v>
      </c>
      <c r="G342" s="406">
        <v>14263</v>
      </c>
      <c r="H342" s="50"/>
      <c r="I342" s="50"/>
      <c r="J342" s="306"/>
    </row>
    <row r="343" spans="2:10">
      <c r="B343" s="413"/>
      <c r="C343" s="414"/>
      <c r="D343" s="414"/>
      <c r="E343" s="50"/>
      <c r="F343" s="403">
        <v>2403</v>
      </c>
      <c r="G343" s="406">
        <v>14275</v>
      </c>
      <c r="H343" s="50"/>
      <c r="I343" s="50"/>
      <c r="J343" s="306"/>
    </row>
    <row r="344" spans="2:10">
      <c r="B344" s="413"/>
      <c r="C344" s="414"/>
      <c r="D344" s="414"/>
      <c r="E344" s="50"/>
      <c r="F344" s="403">
        <v>2404</v>
      </c>
      <c r="G344" s="406">
        <v>14439</v>
      </c>
      <c r="H344" s="50"/>
      <c r="I344" s="50"/>
      <c r="J344" s="306"/>
    </row>
    <row r="345" spans="2:10">
      <c r="B345" s="413"/>
      <c r="C345" s="414"/>
      <c r="D345" s="414"/>
      <c r="E345" s="50"/>
      <c r="F345" s="403">
        <v>2405</v>
      </c>
      <c r="G345" s="406">
        <v>16945</v>
      </c>
      <c r="H345" s="50"/>
      <c r="I345" s="50"/>
      <c r="J345" s="306"/>
    </row>
    <row r="346" spans="2:10">
      <c r="B346" s="413"/>
      <c r="C346" s="414"/>
      <c r="D346" s="414"/>
      <c r="E346" s="50"/>
      <c r="F346" s="403">
        <v>2406</v>
      </c>
      <c r="G346" s="406">
        <v>16945</v>
      </c>
      <c r="H346" s="50"/>
      <c r="I346" s="50"/>
      <c r="J346" s="306"/>
    </row>
    <row r="347" spans="2:10">
      <c r="B347" s="413"/>
      <c r="C347" s="414"/>
      <c r="D347" s="414"/>
      <c r="E347" s="50"/>
      <c r="F347" s="403">
        <v>2408</v>
      </c>
      <c r="G347" s="406">
        <v>14512</v>
      </c>
      <c r="H347" s="50"/>
      <c r="I347" s="50"/>
      <c r="J347" s="306"/>
    </row>
    <row r="348" spans="2:10">
      <c r="B348" s="413"/>
      <c r="C348" s="414"/>
      <c r="D348" s="414"/>
      <c r="E348" s="50"/>
      <c r="F348" s="403">
        <v>2409</v>
      </c>
      <c r="G348" s="406">
        <v>16880</v>
      </c>
      <c r="H348" s="50"/>
      <c r="I348" s="50"/>
      <c r="J348" s="306"/>
    </row>
    <row r="349" spans="2:10">
      <c r="B349" s="413"/>
      <c r="C349" s="414"/>
      <c r="D349" s="414"/>
      <c r="E349" s="50"/>
      <c r="F349" s="403">
        <v>2410</v>
      </c>
      <c r="G349" s="406">
        <v>14051</v>
      </c>
      <c r="H349" s="50"/>
      <c r="I349" s="50"/>
      <c r="J349" s="306"/>
    </row>
    <row r="350" spans="2:10">
      <c r="B350" s="413"/>
      <c r="C350" s="414"/>
      <c r="D350" s="414"/>
      <c r="E350" s="50"/>
      <c r="F350" s="403">
        <v>2411</v>
      </c>
      <c r="G350" s="406">
        <v>16902</v>
      </c>
      <c r="H350" s="50"/>
      <c r="I350" s="50"/>
      <c r="J350" s="306"/>
    </row>
    <row r="351" spans="2:10">
      <c r="B351" s="413"/>
      <c r="C351" s="414"/>
      <c r="D351" s="414"/>
      <c r="E351" s="50"/>
      <c r="F351" s="403">
        <v>2415</v>
      </c>
      <c r="G351" s="406">
        <v>19490</v>
      </c>
      <c r="H351" s="50"/>
      <c r="I351" s="50"/>
      <c r="J351" s="306"/>
    </row>
    <row r="352" spans="2:10">
      <c r="B352" s="413"/>
      <c r="C352" s="414"/>
      <c r="D352" s="414"/>
      <c r="E352" s="50"/>
      <c r="F352" s="403">
        <v>2420</v>
      </c>
      <c r="G352" s="406">
        <v>19512</v>
      </c>
      <c r="H352" s="50"/>
      <c r="I352" s="50"/>
      <c r="J352" s="306"/>
    </row>
    <row r="353" spans="2:10">
      <c r="B353" s="413"/>
      <c r="C353" s="414"/>
      <c r="D353" s="414"/>
      <c r="E353" s="50"/>
      <c r="F353" s="403">
        <v>2421</v>
      </c>
      <c r="G353" s="406">
        <v>15611</v>
      </c>
      <c r="H353" s="50"/>
      <c r="I353" s="50"/>
      <c r="J353" s="306"/>
    </row>
    <row r="354" spans="2:10">
      <c r="B354" s="413"/>
      <c r="C354" s="414"/>
      <c r="D354" s="414"/>
      <c r="E354" s="50"/>
      <c r="F354" s="403">
        <v>2422</v>
      </c>
      <c r="G354" s="406">
        <v>17533</v>
      </c>
      <c r="H354" s="50"/>
      <c r="I354" s="50"/>
      <c r="J354" s="306"/>
    </row>
    <row r="355" spans="2:10">
      <c r="B355" s="413"/>
      <c r="C355" s="414"/>
      <c r="D355" s="414"/>
      <c r="E355" s="50"/>
      <c r="F355" s="403">
        <v>2423</v>
      </c>
      <c r="G355" s="406">
        <v>18880</v>
      </c>
      <c r="H355" s="50"/>
      <c r="I355" s="50"/>
      <c r="J355" s="306"/>
    </row>
    <row r="356" spans="2:10">
      <c r="B356" s="413"/>
      <c r="C356" s="414"/>
      <c r="D356" s="414"/>
      <c r="E356" s="50"/>
      <c r="F356" s="403">
        <v>2424</v>
      </c>
      <c r="G356" s="406">
        <v>16938</v>
      </c>
      <c r="H356" s="50"/>
      <c r="I356" s="50"/>
      <c r="J356" s="306"/>
    </row>
    <row r="357" spans="2:10">
      <c r="B357" s="413"/>
      <c r="C357" s="414"/>
      <c r="D357" s="414"/>
      <c r="E357" s="50"/>
      <c r="F357" s="403">
        <v>2425</v>
      </c>
      <c r="G357" s="406">
        <v>22367</v>
      </c>
      <c r="H357" s="50"/>
      <c r="I357" s="50"/>
      <c r="J357" s="306"/>
    </row>
    <row r="358" spans="2:10">
      <c r="B358" s="413"/>
      <c r="C358" s="414"/>
      <c r="D358" s="414"/>
      <c r="E358" s="50"/>
      <c r="F358" s="403">
        <v>2426</v>
      </c>
      <c r="G358" s="406">
        <v>16790</v>
      </c>
      <c r="H358" s="50"/>
      <c r="I358" s="50"/>
      <c r="J358" s="306"/>
    </row>
    <row r="359" spans="2:10">
      <c r="B359" s="413"/>
      <c r="C359" s="414"/>
      <c r="D359" s="414"/>
      <c r="E359" s="50"/>
      <c r="F359" s="403">
        <v>2427</v>
      </c>
      <c r="G359" s="406">
        <v>16770</v>
      </c>
      <c r="H359" s="50"/>
      <c r="I359" s="50"/>
      <c r="J359" s="306"/>
    </row>
    <row r="360" spans="2:10">
      <c r="B360" s="413"/>
      <c r="C360" s="414"/>
      <c r="D360" s="414"/>
      <c r="E360" s="50"/>
      <c r="F360" s="403">
        <v>2428</v>
      </c>
      <c r="G360" s="406">
        <v>18028</v>
      </c>
      <c r="H360" s="50"/>
      <c r="I360" s="50"/>
      <c r="J360" s="306"/>
    </row>
    <row r="361" spans="2:10">
      <c r="B361" s="413"/>
      <c r="C361" s="414"/>
      <c r="D361" s="414"/>
      <c r="E361" s="50"/>
      <c r="F361" s="403">
        <v>2429</v>
      </c>
      <c r="G361" s="406">
        <v>16795</v>
      </c>
      <c r="H361" s="50"/>
      <c r="I361" s="50"/>
      <c r="J361" s="306"/>
    </row>
    <row r="362" spans="2:10">
      <c r="B362" s="413"/>
      <c r="C362" s="414"/>
      <c r="D362" s="414"/>
      <c r="E362" s="50"/>
      <c r="F362" s="403">
        <v>2430</v>
      </c>
      <c r="G362" s="406">
        <v>16858</v>
      </c>
      <c r="H362" s="50"/>
      <c r="I362" s="50"/>
      <c r="J362" s="306"/>
    </row>
    <row r="363" spans="2:10">
      <c r="B363" s="413"/>
      <c r="C363" s="414"/>
      <c r="D363" s="414"/>
      <c r="E363" s="50"/>
      <c r="F363" s="403">
        <v>2431</v>
      </c>
      <c r="G363" s="406">
        <v>15002</v>
      </c>
      <c r="H363" s="50"/>
      <c r="I363" s="50"/>
      <c r="J363" s="306"/>
    </row>
    <row r="364" spans="2:10">
      <c r="B364" s="413"/>
      <c r="C364" s="414"/>
      <c r="D364" s="414"/>
      <c r="E364" s="50"/>
      <c r="F364" s="403">
        <v>2439</v>
      </c>
      <c r="G364" s="406">
        <v>16605</v>
      </c>
      <c r="H364" s="50"/>
      <c r="I364" s="50"/>
      <c r="J364" s="306"/>
    </row>
    <row r="365" spans="2:10">
      <c r="B365" s="413"/>
      <c r="C365" s="414"/>
      <c r="D365" s="414"/>
      <c r="E365" s="50"/>
      <c r="F365" s="403">
        <v>2440</v>
      </c>
      <c r="G365" s="406">
        <v>15876</v>
      </c>
      <c r="H365" s="50"/>
      <c r="I365" s="50"/>
      <c r="J365" s="306"/>
    </row>
    <row r="366" spans="2:10">
      <c r="B366" s="413"/>
      <c r="C366" s="414"/>
      <c r="D366" s="414"/>
      <c r="E366" s="50"/>
      <c r="F366" s="403">
        <v>2441</v>
      </c>
      <c r="G366" s="406">
        <v>16518</v>
      </c>
      <c r="H366" s="50"/>
      <c r="I366" s="50"/>
      <c r="J366" s="306"/>
    </row>
    <row r="367" spans="2:10">
      <c r="B367" s="413"/>
      <c r="C367" s="414"/>
      <c r="D367" s="414"/>
      <c r="E367" s="50"/>
      <c r="F367" s="403">
        <v>2443</v>
      </c>
      <c r="G367" s="406">
        <v>16770</v>
      </c>
      <c r="H367" s="50"/>
      <c r="I367" s="50"/>
      <c r="J367" s="306"/>
    </row>
    <row r="368" spans="2:10">
      <c r="B368" s="413"/>
      <c r="C368" s="414"/>
      <c r="D368" s="414"/>
      <c r="E368" s="50"/>
      <c r="F368" s="403">
        <v>2444</v>
      </c>
      <c r="G368" s="406">
        <v>16598</v>
      </c>
      <c r="H368" s="50"/>
      <c r="I368" s="50"/>
      <c r="J368" s="306"/>
    </row>
    <row r="369" spans="2:10">
      <c r="B369" s="413"/>
      <c r="C369" s="414"/>
      <c r="D369" s="414"/>
      <c r="E369" s="50"/>
      <c r="F369" s="403">
        <v>2445</v>
      </c>
      <c r="G369" s="406">
        <v>16605</v>
      </c>
      <c r="H369" s="50"/>
      <c r="I369" s="50"/>
      <c r="J369" s="306"/>
    </row>
    <row r="370" spans="2:10">
      <c r="B370" s="413"/>
      <c r="C370" s="414"/>
      <c r="D370" s="414"/>
      <c r="E370" s="50"/>
      <c r="F370" s="403">
        <v>2446</v>
      </c>
      <c r="G370" s="406">
        <v>16598</v>
      </c>
      <c r="H370" s="50"/>
      <c r="I370" s="50"/>
      <c r="J370" s="306"/>
    </row>
    <row r="371" spans="2:10">
      <c r="B371" s="413"/>
      <c r="C371" s="414"/>
      <c r="D371" s="414"/>
      <c r="E371" s="50"/>
      <c r="F371" s="403">
        <v>2447</v>
      </c>
      <c r="G371" s="406">
        <v>14554</v>
      </c>
      <c r="H371" s="50"/>
      <c r="I371" s="50"/>
      <c r="J371" s="306"/>
    </row>
    <row r="372" spans="2:10">
      <c r="B372" s="413"/>
      <c r="C372" s="414"/>
      <c r="D372" s="414"/>
      <c r="E372" s="50"/>
      <c r="F372" s="403">
        <v>2448</v>
      </c>
      <c r="G372" s="406">
        <v>14623</v>
      </c>
      <c r="H372" s="50"/>
      <c r="I372" s="50"/>
      <c r="J372" s="306"/>
    </row>
    <row r="373" spans="2:10">
      <c r="B373" s="413"/>
      <c r="C373" s="414"/>
      <c r="D373" s="414"/>
      <c r="E373" s="50"/>
      <c r="F373" s="403">
        <v>2449</v>
      </c>
      <c r="G373" s="406">
        <v>14542</v>
      </c>
      <c r="H373" s="50"/>
      <c r="I373" s="50"/>
      <c r="J373" s="306"/>
    </row>
    <row r="374" spans="2:10">
      <c r="B374" s="413"/>
      <c r="C374" s="414"/>
      <c r="D374" s="414"/>
      <c r="E374" s="50"/>
      <c r="F374" s="403">
        <v>2450</v>
      </c>
      <c r="G374" s="406">
        <v>14776</v>
      </c>
      <c r="H374" s="50"/>
      <c r="I374" s="50"/>
      <c r="J374" s="306"/>
    </row>
    <row r="375" spans="2:10">
      <c r="B375" s="413"/>
      <c r="C375" s="414"/>
      <c r="D375" s="414"/>
      <c r="E375" s="50"/>
      <c r="F375" s="403">
        <v>2452</v>
      </c>
      <c r="G375" s="406">
        <v>14689</v>
      </c>
      <c r="H375" s="50"/>
      <c r="I375" s="50"/>
      <c r="J375" s="306"/>
    </row>
    <row r="376" spans="2:10">
      <c r="B376" s="413"/>
      <c r="C376" s="414"/>
      <c r="D376" s="414"/>
      <c r="E376" s="50"/>
      <c r="F376" s="403">
        <v>2453</v>
      </c>
      <c r="G376" s="406">
        <v>14757</v>
      </c>
      <c r="H376" s="50"/>
      <c r="I376" s="50"/>
      <c r="J376" s="306"/>
    </row>
    <row r="377" spans="2:10">
      <c r="B377" s="413"/>
      <c r="C377" s="414"/>
      <c r="D377" s="414"/>
      <c r="E377" s="50"/>
      <c r="F377" s="403">
        <v>2454</v>
      </c>
      <c r="G377" s="406">
        <v>14652</v>
      </c>
      <c r="H377" s="50"/>
      <c r="I377" s="50"/>
      <c r="J377" s="306"/>
    </row>
    <row r="378" spans="2:10">
      <c r="B378" s="413"/>
      <c r="C378" s="414"/>
      <c r="D378" s="414"/>
      <c r="E378" s="50"/>
      <c r="F378" s="403">
        <v>2455</v>
      </c>
      <c r="G378" s="406">
        <v>14623</v>
      </c>
      <c r="H378" s="50"/>
      <c r="I378" s="50"/>
      <c r="J378" s="306"/>
    </row>
    <row r="379" spans="2:10">
      <c r="B379" s="413"/>
      <c r="C379" s="414"/>
      <c r="D379" s="414"/>
      <c r="E379" s="50"/>
      <c r="F379" s="403">
        <v>2456</v>
      </c>
      <c r="G379" s="406">
        <v>14784</v>
      </c>
      <c r="H379" s="50"/>
      <c r="I379" s="50"/>
      <c r="J379" s="306"/>
    </row>
    <row r="380" spans="2:10">
      <c r="B380" s="413"/>
      <c r="C380" s="414"/>
      <c r="D380" s="414"/>
      <c r="E380" s="50"/>
      <c r="F380" s="403">
        <v>2460</v>
      </c>
      <c r="G380" s="406">
        <v>15230</v>
      </c>
      <c r="H380" s="50"/>
      <c r="I380" s="50"/>
      <c r="J380" s="306"/>
    </row>
    <row r="381" spans="2:10">
      <c r="B381" s="413"/>
      <c r="C381" s="414"/>
      <c r="D381" s="414"/>
      <c r="E381" s="50"/>
      <c r="F381" s="403">
        <v>2462</v>
      </c>
      <c r="G381" s="406">
        <v>15406</v>
      </c>
      <c r="H381" s="50"/>
      <c r="I381" s="50"/>
      <c r="J381" s="306"/>
    </row>
    <row r="382" spans="2:10">
      <c r="B382" s="413"/>
      <c r="C382" s="414"/>
      <c r="D382" s="414"/>
      <c r="E382" s="50"/>
      <c r="F382" s="403">
        <v>2463</v>
      </c>
      <c r="G382" s="406">
        <v>15501</v>
      </c>
      <c r="H382" s="50"/>
      <c r="I382" s="50"/>
      <c r="J382" s="306"/>
    </row>
    <row r="383" spans="2:10">
      <c r="B383" s="413"/>
      <c r="C383" s="414"/>
      <c r="D383" s="414"/>
      <c r="E383" s="50"/>
      <c r="F383" s="403">
        <v>2464</v>
      </c>
      <c r="G383" s="406">
        <v>15613</v>
      </c>
      <c r="H383" s="50"/>
      <c r="I383" s="50"/>
      <c r="J383" s="306"/>
    </row>
    <row r="384" spans="2:10">
      <c r="B384" s="413"/>
      <c r="C384" s="414"/>
      <c r="D384" s="414"/>
      <c r="E384" s="50"/>
      <c r="F384" s="403">
        <v>2465</v>
      </c>
      <c r="G384" s="406">
        <v>15555</v>
      </c>
      <c r="H384" s="50"/>
      <c r="I384" s="50"/>
      <c r="J384" s="306"/>
    </row>
    <row r="385" spans="2:10">
      <c r="B385" s="413"/>
      <c r="C385" s="414"/>
      <c r="D385" s="414"/>
      <c r="E385" s="50"/>
      <c r="F385" s="403">
        <v>2466</v>
      </c>
      <c r="G385" s="406">
        <v>15555</v>
      </c>
      <c r="H385" s="50"/>
      <c r="I385" s="50"/>
      <c r="J385" s="306"/>
    </row>
    <row r="386" spans="2:10">
      <c r="B386" s="413"/>
      <c r="C386" s="414"/>
      <c r="D386" s="414"/>
      <c r="E386" s="50"/>
      <c r="F386" s="403">
        <v>2469</v>
      </c>
      <c r="G386" s="406">
        <v>15219</v>
      </c>
      <c r="H386" s="50"/>
      <c r="I386" s="50"/>
      <c r="J386" s="306"/>
    </row>
    <row r="387" spans="2:10">
      <c r="B387" s="413"/>
      <c r="C387" s="414"/>
      <c r="D387" s="414"/>
      <c r="E387" s="50"/>
      <c r="F387" s="403">
        <v>2470</v>
      </c>
      <c r="G387" s="406">
        <v>15036</v>
      </c>
      <c r="H387" s="50"/>
      <c r="I387" s="50"/>
      <c r="J387" s="306"/>
    </row>
    <row r="388" spans="2:10">
      <c r="B388" s="413"/>
      <c r="C388" s="414"/>
      <c r="D388" s="414"/>
      <c r="E388" s="50"/>
      <c r="F388" s="403">
        <v>2471</v>
      </c>
      <c r="G388" s="406">
        <v>15020</v>
      </c>
      <c r="H388" s="50"/>
      <c r="I388" s="50"/>
      <c r="J388" s="306"/>
    </row>
    <row r="389" spans="2:10">
      <c r="B389" s="413"/>
      <c r="C389" s="414"/>
      <c r="D389" s="414"/>
      <c r="E389" s="50"/>
      <c r="F389" s="403">
        <v>2472</v>
      </c>
      <c r="G389" s="406">
        <v>15049</v>
      </c>
      <c r="H389" s="50"/>
      <c r="I389" s="50"/>
      <c r="J389" s="306"/>
    </row>
    <row r="390" spans="2:10">
      <c r="B390" s="413"/>
      <c r="C390" s="414"/>
      <c r="D390" s="414"/>
      <c r="E390" s="50"/>
      <c r="F390" s="403">
        <v>2473</v>
      </c>
      <c r="G390" s="406">
        <v>14989</v>
      </c>
      <c r="H390" s="50"/>
      <c r="I390" s="50"/>
      <c r="J390" s="306"/>
    </row>
    <row r="391" spans="2:10">
      <c r="B391" s="413"/>
      <c r="C391" s="414"/>
      <c r="D391" s="414"/>
      <c r="E391" s="50"/>
      <c r="F391" s="403">
        <v>2474</v>
      </c>
      <c r="G391" s="406">
        <v>15077</v>
      </c>
      <c r="H391" s="50"/>
      <c r="I391" s="50"/>
      <c r="J391" s="306"/>
    </row>
    <row r="392" spans="2:10">
      <c r="B392" s="413"/>
      <c r="C392" s="414"/>
      <c r="D392" s="414"/>
      <c r="E392" s="50"/>
      <c r="F392" s="403">
        <v>2475</v>
      </c>
      <c r="G392" s="406">
        <v>15321</v>
      </c>
      <c r="H392" s="50"/>
      <c r="I392" s="50"/>
      <c r="J392" s="306"/>
    </row>
    <row r="393" spans="2:10">
      <c r="B393" s="413"/>
      <c r="C393" s="414"/>
      <c r="D393" s="414"/>
      <c r="E393" s="50"/>
      <c r="F393" s="403">
        <v>2476</v>
      </c>
      <c r="G393" s="406">
        <v>17108</v>
      </c>
      <c r="H393" s="50"/>
      <c r="I393" s="50"/>
      <c r="J393" s="306"/>
    </row>
    <row r="394" spans="2:10">
      <c r="B394" s="413"/>
      <c r="C394" s="414"/>
      <c r="D394" s="414"/>
      <c r="E394" s="50"/>
      <c r="F394" s="403">
        <v>2477</v>
      </c>
      <c r="G394" s="406">
        <v>15017</v>
      </c>
      <c r="H394" s="50"/>
      <c r="I394" s="50"/>
      <c r="J394" s="306"/>
    </row>
    <row r="395" spans="2:10">
      <c r="B395" s="413"/>
      <c r="C395" s="414"/>
      <c r="D395" s="414"/>
      <c r="E395" s="50"/>
      <c r="F395" s="403">
        <v>2478</v>
      </c>
      <c r="G395" s="406">
        <v>15041</v>
      </c>
      <c r="H395" s="50"/>
      <c r="I395" s="50"/>
      <c r="J395" s="306"/>
    </row>
    <row r="396" spans="2:10">
      <c r="B396" s="413"/>
      <c r="C396" s="414"/>
      <c r="D396" s="414"/>
      <c r="E396" s="50"/>
      <c r="F396" s="403">
        <v>2479</v>
      </c>
      <c r="G396" s="406">
        <v>15213</v>
      </c>
      <c r="H396" s="50"/>
      <c r="I396" s="50"/>
      <c r="J396" s="306"/>
    </row>
    <row r="397" spans="2:10">
      <c r="B397" s="413"/>
      <c r="C397" s="414"/>
      <c r="D397" s="414"/>
      <c r="E397" s="50"/>
      <c r="F397" s="403">
        <v>2480</v>
      </c>
      <c r="G397" s="406">
        <v>15066</v>
      </c>
      <c r="H397" s="50"/>
      <c r="I397" s="50"/>
      <c r="J397" s="306"/>
    </row>
    <row r="398" spans="2:10">
      <c r="B398" s="413"/>
      <c r="C398" s="414"/>
      <c r="D398" s="414"/>
      <c r="E398" s="50"/>
      <c r="F398" s="403">
        <v>2481</v>
      </c>
      <c r="G398" s="406">
        <v>15254</v>
      </c>
      <c r="H398" s="50"/>
      <c r="I398" s="50"/>
      <c r="J398" s="306"/>
    </row>
    <row r="399" spans="2:10">
      <c r="B399" s="413"/>
      <c r="C399" s="414"/>
      <c r="D399" s="414"/>
      <c r="E399" s="50"/>
      <c r="F399" s="403">
        <v>2482</v>
      </c>
      <c r="G399" s="406">
        <v>15489</v>
      </c>
      <c r="H399" s="50"/>
      <c r="I399" s="50"/>
      <c r="J399" s="306"/>
    </row>
    <row r="400" spans="2:10">
      <c r="B400" s="413"/>
      <c r="C400" s="414"/>
      <c r="D400" s="414"/>
      <c r="E400" s="50"/>
      <c r="F400" s="403">
        <v>2483</v>
      </c>
      <c r="G400" s="406">
        <v>15390</v>
      </c>
      <c r="H400" s="50"/>
      <c r="I400" s="50"/>
      <c r="J400" s="306"/>
    </row>
    <row r="401" spans="2:10">
      <c r="B401" s="413"/>
      <c r="C401" s="414"/>
      <c r="D401" s="414"/>
      <c r="E401" s="50"/>
      <c r="F401" s="403">
        <v>2484</v>
      </c>
      <c r="G401" s="406">
        <v>15311</v>
      </c>
      <c r="H401" s="50"/>
      <c r="I401" s="50"/>
      <c r="J401" s="306"/>
    </row>
    <row r="402" spans="2:10">
      <c r="B402" s="413"/>
      <c r="C402" s="414"/>
      <c r="D402" s="414"/>
      <c r="E402" s="50"/>
      <c r="F402" s="403">
        <v>2485</v>
      </c>
      <c r="G402" s="406">
        <v>14043</v>
      </c>
      <c r="H402" s="50"/>
      <c r="I402" s="50"/>
      <c r="J402" s="306"/>
    </row>
    <row r="403" spans="2:10">
      <c r="B403" s="413"/>
      <c r="C403" s="414"/>
      <c r="D403" s="414"/>
      <c r="E403" s="50"/>
      <c r="F403" s="403">
        <v>2486</v>
      </c>
      <c r="G403" s="406">
        <v>14116</v>
      </c>
      <c r="H403" s="50"/>
      <c r="I403" s="50"/>
      <c r="J403" s="306"/>
    </row>
    <row r="404" spans="2:10">
      <c r="B404" s="413"/>
      <c r="C404" s="414"/>
      <c r="D404" s="414"/>
      <c r="E404" s="50"/>
      <c r="F404" s="403">
        <v>2487</v>
      </c>
      <c r="G404" s="406">
        <v>14126</v>
      </c>
      <c r="H404" s="50"/>
      <c r="I404" s="50"/>
      <c r="J404" s="306"/>
    </row>
    <row r="405" spans="2:10">
      <c r="B405" s="413"/>
      <c r="C405" s="414"/>
      <c r="D405" s="414"/>
      <c r="E405" s="50"/>
      <c r="F405" s="403">
        <v>2488</v>
      </c>
      <c r="G405" s="406">
        <v>14245</v>
      </c>
      <c r="H405" s="50"/>
      <c r="I405" s="50"/>
      <c r="J405" s="306"/>
    </row>
    <row r="406" spans="2:10">
      <c r="B406" s="413"/>
      <c r="C406" s="414"/>
      <c r="D406" s="414"/>
      <c r="E406" s="50"/>
      <c r="F406" s="403">
        <v>2489</v>
      </c>
      <c r="G406" s="406">
        <v>14933</v>
      </c>
      <c r="H406" s="50"/>
      <c r="I406" s="50"/>
      <c r="J406" s="306"/>
    </row>
    <row r="407" spans="2:10">
      <c r="B407" s="413"/>
      <c r="C407" s="414"/>
      <c r="D407" s="414"/>
      <c r="E407" s="50"/>
      <c r="F407" s="403">
        <v>2490</v>
      </c>
      <c r="G407" s="406">
        <v>14130</v>
      </c>
      <c r="H407" s="50"/>
      <c r="I407" s="50"/>
      <c r="J407" s="306"/>
    </row>
    <row r="408" spans="2:10">
      <c r="B408" s="413"/>
      <c r="C408" s="414"/>
      <c r="D408" s="414"/>
      <c r="E408" s="50"/>
      <c r="F408" s="403">
        <v>2500</v>
      </c>
      <c r="G408" s="406">
        <v>16910</v>
      </c>
      <c r="H408" s="50"/>
      <c r="I408" s="50"/>
      <c r="J408" s="306"/>
    </row>
    <row r="409" spans="2:10">
      <c r="B409" s="413"/>
      <c r="C409" s="414"/>
      <c r="D409" s="414"/>
      <c r="E409" s="50"/>
      <c r="F409" s="403">
        <v>2502</v>
      </c>
      <c r="G409" s="406">
        <v>16455</v>
      </c>
      <c r="H409" s="50"/>
      <c r="I409" s="50"/>
      <c r="J409" s="306"/>
    </row>
    <row r="410" spans="2:10">
      <c r="B410" s="413"/>
      <c r="C410" s="414"/>
      <c r="D410" s="414"/>
      <c r="E410" s="50"/>
      <c r="F410" s="403">
        <v>2505</v>
      </c>
      <c r="G410" s="406">
        <v>16455</v>
      </c>
      <c r="H410" s="50"/>
      <c r="I410" s="50"/>
      <c r="J410" s="306"/>
    </row>
    <row r="411" spans="2:10">
      <c r="B411" s="413"/>
      <c r="C411" s="414"/>
      <c r="D411" s="414"/>
      <c r="E411" s="50"/>
      <c r="F411" s="403">
        <v>2506</v>
      </c>
      <c r="G411" s="406">
        <v>16235</v>
      </c>
      <c r="H411" s="50"/>
      <c r="I411" s="50"/>
      <c r="J411" s="306"/>
    </row>
    <row r="412" spans="2:10">
      <c r="B412" s="413"/>
      <c r="C412" s="414"/>
      <c r="D412" s="414"/>
      <c r="E412" s="50"/>
      <c r="F412" s="403">
        <v>2508</v>
      </c>
      <c r="G412" s="406">
        <v>15206</v>
      </c>
      <c r="H412" s="50"/>
      <c r="I412" s="50"/>
      <c r="J412" s="306"/>
    </row>
    <row r="413" spans="2:10">
      <c r="B413" s="413"/>
      <c r="C413" s="414"/>
      <c r="D413" s="414"/>
      <c r="E413" s="50"/>
      <c r="F413" s="403">
        <v>2515</v>
      </c>
      <c r="G413" s="406">
        <v>17026</v>
      </c>
      <c r="H413" s="50"/>
      <c r="I413" s="50"/>
      <c r="J413" s="306"/>
    </row>
    <row r="414" spans="2:10">
      <c r="B414" s="413"/>
      <c r="C414" s="414"/>
      <c r="D414" s="414"/>
      <c r="E414" s="50"/>
      <c r="F414" s="403">
        <v>2516</v>
      </c>
      <c r="G414" s="406">
        <v>17193</v>
      </c>
      <c r="H414" s="50"/>
      <c r="I414" s="50"/>
      <c r="J414" s="306"/>
    </row>
    <row r="415" spans="2:10">
      <c r="B415" s="413"/>
      <c r="C415" s="414"/>
      <c r="D415" s="414"/>
      <c r="E415" s="50"/>
      <c r="F415" s="403">
        <v>2517</v>
      </c>
      <c r="G415" s="406">
        <v>17143</v>
      </c>
      <c r="H415" s="50"/>
      <c r="I415" s="50"/>
      <c r="J415" s="306"/>
    </row>
    <row r="416" spans="2:10">
      <c r="B416" s="413"/>
      <c r="C416" s="414"/>
      <c r="D416" s="414"/>
      <c r="E416" s="50"/>
      <c r="F416" s="403">
        <v>2518</v>
      </c>
      <c r="G416" s="406">
        <v>17143</v>
      </c>
      <c r="H416" s="50"/>
      <c r="I416" s="50"/>
      <c r="J416" s="306"/>
    </row>
    <row r="417" spans="2:10">
      <c r="B417" s="413"/>
      <c r="C417" s="414"/>
      <c r="D417" s="414"/>
      <c r="E417" s="50"/>
      <c r="F417" s="403">
        <v>2519</v>
      </c>
      <c r="G417" s="406">
        <v>17168</v>
      </c>
      <c r="H417" s="50"/>
      <c r="I417" s="50"/>
      <c r="J417" s="306"/>
    </row>
    <row r="418" spans="2:10">
      <c r="B418" s="413"/>
      <c r="C418" s="414"/>
      <c r="D418" s="414"/>
      <c r="E418" s="50"/>
      <c r="F418" s="403">
        <v>2525</v>
      </c>
      <c r="G418" s="406">
        <v>16399</v>
      </c>
      <c r="H418" s="50"/>
      <c r="I418" s="50"/>
      <c r="J418" s="306"/>
    </row>
    <row r="419" spans="2:10">
      <c r="B419" s="413"/>
      <c r="C419" s="414"/>
      <c r="D419" s="414"/>
      <c r="E419" s="50"/>
      <c r="F419" s="403">
        <v>2526</v>
      </c>
      <c r="G419" s="406">
        <v>16502</v>
      </c>
      <c r="H419" s="50"/>
      <c r="I419" s="50"/>
      <c r="J419" s="306"/>
    </row>
    <row r="420" spans="2:10">
      <c r="B420" s="413"/>
      <c r="C420" s="414"/>
      <c r="D420" s="414"/>
      <c r="E420" s="50"/>
      <c r="F420" s="403">
        <v>2527</v>
      </c>
      <c r="G420" s="406">
        <v>16311</v>
      </c>
      <c r="H420" s="50"/>
      <c r="I420" s="50"/>
      <c r="J420" s="306"/>
    </row>
    <row r="421" spans="2:10">
      <c r="B421" s="413"/>
      <c r="C421" s="414"/>
      <c r="D421" s="414"/>
      <c r="E421" s="50"/>
      <c r="F421" s="403">
        <v>2528</v>
      </c>
      <c r="G421" s="406">
        <v>16236</v>
      </c>
      <c r="H421" s="50"/>
      <c r="I421" s="50"/>
      <c r="J421" s="306"/>
    </row>
    <row r="422" spans="2:10">
      <c r="B422" s="413"/>
      <c r="C422" s="414"/>
      <c r="D422" s="414"/>
      <c r="E422" s="50"/>
      <c r="F422" s="403">
        <v>2529</v>
      </c>
      <c r="G422" s="406">
        <v>16435</v>
      </c>
      <c r="H422" s="50"/>
      <c r="I422" s="50"/>
      <c r="J422" s="306"/>
    </row>
    <row r="423" spans="2:10">
      <c r="B423" s="413"/>
      <c r="C423" s="414"/>
      <c r="D423" s="414"/>
      <c r="E423" s="50"/>
      <c r="F423" s="403">
        <v>2530</v>
      </c>
      <c r="G423" s="406">
        <v>16230</v>
      </c>
      <c r="H423" s="50"/>
      <c r="I423" s="50"/>
      <c r="J423" s="306"/>
    </row>
    <row r="424" spans="2:10">
      <c r="B424" s="413"/>
      <c r="C424" s="414"/>
      <c r="D424" s="414"/>
      <c r="E424" s="50"/>
      <c r="F424" s="403">
        <v>2533</v>
      </c>
      <c r="G424" s="406">
        <v>16476</v>
      </c>
      <c r="H424" s="50"/>
      <c r="I424" s="50"/>
      <c r="J424" s="306"/>
    </row>
    <row r="425" spans="2:10">
      <c r="B425" s="413"/>
      <c r="C425" s="414"/>
      <c r="D425" s="414"/>
      <c r="E425" s="50"/>
      <c r="F425" s="403">
        <v>2534</v>
      </c>
      <c r="G425" s="406">
        <v>16446</v>
      </c>
      <c r="H425" s="50"/>
      <c r="I425" s="50"/>
      <c r="J425" s="306"/>
    </row>
    <row r="426" spans="2:10">
      <c r="B426" s="413"/>
      <c r="C426" s="414"/>
      <c r="D426" s="414"/>
      <c r="E426" s="50"/>
      <c r="F426" s="403">
        <v>2535</v>
      </c>
      <c r="G426" s="406">
        <v>16446</v>
      </c>
      <c r="H426" s="50"/>
      <c r="I426" s="50"/>
      <c r="J426" s="306"/>
    </row>
    <row r="427" spans="2:10">
      <c r="B427" s="413"/>
      <c r="C427" s="414"/>
      <c r="D427" s="414"/>
      <c r="E427" s="50"/>
      <c r="F427" s="403">
        <v>2536</v>
      </c>
      <c r="G427" s="406">
        <v>15312</v>
      </c>
      <c r="H427" s="50"/>
      <c r="I427" s="50"/>
      <c r="J427" s="306"/>
    </row>
    <row r="428" spans="2:10">
      <c r="B428" s="413"/>
      <c r="C428" s="414"/>
      <c r="D428" s="414"/>
      <c r="E428" s="50"/>
      <c r="F428" s="403">
        <v>2537</v>
      </c>
      <c r="G428" s="406">
        <v>15313</v>
      </c>
      <c r="H428" s="50"/>
      <c r="I428" s="50"/>
      <c r="J428" s="306"/>
    </row>
    <row r="429" spans="2:10">
      <c r="B429" s="413"/>
      <c r="C429" s="414"/>
      <c r="D429" s="414"/>
      <c r="E429" s="50"/>
      <c r="F429" s="403">
        <v>2538</v>
      </c>
      <c r="G429" s="406">
        <v>16053</v>
      </c>
      <c r="H429" s="50"/>
      <c r="I429" s="50"/>
      <c r="J429" s="306"/>
    </row>
    <row r="430" spans="2:10">
      <c r="B430" s="413"/>
      <c r="C430" s="414"/>
      <c r="D430" s="414"/>
      <c r="E430" s="50"/>
      <c r="F430" s="403">
        <v>2539</v>
      </c>
      <c r="G430" s="406">
        <v>15802</v>
      </c>
      <c r="H430" s="50"/>
      <c r="I430" s="50"/>
      <c r="J430" s="306"/>
    </row>
    <row r="431" spans="2:10">
      <c r="B431" s="413"/>
      <c r="C431" s="414"/>
      <c r="D431" s="414"/>
      <c r="E431" s="50"/>
      <c r="F431" s="403">
        <v>2540</v>
      </c>
      <c r="G431" s="406">
        <v>16421</v>
      </c>
      <c r="H431" s="50"/>
      <c r="I431" s="50"/>
      <c r="J431" s="306"/>
    </row>
    <row r="432" spans="2:10">
      <c r="B432" s="413"/>
      <c r="C432" s="414"/>
      <c r="D432" s="414"/>
      <c r="E432" s="50"/>
      <c r="F432" s="403">
        <v>2541</v>
      </c>
      <c r="G432" s="406">
        <v>16403</v>
      </c>
      <c r="H432" s="50"/>
      <c r="I432" s="50"/>
      <c r="J432" s="306"/>
    </row>
    <row r="433" spans="2:10">
      <c r="B433" s="413"/>
      <c r="C433" s="414"/>
      <c r="D433" s="414"/>
      <c r="E433" s="50"/>
      <c r="F433" s="403">
        <v>2545</v>
      </c>
      <c r="G433" s="406">
        <v>16314</v>
      </c>
      <c r="H433" s="50"/>
      <c r="I433" s="50"/>
      <c r="J433" s="306"/>
    </row>
    <row r="434" spans="2:10">
      <c r="B434" s="413"/>
      <c r="C434" s="414"/>
      <c r="D434" s="414"/>
      <c r="E434" s="50"/>
      <c r="F434" s="403">
        <v>2546</v>
      </c>
      <c r="G434" s="406">
        <v>17256</v>
      </c>
      <c r="H434" s="50"/>
      <c r="I434" s="50"/>
      <c r="J434" s="306"/>
    </row>
    <row r="435" spans="2:10">
      <c r="B435" s="413"/>
      <c r="C435" s="414"/>
      <c r="D435" s="414"/>
      <c r="E435" s="50"/>
      <c r="F435" s="403">
        <v>2548</v>
      </c>
      <c r="G435" s="406">
        <v>18538</v>
      </c>
      <c r="H435" s="50"/>
      <c r="I435" s="50"/>
      <c r="J435" s="306"/>
    </row>
    <row r="436" spans="2:10">
      <c r="B436" s="413"/>
      <c r="C436" s="414"/>
      <c r="D436" s="414"/>
      <c r="E436" s="50"/>
      <c r="F436" s="403">
        <v>2549</v>
      </c>
      <c r="G436" s="406">
        <v>18445</v>
      </c>
      <c r="H436" s="50"/>
      <c r="I436" s="50"/>
      <c r="J436" s="306"/>
    </row>
    <row r="437" spans="2:10">
      <c r="B437" s="413"/>
      <c r="C437" s="414"/>
      <c r="D437" s="414"/>
      <c r="E437" s="50"/>
      <c r="F437" s="403">
        <v>2550</v>
      </c>
      <c r="G437" s="406">
        <v>18645</v>
      </c>
      <c r="H437" s="50"/>
      <c r="I437" s="50"/>
      <c r="J437" s="306"/>
    </row>
    <row r="438" spans="2:10">
      <c r="B438" s="413"/>
      <c r="C438" s="414"/>
      <c r="D438" s="414"/>
      <c r="E438" s="50"/>
      <c r="F438" s="403">
        <v>2551</v>
      </c>
      <c r="G438" s="406">
        <v>17780</v>
      </c>
      <c r="H438" s="50"/>
      <c r="I438" s="50"/>
      <c r="J438" s="306"/>
    </row>
    <row r="439" spans="2:10">
      <c r="B439" s="413"/>
      <c r="C439" s="414"/>
      <c r="D439" s="414"/>
      <c r="E439" s="50"/>
      <c r="F439" s="403">
        <v>2555</v>
      </c>
      <c r="G439" s="406">
        <v>17318</v>
      </c>
      <c r="H439" s="50"/>
      <c r="I439" s="50"/>
      <c r="J439" s="306"/>
    </row>
    <row r="440" spans="2:10">
      <c r="B440" s="413"/>
      <c r="C440" s="414"/>
      <c r="D440" s="414"/>
      <c r="E440" s="50"/>
      <c r="F440" s="403">
        <v>2556</v>
      </c>
      <c r="G440" s="406">
        <v>16682</v>
      </c>
      <c r="H440" s="50"/>
      <c r="I440" s="50"/>
      <c r="J440" s="306"/>
    </row>
    <row r="441" spans="2:10">
      <c r="B441" s="413"/>
      <c r="C441" s="414"/>
      <c r="D441" s="414"/>
      <c r="E441" s="50"/>
      <c r="F441" s="403">
        <v>2557</v>
      </c>
      <c r="G441" s="406">
        <v>16214</v>
      </c>
      <c r="H441" s="50"/>
      <c r="I441" s="50"/>
      <c r="J441" s="306"/>
    </row>
    <row r="442" spans="2:10">
      <c r="B442" s="413"/>
      <c r="C442" s="414"/>
      <c r="D442" s="414"/>
      <c r="E442" s="50"/>
      <c r="F442" s="403">
        <v>2558</v>
      </c>
      <c r="G442" s="406">
        <v>16051</v>
      </c>
      <c r="H442" s="50"/>
      <c r="I442" s="50"/>
      <c r="J442" s="306"/>
    </row>
    <row r="443" spans="2:10">
      <c r="B443" s="413"/>
      <c r="C443" s="414"/>
      <c r="D443" s="414"/>
      <c r="E443" s="50"/>
      <c r="F443" s="403">
        <v>2559</v>
      </c>
      <c r="G443" s="406">
        <v>16031</v>
      </c>
      <c r="H443" s="50"/>
      <c r="I443" s="50"/>
      <c r="J443" s="306"/>
    </row>
    <row r="444" spans="2:10">
      <c r="B444" s="413"/>
      <c r="C444" s="414"/>
      <c r="D444" s="414"/>
      <c r="E444" s="50"/>
      <c r="F444" s="403">
        <v>2560</v>
      </c>
      <c r="G444" s="406">
        <v>15262</v>
      </c>
      <c r="H444" s="50"/>
      <c r="I444" s="50"/>
      <c r="J444" s="306"/>
    </row>
    <row r="445" spans="2:10">
      <c r="B445" s="413"/>
      <c r="C445" s="414"/>
      <c r="D445" s="414"/>
      <c r="E445" s="50"/>
      <c r="F445" s="403">
        <v>2563</v>
      </c>
      <c r="G445" s="406">
        <v>15836</v>
      </c>
      <c r="H445" s="50"/>
      <c r="I445" s="50"/>
      <c r="J445" s="306"/>
    </row>
    <row r="446" spans="2:10">
      <c r="B446" s="413"/>
      <c r="C446" s="414"/>
      <c r="D446" s="414"/>
      <c r="E446" s="50"/>
      <c r="F446" s="403">
        <v>2564</v>
      </c>
      <c r="G446" s="406">
        <v>15592</v>
      </c>
      <c r="H446" s="50"/>
      <c r="I446" s="50"/>
      <c r="J446" s="306"/>
    </row>
    <row r="447" spans="2:10">
      <c r="B447" s="413"/>
      <c r="C447" s="414"/>
      <c r="D447" s="414"/>
      <c r="E447" s="50"/>
      <c r="F447" s="403">
        <v>2565</v>
      </c>
      <c r="G447" s="406">
        <v>15238</v>
      </c>
      <c r="H447" s="50"/>
      <c r="I447" s="50"/>
      <c r="J447" s="306"/>
    </row>
    <row r="448" spans="2:10">
      <c r="B448" s="413"/>
      <c r="C448" s="414"/>
      <c r="D448" s="414"/>
      <c r="E448" s="50"/>
      <c r="F448" s="403">
        <v>2566</v>
      </c>
      <c r="G448" s="406">
        <v>15426</v>
      </c>
      <c r="H448" s="50"/>
      <c r="I448" s="50"/>
      <c r="J448" s="306"/>
    </row>
    <row r="449" spans="2:10">
      <c r="B449" s="413"/>
      <c r="C449" s="414"/>
      <c r="D449" s="414"/>
      <c r="E449" s="50"/>
      <c r="F449" s="403">
        <v>2567</v>
      </c>
      <c r="G449" s="406">
        <v>16242</v>
      </c>
      <c r="H449" s="50"/>
      <c r="I449" s="50"/>
      <c r="J449" s="306"/>
    </row>
    <row r="450" spans="2:10">
      <c r="B450" s="413"/>
      <c r="C450" s="414"/>
      <c r="D450" s="414"/>
      <c r="E450" s="50"/>
      <c r="F450" s="403">
        <v>2568</v>
      </c>
      <c r="G450" s="406">
        <v>16514</v>
      </c>
      <c r="H450" s="50"/>
      <c r="I450" s="50"/>
      <c r="J450" s="306"/>
    </row>
    <row r="451" spans="2:10">
      <c r="B451" s="413"/>
      <c r="C451" s="414"/>
      <c r="D451" s="414"/>
      <c r="E451" s="50"/>
      <c r="F451" s="403">
        <v>2569</v>
      </c>
      <c r="G451" s="406">
        <v>17137</v>
      </c>
      <c r="H451" s="50"/>
      <c r="I451" s="50"/>
      <c r="J451" s="306"/>
    </row>
    <row r="452" spans="2:10">
      <c r="B452" s="413"/>
      <c r="C452" s="414"/>
      <c r="D452" s="414"/>
      <c r="E452" s="50"/>
      <c r="F452" s="403">
        <v>2570</v>
      </c>
      <c r="G452" s="406">
        <v>16933</v>
      </c>
      <c r="H452" s="50"/>
      <c r="I452" s="50"/>
      <c r="J452" s="306"/>
    </row>
    <row r="453" spans="2:10">
      <c r="B453" s="413"/>
      <c r="C453" s="414"/>
      <c r="D453" s="414"/>
      <c r="E453" s="50"/>
      <c r="F453" s="403">
        <v>2571</v>
      </c>
      <c r="G453" s="406">
        <v>22625</v>
      </c>
      <c r="H453" s="50"/>
      <c r="I453" s="50"/>
      <c r="J453" s="306"/>
    </row>
    <row r="454" spans="2:10">
      <c r="B454" s="413"/>
      <c r="C454" s="414"/>
      <c r="D454" s="414"/>
      <c r="E454" s="50"/>
      <c r="F454" s="403">
        <v>2572</v>
      </c>
      <c r="G454" s="406">
        <v>22625</v>
      </c>
      <c r="H454" s="50"/>
      <c r="I454" s="50"/>
      <c r="J454" s="306"/>
    </row>
    <row r="455" spans="2:10">
      <c r="B455" s="413"/>
      <c r="C455" s="414"/>
      <c r="D455" s="414"/>
      <c r="E455" s="50"/>
      <c r="F455" s="403">
        <v>2573</v>
      </c>
      <c r="G455" s="406">
        <v>22625</v>
      </c>
      <c r="H455" s="50"/>
      <c r="I455" s="50"/>
      <c r="J455" s="306"/>
    </row>
    <row r="456" spans="2:10">
      <c r="B456" s="413"/>
      <c r="C456" s="414"/>
      <c r="D456" s="414"/>
      <c r="E456" s="50"/>
      <c r="F456" s="403">
        <v>2574</v>
      </c>
      <c r="G456" s="406">
        <v>21053</v>
      </c>
      <c r="H456" s="50"/>
      <c r="I456" s="50"/>
      <c r="J456" s="306"/>
    </row>
    <row r="457" spans="2:10">
      <c r="B457" s="413"/>
      <c r="C457" s="414"/>
      <c r="D457" s="414"/>
      <c r="E457" s="50"/>
      <c r="F457" s="403">
        <v>2575</v>
      </c>
      <c r="G457" s="406">
        <v>20293</v>
      </c>
      <c r="H457" s="50"/>
      <c r="I457" s="50"/>
      <c r="J457" s="306"/>
    </row>
    <row r="458" spans="2:10">
      <c r="B458" s="413"/>
      <c r="C458" s="414"/>
      <c r="D458" s="414"/>
      <c r="E458" s="50"/>
      <c r="F458" s="403">
        <v>2576</v>
      </c>
      <c r="G458" s="406">
        <v>18639</v>
      </c>
      <c r="H458" s="50"/>
      <c r="I458" s="50"/>
      <c r="J458" s="306"/>
    </row>
    <row r="459" spans="2:10">
      <c r="B459" s="413"/>
      <c r="C459" s="414"/>
      <c r="D459" s="414"/>
      <c r="E459" s="50"/>
      <c r="F459" s="403">
        <v>2577</v>
      </c>
      <c r="G459" s="406">
        <v>19500</v>
      </c>
      <c r="H459" s="50"/>
      <c r="I459" s="50"/>
      <c r="J459" s="306"/>
    </row>
    <row r="460" spans="2:10">
      <c r="B460" s="413"/>
      <c r="C460" s="414"/>
      <c r="D460" s="414"/>
      <c r="E460" s="50"/>
      <c r="F460" s="403">
        <v>2578</v>
      </c>
      <c r="G460" s="406">
        <v>17441</v>
      </c>
      <c r="H460" s="50"/>
      <c r="I460" s="50"/>
      <c r="J460" s="306"/>
    </row>
    <row r="461" spans="2:10">
      <c r="B461" s="413"/>
      <c r="C461" s="414"/>
      <c r="D461" s="414"/>
      <c r="E461" s="50"/>
      <c r="F461" s="403">
        <v>2579</v>
      </c>
      <c r="G461" s="406">
        <v>19616</v>
      </c>
      <c r="H461" s="50"/>
      <c r="I461" s="50"/>
      <c r="J461" s="306"/>
    </row>
    <row r="462" spans="2:10">
      <c r="B462" s="413"/>
      <c r="C462" s="414"/>
      <c r="D462" s="414"/>
      <c r="E462" s="50"/>
      <c r="F462" s="403">
        <v>2580</v>
      </c>
      <c r="G462" s="406">
        <v>19537</v>
      </c>
      <c r="H462" s="50"/>
      <c r="I462" s="50"/>
      <c r="J462" s="306"/>
    </row>
    <row r="463" spans="2:10">
      <c r="B463" s="413"/>
      <c r="C463" s="414"/>
      <c r="D463" s="414"/>
      <c r="E463" s="50"/>
      <c r="F463" s="403">
        <v>2581</v>
      </c>
      <c r="G463" s="406">
        <v>17146</v>
      </c>
      <c r="H463" s="50"/>
      <c r="I463" s="50"/>
      <c r="J463" s="306"/>
    </row>
    <row r="464" spans="2:10">
      <c r="B464" s="413"/>
      <c r="C464" s="414"/>
      <c r="D464" s="414"/>
      <c r="E464" s="50"/>
      <c r="F464" s="403">
        <v>2582</v>
      </c>
      <c r="G464" s="406">
        <v>15996</v>
      </c>
      <c r="H464" s="50"/>
      <c r="I464" s="50"/>
      <c r="J464" s="306"/>
    </row>
    <row r="465" spans="2:10">
      <c r="B465" s="413"/>
      <c r="C465" s="414"/>
      <c r="D465" s="414"/>
      <c r="E465" s="50"/>
      <c r="F465" s="403">
        <v>2583</v>
      </c>
      <c r="G465" s="406">
        <v>14260</v>
      </c>
      <c r="H465" s="50"/>
      <c r="I465" s="50"/>
      <c r="J465" s="306"/>
    </row>
    <row r="466" spans="2:10">
      <c r="B466" s="413"/>
      <c r="C466" s="414"/>
      <c r="D466" s="414"/>
      <c r="E466" s="50"/>
      <c r="F466" s="403">
        <v>2584</v>
      </c>
      <c r="G466" s="406">
        <v>15126</v>
      </c>
      <c r="H466" s="50"/>
      <c r="I466" s="50"/>
      <c r="J466" s="306"/>
    </row>
    <row r="467" spans="2:10">
      <c r="B467" s="413"/>
      <c r="C467" s="414"/>
      <c r="D467" s="414"/>
      <c r="E467" s="50"/>
      <c r="F467" s="403">
        <v>2585</v>
      </c>
      <c r="G467" s="406">
        <v>12608</v>
      </c>
      <c r="H467" s="50"/>
      <c r="I467" s="50"/>
      <c r="J467" s="306"/>
    </row>
    <row r="468" spans="2:10">
      <c r="B468" s="413"/>
      <c r="C468" s="414"/>
      <c r="D468" s="414"/>
      <c r="E468" s="50"/>
      <c r="F468" s="403">
        <v>2586</v>
      </c>
      <c r="G468" s="406">
        <v>12608</v>
      </c>
      <c r="H468" s="50"/>
      <c r="I468" s="50"/>
      <c r="J468" s="306"/>
    </row>
    <row r="469" spans="2:10">
      <c r="B469" s="413"/>
      <c r="C469" s="414"/>
      <c r="D469" s="414"/>
      <c r="E469" s="50"/>
      <c r="F469" s="403">
        <v>2587</v>
      </c>
      <c r="G469" s="406">
        <v>11754</v>
      </c>
      <c r="H469" s="50"/>
      <c r="I469" s="50"/>
      <c r="J469" s="306"/>
    </row>
    <row r="470" spans="2:10">
      <c r="B470" s="413"/>
      <c r="C470" s="414"/>
      <c r="D470" s="414"/>
      <c r="E470" s="50"/>
      <c r="F470" s="403">
        <v>2588</v>
      </c>
      <c r="G470" s="406">
        <v>12361</v>
      </c>
      <c r="H470" s="50"/>
      <c r="I470" s="50"/>
      <c r="J470" s="306"/>
    </row>
    <row r="471" spans="2:10">
      <c r="B471" s="413"/>
      <c r="C471" s="414"/>
      <c r="D471" s="414"/>
      <c r="E471" s="50"/>
      <c r="F471" s="403">
        <v>2590</v>
      </c>
      <c r="G471" s="406">
        <v>12847</v>
      </c>
      <c r="H471" s="50"/>
      <c r="I471" s="50"/>
      <c r="J471" s="306"/>
    </row>
    <row r="472" spans="2:10">
      <c r="B472" s="413"/>
      <c r="C472" s="414"/>
      <c r="D472" s="414"/>
      <c r="E472" s="50"/>
      <c r="F472" s="403">
        <v>2594</v>
      </c>
      <c r="G472" s="406">
        <v>11800</v>
      </c>
      <c r="H472" s="50"/>
      <c r="I472" s="50"/>
      <c r="J472" s="306"/>
    </row>
    <row r="473" spans="2:10">
      <c r="B473" s="413"/>
      <c r="C473" s="414"/>
      <c r="D473" s="414"/>
      <c r="E473" s="50"/>
      <c r="F473" s="403">
        <v>2600</v>
      </c>
      <c r="G473" s="406">
        <v>15054</v>
      </c>
      <c r="H473" s="50"/>
      <c r="I473" s="50"/>
      <c r="J473" s="306"/>
    </row>
    <row r="474" spans="2:10">
      <c r="B474" s="413"/>
      <c r="C474" s="414"/>
      <c r="D474" s="414"/>
      <c r="E474" s="50"/>
      <c r="F474" s="403">
        <v>2601</v>
      </c>
      <c r="G474" s="406">
        <v>15032</v>
      </c>
      <c r="H474" s="50"/>
      <c r="I474" s="50"/>
      <c r="J474" s="306"/>
    </row>
    <row r="475" spans="2:10">
      <c r="B475" s="413"/>
      <c r="C475" s="414"/>
      <c r="D475" s="414"/>
      <c r="E475" s="50"/>
      <c r="F475" s="403">
        <v>2602</v>
      </c>
      <c r="G475" s="406">
        <v>14778</v>
      </c>
      <c r="H475" s="50"/>
      <c r="I475" s="50"/>
      <c r="J475" s="306"/>
    </row>
    <row r="476" spans="2:10">
      <c r="B476" s="413"/>
      <c r="C476" s="414"/>
      <c r="D476" s="414"/>
      <c r="E476" s="50"/>
      <c r="F476" s="403">
        <v>2603</v>
      </c>
      <c r="G476" s="406">
        <v>15353</v>
      </c>
      <c r="H476" s="50"/>
      <c r="I476" s="50"/>
      <c r="J476" s="306"/>
    </row>
    <row r="477" spans="2:10">
      <c r="B477" s="413"/>
      <c r="C477" s="414"/>
      <c r="D477" s="414"/>
      <c r="E477" s="50"/>
      <c r="F477" s="403">
        <v>2604</v>
      </c>
      <c r="G477" s="406">
        <v>15076</v>
      </c>
      <c r="H477" s="50"/>
      <c r="I477" s="50"/>
      <c r="J477" s="306"/>
    </row>
    <row r="478" spans="2:10">
      <c r="B478" s="413"/>
      <c r="C478" s="414"/>
      <c r="D478" s="414"/>
      <c r="E478" s="50"/>
      <c r="F478" s="403">
        <v>2605</v>
      </c>
      <c r="G478" s="406">
        <v>15353</v>
      </c>
      <c r="H478" s="50"/>
      <c r="I478" s="50"/>
      <c r="J478" s="306"/>
    </row>
    <row r="479" spans="2:10">
      <c r="B479" s="413"/>
      <c r="C479" s="414"/>
      <c r="D479" s="414"/>
      <c r="E479" s="50"/>
      <c r="F479" s="403">
        <v>2606</v>
      </c>
      <c r="G479" s="406">
        <v>15353</v>
      </c>
      <c r="H479" s="50"/>
      <c r="I479" s="50"/>
      <c r="J479" s="306"/>
    </row>
    <row r="480" spans="2:10">
      <c r="B480" s="413"/>
      <c r="C480" s="414"/>
      <c r="D480" s="414"/>
      <c r="E480" s="50"/>
      <c r="F480" s="403">
        <v>2607</v>
      </c>
      <c r="G480" s="406">
        <v>15745</v>
      </c>
      <c r="H480" s="50"/>
      <c r="I480" s="50"/>
      <c r="J480" s="306"/>
    </row>
    <row r="481" spans="2:10">
      <c r="B481" s="413"/>
      <c r="C481" s="414"/>
      <c r="D481" s="414"/>
      <c r="E481" s="50"/>
      <c r="F481" s="403">
        <v>2609</v>
      </c>
      <c r="G481" s="406">
        <v>14846</v>
      </c>
      <c r="H481" s="50"/>
      <c r="I481" s="50"/>
      <c r="J481" s="306"/>
    </row>
    <row r="482" spans="2:10">
      <c r="B482" s="413"/>
      <c r="C482" s="414"/>
      <c r="D482" s="414"/>
      <c r="E482" s="50"/>
      <c r="F482" s="403">
        <v>2611</v>
      </c>
      <c r="G482" s="406">
        <v>15958</v>
      </c>
      <c r="H482" s="50"/>
      <c r="I482" s="50"/>
      <c r="J482" s="306"/>
    </row>
    <row r="483" spans="2:10">
      <c r="B483" s="413"/>
      <c r="C483" s="414"/>
      <c r="D483" s="414"/>
      <c r="E483" s="50"/>
      <c r="F483" s="403">
        <v>2612</v>
      </c>
      <c r="G483" s="406">
        <v>14835</v>
      </c>
      <c r="H483" s="50"/>
      <c r="I483" s="50"/>
      <c r="J483" s="306"/>
    </row>
    <row r="484" spans="2:10">
      <c r="B484" s="413"/>
      <c r="C484" s="414"/>
      <c r="D484" s="414"/>
      <c r="E484" s="50"/>
      <c r="F484" s="403">
        <v>2614</v>
      </c>
      <c r="G484" s="406">
        <v>15561</v>
      </c>
      <c r="H484" s="50"/>
      <c r="I484" s="50"/>
      <c r="J484" s="306"/>
    </row>
    <row r="485" spans="2:10">
      <c r="B485" s="413"/>
      <c r="C485" s="414"/>
      <c r="D485" s="414"/>
      <c r="E485" s="50"/>
      <c r="F485" s="403">
        <v>2615</v>
      </c>
      <c r="G485" s="406">
        <v>15900</v>
      </c>
      <c r="H485" s="50"/>
      <c r="I485" s="50"/>
      <c r="J485" s="306"/>
    </row>
    <row r="486" spans="2:10">
      <c r="B486" s="413"/>
      <c r="C486" s="414"/>
      <c r="D486" s="414"/>
      <c r="E486" s="50"/>
      <c r="F486" s="403">
        <v>2617</v>
      </c>
      <c r="G486" s="406">
        <v>15890</v>
      </c>
      <c r="H486" s="50"/>
      <c r="I486" s="50"/>
      <c r="J486" s="306"/>
    </row>
    <row r="487" spans="2:10">
      <c r="B487" s="413"/>
      <c r="C487" s="414"/>
      <c r="D487" s="414"/>
      <c r="E487" s="50"/>
      <c r="F487" s="403">
        <v>2618</v>
      </c>
      <c r="G487" s="406">
        <v>15919</v>
      </c>
      <c r="H487" s="50"/>
      <c r="I487" s="50"/>
      <c r="J487" s="306"/>
    </row>
    <row r="488" spans="2:10">
      <c r="B488" s="413"/>
      <c r="C488" s="414"/>
      <c r="D488" s="414"/>
      <c r="E488" s="50"/>
      <c r="F488" s="403">
        <v>2619</v>
      </c>
      <c r="G488" s="406">
        <v>15785</v>
      </c>
      <c r="H488" s="50"/>
      <c r="I488" s="50"/>
      <c r="J488" s="306"/>
    </row>
    <row r="489" spans="2:10">
      <c r="B489" s="413"/>
      <c r="C489" s="414"/>
      <c r="D489" s="414"/>
      <c r="E489" s="50"/>
      <c r="F489" s="403">
        <v>2620</v>
      </c>
      <c r="G489" s="406">
        <v>15936</v>
      </c>
      <c r="H489" s="50"/>
      <c r="I489" s="50"/>
      <c r="J489" s="306"/>
    </row>
    <row r="490" spans="2:10">
      <c r="B490" s="413"/>
      <c r="C490" s="414"/>
      <c r="D490" s="414"/>
      <c r="E490" s="50"/>
      <c r="F490" s="403">
        <v>2621</v>
      </c>
      <c r="G490" s="406">
        <v>15802</v>
      </c>
      <c r="H490" s="50"/>
      <c r="I490" s="50"/>
      <c r="J490" s="306"/>
    </row>
    <row r="491" spans="2:10">
      <c r="B491" s="413"/>
      <c r="C491" s="414"/>
      <c r="D491" s="414"/>
      <c r="E491" s="50"/>
      <c r="F491" s="403">
        <v>2622</v>
      </c>
      <c r="G491" s="406">
        <v>15420</v>
      </c>
      <c r="H491" s="50"/>
      <c r="I491" s="50"/>
      <c r="J491" s="306"/>
    </row>
    <row r="492" spans="2:10">
      <c r="B492" s="413"/>
      <c r="C492" s="414"/>
      <c r="D492" s="414"/>
      <c r="E492" s="50"/>
      <c r="F492" s="403">
        <v>2623</v>
      </c>
      <c r="G492" s="406">
        <v>15956</v>
      </c>
      <c r="H492" s="50"/>
      <c r="I492" s="50"/>
      <c r="J492" s="306"/>
    </row>
    <row r="493" spans="2:10">
      <c r="B493" s="413"/>
      <c r="C493" s="414"/>
      <c r="D493" s="414"/>
      <c r="E493" s="50"/>
      <c r="F493" s="403">
        <v>2624</v>
      </c>
      <c r="G493" s="406">
        <v>12290</v>
      </c>
      <c r="H493" s="50"/>
      <c r="I493" s="50"/>
      <c r="J493" s="306"/>
    </row>
    <row r="494" spans="2:10">
      <c r="B494" s="413"/>
      <c r="C494" s="414"/>
      <c r="D494" s="414"/>
      <c r="E494" s="50"/>
      <c r="F494" s="403">
        <v>2625</v>
      </c>
      <c r="G494" s="406">
        <v>12290</v>
      </c>
      <c r="H494" s="50"/>
      <c r="I494" s="50"/>
      <c r="J494" s="306"/>
    </row>
    <row r="495" spans="2:10">
      <c r="B495" s="413"/>
      <c r="C495" s="414"/>
      <c r="D495" s="414"/>
      <c r="E495" s="50"/>
      <c r="F495" s="403">
        <v>2626</v>
      </c>
      <c r="G495" s="406">
        <v>16034</v>
      </c>
      <c r="H495" s="50"/>
      <c r="I495" s="50"/>
      <c r="J495" s="306"/>
    </row>
    <row r="496" spans="2:10">
      <c r="B496" s="413"/>
      <c r="C496" s="414"/>
      <c r="D496" s="414"/>
      <c r="E496" s="50"/>
      <c r="F496" s="403">
        <v>2627</v>
      </c>
      <c r="G496" s="406">
        <v>12290</v>
      </c>
      <c r="H496" s="50"/>
      <c r="I496" s="50"/>
      <c r="J496" s="306"/>
    </row>
    <row r="497" spans="2:10">
      <c r="B497" s="413"/>
      <c r="C497" s="414"/>
      <c r="D497" s="414"/>
      <c r="E497" s="50"/>
      <c r="F497" s="403">
        <v>2628</v>
      </c>
      <c r="G497" s="406">
        <v>15207</v>
      </c>
      <c r="H497" s="50"/>
      <c r="I497" s="50"/>
      <c r="J497" s="306"/>
    </row>
    <row r="498" spans="2:10">
      <c r="B498" s="413"/>
      <c r="C498" s="414"/>
      <c r="D498" s="414"/>
      <c r="E498" s="50"/>
      <c r="F498" s="403">
        <v>2629</v>
      </c>
      <c r="G498" s="406">
        <v>15592</v>
      </c>
      <c r="H498" s="50"/>
      <c r="I498" s="50"/>
      <c r="J498" s="306"/>
    </row>
    <row r="499" spans="2:10">
      <c r="B499" s="413"/>
      <c r="C499" s="414"/>
      <c r="D499" s="414"/>
      <c r="E499" s="50"/>
      <c r="F499" s="403">
        <v>2630</v>
      </c>
      <c r="G499" s="406">
        <v>16057</v>
      </c>
      <c r="H499" s="50"/>
      <c r="I499" s="50"/>
      <c r="J499" s="306"/>
    </row>
    <row r="500" spans="2:10">
      <c r="B500" s="413"/>
      <c r="C500" s="414"/>
      <c r="D500" s="414"/>
      <c r="E500" s="50"/>
      <c r="F500" s="403">
        <v>2631</v>
      </c>
      <c r="G500" s="406">
        <v>18696</v>
      </c>
      <c r="H500" s="50"/>
      <c r="I500" s="50"/>
      <c r="J500" s="306"/>
    </row>
    <row r="501" spans="2:10">
      <c r="B501" s="413"/>
      <c r="C501" s="414"/>
      <c r="D501" s="414"/>
      <c r="E501" s="50"/>
      <c r="F501" s="403">
        <v>2632</v>
      </c>
      <c r="G501" s="406">
        <v>18528</v>
      </c>
      <c r="H501" s="50"/>
      <c r="I501" s="50"/>
      <c r="J501" s="306"/>
    </row>
    <row r="502" spans="2:10">
      <c r="B502" s="413"/>
      <c r="C502" s="414"/>
      <c r="D502" s="414"/>
      <c r="E502" s="50"/>
      <c r="F502" s="403">
        <v>2633</v>
      </c>
      <c r="G502" s="406">
        <v>14732</v>
      </c>
      <c r="H502" s="50"/>
      <c r="I502" s="50"/>
      <c r="J502" s="306"/>
    </row>
    <row r="503" spans="2:10">
      <c r="B503" s="413"/>
      <c r="C503" s="414"/>
      <c r="D503" s="414"/>
      <c r="E503" s="50"/>
      <c r="F503" s="403">
        <v>2640</v>
      </c>
      <c r="G503" s="406">
        <v>14171</v>
      </c>
      <c r="H503" s="50"/>
      <c r="I503" s="50"/>
      <c r="J503" s="306"/>
    </row>
    <row r="504" spans="2:10">
      <c r="B504" s="413"/>
      <c r="C504" s="414"/>
      <c r="D504" s="414"/>
      <c r="E504" s="50"/>
      <c r="F504" s="403">
        <v>2641</v>
      </c>
      <c r="G504" s="406">
        <v>14174</v>
      </c>
      <c r="H504" s="50"/>
      <c r="I504" s="50"/>
      <c r="J504" s="306"/>
    </row>
    <row r="505" spans="2:10">
      <c r="B505" s="413"/>
      <c r="C505" s="414"/>
      <c r="D505" s="414"/>
      <c r="E505" s="50"/>
      <c r="F505" s="403">
        <v>2642</v>
      </c>
      <c r="G505" s="406">
        <v>14273</v>
      </c>
      <c r="H505" s="50"/>
      <c r="I505" s="50"/>
      <c r="J505" s="306"/>
    </row>
    <row r="506" spans="2:10">
      <c r="B506" s="413"/>
      <c r="C506" s="414"/>
      <c r="D506" s="414"/>
      <c r="E506" s="50"/>
      <c r="F506" s="403">
        <v>2643</v>
      </c>
      <c r="G506" s="406">
        <v>14217</v>
      </c>
      <c r="H506" s="50"/>
      <c r="I506" s="50"/>
      <c r="J506" s="306"/>
    </row>
    <row r="507" spans="2:10">
      <c r="B507" s="413"/>
      <c r="C507" s="414"/>
      <c r="D507" s="414"/>
      <c r="E507" s="50"/>
      <c r="F507" s="403">
        <v>2644</v>
      </c>
      <c r="G507" s="406">
        <v>14171</v>
      </c>
      <c r="H507" s="50"/>
      <c r="I507" s="50"/>
      <c r="J507" s="306"/>
    </row>
    <row r="508" spans="2:10">
      <c r="B508" s="413"/>
      <c r="C508" s="414"/>
      <c r="D508" s="414"/>
      <c r="E508" s="50"/>
      <c r="F508" s="403">
        <v>2645</v>
      </c>
      <c r="G508" s="406">
        <v>16040</v>
      </c>
      <c r="H508" s="50"/>
      <c r="I508" s="50"/>
      <c r="J508" s="306"/>
    </row>
    <row r="509" spans="2:10">
      <c r="B509" s="413"/>
      <c r="C509" s="414"/>
      <c r="D509" s="414"/>
      <c r="E509" s="50"/>
      <c r="F509" s="403">
        <v>2646</v>
      </c>
      <c r="G509" s="406">
        <v>14873</v>
      </c>
      <c r="H509" s="50"/>
      <c r="I509" s="50"/>
      <c r="J509" s="306"/>
    </row>
    <row r="510" spans="2:10">
      <c r="B510" s="413"/>
      <c r="C510" s="414"/>
      <c r="D510" s="414"/>
      <c r="E510" s="50"/>
      <c r="F510" s="403">
        <v>2647</v>
      </c>
      <c r="G510" s="406">
        <v>16732</v>
      </c>
      <c r="H510" s="50"/>
      <c r="I510" s="50"/>
      <c r="J510" s="306"/>
    </row>
    <row r="511" spans="2:10">
      <c r="B511" s="413"/>
      <c r="C511" s="414"/>
      <c r="D511" s="414"/>
      <c r="E511" s="50"/>
      <c r="F511" s="403">
        <v>2648</v>
      </c>
      <c r="G511" s="406">
        <v>12891</v>
      </c>
      <c r="H511" s="50"/>
      <c r="I511" s="50"/>
      <c r="J511" s="306"/>
    </row>
    <row r="512" spans="2:10">
      <c r="B512" s="413"/>
      <c r="C512" s="414"/>
      <c r="D512" s="414"/>
      <c r="E512" s="50"/>
      <c r="F512" s="403">
        <v>2649</v>
      </c>
      <c r="G512" s="406">
        <v>16032</v>
      </c>
      <c r="H512" s="50"/>
      <c r="I512" s="50"/>
      <c r="J512" s="306"/>
    </row>
    <row r="513" spans="2:10">
      <c r="B513" s="413"/>
      <c r="C513" s="414"/>
      <c r="D513" s="414"/>
      <c r="E513" s="50"/>
      <c r="F513" s="403">
        <v>2650</v>
      </c>
      <c r="G513" s="406">
        <v>13225</v>
      </c>
      <c r="H513" s="50"/>
      <c r="I513" s="50"/>
      <c r="J513" s="306"/>
    </row>
    <row r="514" spans="2:10">
      <c r="B514" s="413"/>
      <c r="C514" s="414"/>
      <c r="D514" s="414"/>
      <c r="E514" s="50"/>
      <c r="F514" s="403">
        <v>2651</v>
      </c>
      <c r="G514" s="406">
        <v>13225</v>
      </c>
      <c r="H514" s="50"/>
      <c r="I514" s="50"/>
      <c r="J514" s="306"/>
    </row>
    <row r="515" spans="2:10">
      <c r="B515" s="413"/>
      <c r="C515" s="414"/>
      <c r="D515" s="414"/>
      <c r="E515" s="50"/>
      <c r="F515" s="403">
        <v>2652</v>
      </c>
      <c r="G515" s="406">
        <v>17032</v>
      </c>
      <c r="H515" s="50"/>
      <c r="I515" s="50"/>
      <c r="J515" s="306"/>
    </row>
    <row r="516" spans="2:10">
      <c r="B516" s="413"/>
      <c r="C516" s="414"/>
      <c r="D516" s="414"/>
      <c r="E516" s="50"/>
      <c r="F516" s="403">
        <v>2653</v>
      </c>
      <c r="G516" s="406">
        <v>15699</v>
      </c>
      <c r="H516" s="50"/>
      <c r="I516" s="50"/>
      <c r="J516" s="306"/>
    </row>
    <row r="517" spans="2:10">
      <c r="B517" s="413"/>
      <c r="C517" s="414"/>
      <c r="D517" s="414"/>
      <c r="E517" s="50"/>
      <c r="F517" s="403">
        <v>2655</v>
      </c>
      <c r="G517" s="406">
        <v>13400</v>
      </c>
      <c r="H517" s="50"/>
      <c r="I517" s="50"/>
      <c r="J517" s="306"/>
    </row>
    <row r="518" spans="2:10">
      <c r="B518" s="413"/>
      <c r="C518" s="414"/>
      <c r="D518" s="414"/>
      <c r="E518" s="50"/>
      <c r="F518" s="403">
        <v>2656</v>
      </c>
      <c r="G518" s="406">
        <v>14795</v>
      </c>
      <c r="H518" s="50"/>
      <c r="I518" s="50"/>
      <c r="J518" s="306"/>
    </row>
    <row r="519" spans="2:10">
      <c r="B519" s="413"/>
      <c r="C519" s="414"/>
      <c r="D519" s="414"/>
      <c r="E519" s="50"/>
      <c r="F519" s="403">
        <v>2658</v>
      </c>
      <c r="G519" s="406">
        <v>14591</v>
      </c>
      <c r="H519" s="50"/>
      <c r="I519" s="50"/>
      <c r="J519" s="306"/>
    </row>
    <row r="520" spans="2:10">
      <c r="B520" s="413"/>
      <c r="C520" s="414"/>
      <c r="D520" s="414"/>
      <c r="E520" s="50"/>
      <c r="F520" s="403">
        <v>2659</v>
      </c>
      <c r="G520" s="406">
        <v>14227</v>
      </c>
      <c r="H520" s="50"/>
      <c r="I520" s="50"/>
      <c r="J520" s="306"/>
    </row>
    <row r="521" spans="2:10">
      <c r="B521" s="413"/>
      <c r="C521" s="414"/>
      <c r="D521" s="414"/>
      <c r="E521" s="50"/>
      <c r="F521" s="403">
        <v>2660</v>
      </c>
      <c r="G521" s="406">
        <v>14224</v>
      </c>
      <c r="H521" s="50"/>
      <c r="I521" s="50"/>
      <c r="J521" s="306"/>
    </row>
    <row r="522" spans="2:10">
      <c r="B522" s="413"/>
      <c r="C522" s="414"/>
      <c r="D522" s="414"/>
      <c r="E522" s="50"/>
      <c r="F522" s="403">
        <v>2661</v>
      </c>
      <c r="G522" s="406">
        <v>13236</v>
      </c>
      <c r="H522" s="50"/>
      <c r="I522" s="50"/>
      <c r="J522" s="306"/>
    </row>
    <row r="523" spans="2:10">
      <c r="B523" s="413"/>
      <c r="C523" s="414"/>
      <c r="D523" s="414"/>
      <c r="E523" s="50"/>
      <c r="F523" s="403">
        <v>2663</v>
      </c>
      <c r="G523" s="406">
        <v>13164</v>
      </c>
      <c r="H523" s="50"/>
      <c r="I523" s="50"/>
      <c r="J523" s="306"/>
    </row>
    <row r="524" spans="2:10">
      <c r="B524" s="413"/>
      <c r="C524" s="414"/>
      <c r="D524" s="414"/>
      <c r="E524" s="50"/>
      <c r="F524" s="403">
        <v>2665</v>
      </c>
      <c r="G524" s="406">
        <v>16134</v>
      </c>
      <c r="H524" s="50"/>
      <c r="I524" s="50"/>
      <c r="J524" s="306"/>
    </row>
    <row r="525" spans="2:10">
      <c r="B525" s="413"/>
      <c r="C525" s="414"/>
      <c r="D525" s="414"/>
      <c r="E525" s="50"/>
      <c r="F525" s="403">
        <v>2666</v>
      </c>
      <c r="G525" s="406">
        <v>13031</v>
      </c>
      <c r="H525" s="50"/>
      <c r="I525" s="50"/>
      <c r="J525" s="306"/>
    </row>
    <row r="526" spans="2:10">
      <c r="B526" s="413"/>
      <c r="C526" s="414"/>
      <c r="D526" s="414"/>
      <c r="E526" s="50"/>
      <c r="F526" s="403">
        <v>2668</v>
      </c>
      <c r="G526" s="406">
        <v>14253</v>
      </c>
      <c r="H526" s="50"/>
      <c r="I526" s="50"/>
      <c r="J526" s="306"/>
    </row>
    <row r="527" spans="2:10">
      <c r="B527" s="413"/>
      <c r="C527" s="414"/>
      <c r="D527" s="414"/>
      <c r="E527" s="50"/>
      <c r="F527" s="403">
        <v>2669</v>
      </c>
      <c r="G527" s="406">
        <v>16792</v>
      </c>
      <c r="H527" s="50"/>
      <c r="I527" s="50"/>
      <c r="J527" s="306"/>
    </row>
    <row r="528" spans="2:10">
      <c r="B528" s="413"/>
      <c r="C528" s="414"/>
      <c r="D528" s="414"/>
      <c r="E528" s="50"/>
      <c r="F528" s="403">
        <v>2671</v>
      </c>
      <c r="G528" s="406">
        <v>15409</v>
      </c>
      <c r="H528" s="50"/>
      <c r="I528" s="50"/>
      <c r="J528" s="306"/>
    </row>
    <row r="529" spans="2:10">
      <c r="B529" s="413"/>
      <c r="C529" s="414"/>
      <c r="D529" s="414"/>
      <c r="E529" s="50"/>
      <c r="F529" s="403">
        <v>2672</v>
      </c>
      <c r="G529" s="406">
        <v>17212</v>
      </c>
      <c r="H529" s="50"/>
      <c r="I529" s="50"/>
      <c r="J529" s="306"/>
    </row>
    <row r="530" spans="2:10">
      <c r="B530" s="413"/>
      <c r="C530" s="414"/>
      <c r="D530" s="414"/>
      <c r="E530" s="50"/>
      <c r="F530" s="403">
        <v>2675</v>
      </c>
      <c r="G530" s="406">
        <v>17187</v>
      </c>
      <c r="H530" s="50"/>
      <c r="I530" s="50"/>
      <c r="J530" s="306"/>
    </row>
    <row r="531" spans="2:10">
      <c r="B531" s="413"/>
      <c r="C531" s="414"/>
      <c r="D531" s="414"/>
      <c r="E531" s="50"/>
      <c r="F531" s="403">
        <v>2680</v>
      </c>
      <c r="G531" s="406">
        <v>17006</v>
      </c>
      <c r="H531" s="50"/>
      <c r="I531" s="50"/>
      <c r="J531" s="306"/>
    </row>
    <row r="532" spans="2:10">
      <c r="B532" s="413"/>
      <c r="C532" s="414"/>
      <c r="D532" s="414"/>
      <c r="E532" s="50"/>
      <c r="F532" s="403">
        <v>2681</v>
      </c>
      <c r="G532" s="406">
        <v>17006</v>
      </c>
      <c r="H532" s="50"/>
      <c r="I532" s="50"/>
      <c r="J532" s="306"/>
    </row>
    <row r="533" spans="2:10">
      <c r="B533" s="413"/>
      <c r="C533" s="414"/>
      <c r="D533" s="414"/>
      <c r="E533" s="50"/>
      <c r="F533" s="403">
        <v>2700</v>
      </c>
      <c r="G533" s="406">
        <v>16915</v>
      </c>
      <c r="H533" s="50"/>
      <c r="I533" s="50"/>
      <c r="J533" s="306"/>
    </row>
    <row r="534" spans="2:10">
      <c r="B534" s="413"/>
      <c r="C534" s="414"/>
      <c r="D534" s="414"/>
      <c r="E534" s="50"/>
      <c r="F534" s="403">
        <v>2701</v>
      </c>
      <c r="G534" s="406">
        <v>13246</v>
      </c>
      <c r="H534" s="50"/>
      <c r="I534" s="50"/>
      <c r="J534" s="306"/>
    </row>
    <row r="535" spans="2:10">
      <c r="B535" s="413"/>
      <c r="C535" s="414"/>
      <c r="D535" s="414"/>
      <c r="E535" s="50"/>
      <c r="F535" s="403">
        <v>2702</v>
      </c>
      <c r="G535" s="406">
        <v>13236</v>
      </c>
      <c r="H535" s="50"/>
      <c r="I535" s="50"/>
      <c r="J535" s="306"/>
    </row>
    <row r="536" spans="2:10">
      <c r="B536" s="413"/>
      <c r="C536" s="414"/>
      <c r="D536" s="414"/>
      <c r="E536" s="50"/>
      <c r="F536" s="403">
        <v>2703</v>
      </c>
      <c r="G536" s="406">
        <v>16834</v>
      </c>
      <c r="H536" s="50"/>
      <c r="I536" s="50"/>
      <c r="J536" s="306"/>
    </row>
    <row r="537" spans="2:10">
      <c r="B537" s="413"/>
      <c r="C537" s="414"/>
      <c r="D537" s="414"/>
      <c r="E537" s="50"/>
      <c r="F537" s="403">
        <v>2705</v>
      </c>
      <c r="G537" s="406">
        <v>16968</v>
      </c>
      <c r="H537" s="50"/>
      <c r="I537" s="50"/>
      <c r="J537" s="306"/>
    </row>
    <row r="538" spans="2:10">
      <c r="B538" s="413"/>
      <c r="C538" s="414"/>
      <c r="D538" s="414"/>
      <c r="E538" s="50"/>
      <c r="F538" s="403">
        <v>2706</v>
      </c>
      <c r="G538" s="406">
        <v>16969</v>
      </c>
      <c r="H538" s="50"/>
      <c r="I538" s="50"/>
      <c r="J538" s="306"/>
    </row>
    <row r="539" spans="2:10">
      <c r="B539" s="413"/>
      <c r="C539" s="414"/>
      <c r="D539" s="414"/>
      <c r="E539" s="50"/>
      <c r="F539" s="403">
        <v>2707</v>
      </c>
      <c r="G539" s="406">
        <v>16925</v>
      </c>
      <c r="H539" s="50"/>
      <c r="I539" s="50"/>
      <c r="J539" s="306"/>
    </row>
    <row r="540" spans="2:10">
      <c r="B540" s="413"/>
      <c r="C540" s="414"/>
      <c r="D540" s="414"/>
      <c r="E540" s="50"/>
      <c r="F540" s="403">
        <v>2710</v>
      </c>
      <c r="G540" s="406">
        <v>15494</v>
      </c>
      <c r="H540" s="50"/>
      <c r="I540" s="50"/>
      <c r="J540" s="306"/>
    </row>
    <row r="541" spans="2:10">
      <c r="B541" s="413"/>
      <c r="C541" s="414"/>
      <c r="D541" s="414"/>
      <c r="E541" s="50"/>
      <c r="F541" s="403">
        <v>2711</v>
      </c>
      <c r="G541" s="406">
        <v>16939</v>
      </c>
      <c r="H541" s="50"/>
      <c r="I541" s="50"/>
      <c r="J541" s="306"/>
    </row>
    <row r="542" spans="2:10">
      <c r="B542" s="413"/>
      <c r="C542" s="414"/>
      <c r="D542" s="414"/>
      <c r="E542" s="50"/>
      <c r="F542" s="403">
        <v>2712</v>
      </c>
      <c r="G542" s="406">
        <v>16852</v>
      </c>
      <c r="H542" s="50"/>
      <c r="I542" s="50"/>
      <c r="J542" s="306"/>
    </row>
    <row r="543" spans="2:10">
      <c r="B543" s="413"/>
      <c r="C543" s="414"/>
      <c r="D543" s="414"/>
      <c r="E543" s="50"/>
      <c r="F543" s="403">
        <v>2713</v>
      </c>
      <c r="G543" s="406">
        <v>16992</v>
      </c>
      <c r="H543" s="50"/>
      <c r="I543" s="50"/>
      <c r="J543" s="306"/>
    </row>
    <row r="544" spans="2:10">
      <c r="B544" s="413"/>
      <c r="C544" s="414"/>
      <c r="D544" s="414"/>
      <c r="E544" s="50"/>
      <c r="F544" s="403">
        <v>2714</v>
      </c>
      <c r="G544" s="406">
        <v>17005</v>
      </c>
      <c r="H544" s="50"/>
      <c r="I544" s="50"/>
      <c r="J544" s="306"/>
    </row>
    <row r="545" spans="2:10">
      <c r="B545" s="413"/>
      <c r="C545" s="414"/>
      <c r="D545" s="414"/>
      <c r="E545" s="50"/>
      <c r="F545" s="403">
        <v>2715</v>
      </c>
      <c r="G545" s="406">
        <v>14286</v>
      </c>
      <c r="H545" s="50"/>
      <c r="I545" s="50"/>
      <c r="J545" s="306"/>
    </row>
    <row r="546" spans="2:10">
      <c r="B546" s="413"/>
      <c r="C546" s="414"/>
      <c r="D546" s="414"/>
      <c r="E546" s="50"/>
      <c r="F546" s="403">
        <v>2716</v>
      </c>
      <c r="G546" s="406">
        <v>16922</v>
      </c>
      <c r="H546" s="50"/>
      <c r="I546" s="50"/>
      <c r="J546" s="306"/>
    </row>
    <row r="547" spans="2:10">
      <c r="B547" s="413"/>
      <c r="C547" s="414"/>
      <c r="D547" s="414"/>
      <c r="E547" s="50"/>
      <c r="F547" s="403">
        <v>2717</v>
      </c>
      <c r="G547" s="406">
        <v>12897</v>
      </c>
      <c r="H547" s="50"/>
      <c r="I547" s="50"/>
      <c r="J547" s="306"/>
    </row>
    <row r="548" spans="2:10">
      <c r="B548" s="413"/>
      <c r="C548" s="414"/>
      <c r="D548" s="414"/>
      <c r="E548" s="50"/>
      <c r="F548" s="403">
        <v>2720</v>
      </c>
      <c r="G548" s="406">
        <v>16054</v>
      </c>
      <c r="H548" s="50"/>
      <c r="I548" s="50"/>
      <c r="J548" s="306"/>
    </row>
    <row r="549" spans="2:10">
      <c r="B549" s="413"/>
      <c r="C549" s="414"/>
      <c r="D549" s="414"/>
      <c r="E549" s="50"/>
      <c r="F549" s="403">
        <v>2721</v>
      </c>
      <c r="G549" s="406">
        <v>14253</v>
      </c>
      <c r="H549" s="50"/>
      <c r="I549" s="50"/>
      <c r="J549" s="306"/>
    </row>
    <row r="550" spans="2:10">
      <c r="B550" s="413"/>
      <c r="C550" s="414"/>
      <c r="D550" s="414"/>
      <c r="E550" s="50"/>
      <c r="F550" s="403">
        <v>2722</v>
      </c>
      <c r="G550" s="406">
        <v>12909</v>
      </c>
      <c r="H550" s="50"/>
      <c r="I550" s="50"/>
      <c r="J550" s="306"/>
    </row>
    <row r="551" spans="2:10">
      <c r="B551" s="413"/>
      <c r="C551" s="414"/>
      <c r="D551" s="414"/>
      <c r="E551" s="50"/>
      <c r="F551" s="403">
        <v>2725</v>
      </c>
      <c r="G551" s="406">
        <v>12353</v>
      </c>
      <c r="H551" s="50"/>
      <c r="I551" s="50"/>
      <c r="J551" s="306"/>
    </row>
    <row r="552" spans="2:10">
      <c r="B552" s="413"/>
      <c r="C552" s="414"/>
      <c r="D552" s="414"/>
      <c r="E552" s="50"/>
      <c r="F552" s="403">
        <v>2726</v>
      </c>
      <c r="G552" s="406">
        <v>12414</v>
      </c>
      <c r="H552" s="50"/>
      <c r="I552" s="50"/>
      <c r="J552" s="306"/>
    </row>
    <row r="553" spans="2:10">
      <c r="B553" s="413"/>
      <c r="C553" s="414"/>
      <c r="D553" s="414"/>
      <c r="E553" s="50"/>
      <c r="F553" s="403">
        <v>2727</v>
      </c>
      <c r="G553" s="406">
        <v>15677</v>
      </c>
      <c r="H553" s="50"/>
      <c r="I553" s="50"/>
      <c r="J553" s="306"/>
    </row>
    <row r="554" spans="2:10">
      <c r="B554" s="413"/>
      <c r="C554" s="414"/>
      <c r="D554" s="414"/>
      <c r="E554" s="50"/>
      <c r="F554" s="403">
        <v>2729</v>
      </c>
      <c r="G554" s="406">
        <v>13062</v>
      </c>
      <c r="H554" s="50"/>
      <c r="I554" s="50"/>
      <c r="J554" s="306"/>
    </row>
    <row r="555" spans="2:10">
      <c r="B555" s="413"/>
      <c r="C555" s="414"/>
      <c r="D555" s="414"/>
      <c r="E555" s="50"/>
      <c r="F555" s="403">
        <v>2730</v>
      </c>
      <c r="G555" s="406">
        <v>16032</v>
      </c>
      <c r="H555" s="50"/>
      <c r="I555" s="50"/>
      <c r="J555" s="306"/>
    </row>
    <row r="556" spans="2:10">
      <c r="B556" s="413"/>
      <c r="C556" s="414"/>
      <c r="D556" s="414"/>
      <c r="E556" s="50"/>
      <c r="F556" s="403">
        <v>2731</v>
      </c>
      <c r="G556" s="406">
        <v>15250</v>
      </c>
      <c r="H556" s="50"/>
      <c r="I556" s="50"/>
      <c r="J556" s="306"/>
    </row>
    <row r="557" spans="2:10">
      <c r="B557" s="413"/>
      <c r="C557" s="414"/>
      <c r="D557" s="414"/>
      <c r="E557" s="50"/>
      <c r="F557" s="403">
        <v>2732</v>
      </c>
      <c r="G557" s="406">
        <v>11799</v>
      </c>
      <c r="H557" s="50"/>
      <c r="I557" s="50"/>
      <c r="J557" s="306"/>
    </row>
    <row r="558" spans="2:10">
      <c r="B558" s="413"/>
      <c r="C558" s="414"/>
      <c r="D558" s="414"/>
      <c r="E558" s="50"/>
      <c r="F558" s="403">
        <v>2733</v>
      </c>
      <c r="G558" s="406">
        <v>11007</v>
      </c>
      <c r="H558" s="50"/>
      <c r="I558" s="50"/>
      <c r="J558" s="306"/>
    </row>
    <row r="559" spans="2:10">
      <c r="B559" s="413"/>
      <c r="C559" s="414"/>
      <c r="D559" s="414"/>
      <c r="E559" s="50"/>
      <c r="F559" s="403">
        <v>2734</v>
      </c>
      <c r="G559" s="406">
        <v>11303</v>
      </c>
      <c r="H559" s="50"/>
      <c r="I559" s="50"/>
      <c r="J559" s="306"/>
    </row>
    <row r="560" spans="2:10">
      <c r="B560" s="413"/>
      <c r="C560" s="414"/>
      <c r="D560" s="414"/>
      <c r="E560" s="50"/>
      <c r="F560" s="403">
        <v>2735</v>
      </c>
      <c r="G560" s="406">
        <v>11004</v>
      </c>
      <c r="H560" s="50"/>
      <c r="I560" s="50"/>
      <c r="J560" s="306"/>
    </row>
    <row r="561" spans="2:10">
      <c r="B561" s="413"/>
      <c r="C561" s="414"/>
      <c r="D561" s="414"/>
      <c r="E561" s="50"/>
      <c r="F561" s="403">
        <v>2736</v>
      </c>
      <c r="G561" s="406">
        <v>11303</v>
      </c>
      <c r="H561" s="50"/>
      <c r="I561" s="50"/>
      <c r="J561" s="306"/>
    </row>
    <row r="562" spans="2:10">
      <c r="B562" s="413"/>
      <c r="C562" s="414"/>
      <c r="D562" s="414"/>
      <c r="E562" s="50"/>
      <c r="F562" s="403">
        <v>2737</v>
      </c>
      <c r="G562" s="406">
        <v>13367</v>
      </c>
      <c r="H562" s="50"/>
      <c r="I562" s="50"/>
      <c r="J562" s="306"/>
    </row>
    <row r="563" spans="2:10">
      <c r="B563" s="413"/>
      <c r="C563" s="414"/>
      <c r="D563" s="414"/>
      <c r="E563" s="50"/>
      <c r="F563" s="403">
        <v>2738</v>
      </c>
      <c r="G563" s="406">
        <v>12922</v>
      </c>
      <c r="H563" s="50"/>
      <c r="I563" s="50"/>
      <c r="J563" s="306"/>
    </row>
    <row r="564" spans="2:10">
      <c r="B564" s="413"/>
      <c r="C564" s="414"/>
      <c r="D564" s="414"/>
      <c r="E564" s="50"/>
      <c r="F564" s="403">
        <v>2739</v>
      </c>
      <c r="G564" s="406">
        <v>12897</v>
      </c>
      <c r="H564" s="50"/>
      <c r="I564" s="50"/>
      <c r="J564" s="306"/>
    </row>
    <row r="565" spans="2:10">
      <c r="B565" s="413"/>
      <c r="C565" s="414"/>
      <c r="D565" s="414"/>
      <c r="E565" s="50"/>
      <c r="F565" s="403">
        <v>2745</v>
      </c>
      <c r="G565" s="406">
        <v>17442</v>
      </c>
      <c r="H565" s="50"/>
      <c r="I565" s="50"/>
      <c r="J565" s="306"/>
    </row>
    <row r="566" spans="2:10">
      <c r="B566" s="413"/>
      <c r="C566" s="414"/>
      <c r="D566" s="414"/>
      <c r="E566" s="50"/>
      <c r="F566" s="403">
        <v>2747</v>
      </c>
      <c r="G566" s="406">
        <v>17046</v>
      </c>
      <c r="H566" s="50"/>
      <c r="I566" s="50"/>
      <c r="J566" s="306"/>
    </row>
    <row r="567" spans="2:10">
      <c r="B567" s="413"/>
      <c r="C567" s="414"/>
      <c r="D567" s="414"/>
      <c r="E567" s="50"/>
      <c r="F567" s="403">
        <v>2748</v>
      </c>
      <c r="G567" s="406">
        <v>17175</v>
      </c>
      <c r="H567" s="50"/>
      <c r="I567" s="50"/>
      <c r="J567" s="306"/>
    </row>
    <row r="568" spans="2:10">
      <c r="B568" s="413"/>
      <c r="C568" s="414"/>
      <c r="D568" s="414"/>
      <c r="E568" s="50"/>
      <c r="F568" s="403">
        <v>2749</v>
      </c>
      <c r="G568" s="406">
        <v>16744</v>
      </c>
      <c r="H568" s="50"/>
      <c r="I568" s="50"/>
      <c r="J568" s="306"/>
    </row>
    <row r="569" spans="2:10">
      <c r="B569" s="413"/>
      <c r="C569" s="414"/>
      <c r="D569" s="414"/>
      <c r="E569" s="50"/>
      <c r="F569" s="403">
        <v>2750</v>
      </c>
      <c r="G569" s="406">
        <v>16855</v>
      </c>
      <c r="H569" s="50"/>
      <c r="I569" s="50"/>
      <c r="J569" s="306"/>
    </row>
    <row r="570" spans="2:10">
      <c r="B570" s="413"/>
      <c r="C570" s="414"/>
      <c r="D570" s="414"/>
      <c r="E570" s="50"/>
      <c r="F570" s="403">
        <v>2752</v>
      </c>
      <c r="G570" s="406">
        <v>17526</v>
      </c>
      <c r="H570" s="50"/>
      <c r="I570" s="50"/>
      <c r="J570" s="306"/>
    </row>
    <row r="571" spans="2:10">
      <c r="B571" s="413"/>
      <c r="C571" s="414"/>
      <c r="D571" s="414"/>
      <c r="E571" s="50"/>
      <c r="F571" s="403">
        <v>2753</v>
      </c>
      <c r="G571" s="406">
        <v>16508</v>
      </c>
      <c r="H571" s="50"/>
      <c r="I571" s="50"/>
      <c r="J571" s="306"/>
    </row>
    <row r="572" spans="2:10">
      <c r="B572" s="413"/>
      <c r="C572" s="414"/>
      <c r="D572" s="414"/>
      <c r="E572" s="50"/>
      <c r="F572" s="403">
        <v>2754</v>
      </c>
      <c r="G572" s="406">
        <v>17958</v>
      </c>
      <c r="H572" s="50"/>
      <c r="I572" s="50"/>
      <c r="J572" s="306"/>
    </row>
    <row r="573" spans="2:10">
      <c r="B573" s="413"/>
      <c r="C573" s="414"/>
      <c r="D573" s="414"/>
      <c r="E573" s="50"/>
      <c r="F573" s="403">
        <v>2755</v>
      </c>
      <c r="G573" s="406">
        <v>16440</v>
      </c>
      <c r="H573" s="50"/>
      <c r="I573" s="50"/>
      <c r="J573" s="306"/>
    </row>
    <row r="574" spans="2:10">
      <c r="B574" s="413"/>
      <c r="C574" s="414"/>
      <c r="D574" s="414"/>
      <c r="E574" s="50"/>
      <c r="F574" s="403">
        <v>2756</v>
      </c>
      <c r="G574" s="406">
        <v>18153</v>
      </c>
      <c r="H574" s="50"/>
      <c r="I574" s="50"/>
      <c r="J574" s="306"/>
    </row>
    <row r="575" spans="2:10">
      <c r="B575" s="413"/>
      <c r="C575" s="414"/>
      <c r="D575" s="414"/>
      <c r="E575" s="50"/>
      <c r="F575" s="403">
        <v>2757</v>
      </c>
      <c r="G575" s="406">
        <v>16598</v>
      </c>
      <c r="H575" s="50"/>
      <c r="I575" s="50"/>
      <c r="J575" s="306"/>
    </row>
    <row r="576" spans="2:10">
      <c r="B576" s="413"/>
      <c r="C576" s="414"/>
      <c r="D576" s="414"/>
      <c r="E576" s="50"/>
      <c r="F576" s="403">
        <v>2758</v>
      </c>
      <c r="G576" s="406">
        <v>16466</v>
      </c>
      <c r="H576" s="50"/>
      <c r="I576" s="50"/>
      <c r="J576" s="306"/>
    </row>
    <row r="577" spans="2:10">
      <c r="B577" s="413"/>
      <c r="C577" s="414"/>
      <c r="D577" s="414"/>
      <c r="E577" s="50"/>
      <c r="F577" s="403">
        <v>2759</v>
      </c>
      <c r="G577" s="406">
        <v>17293</v>
      </c>
      <c r="H577" s="50"/>
      <c r="I577" s="50"/>
      <c r="J577" s="306"/>
    </row>
    <row r="578" spans="2:10">
      <c r="B578" s="413"/>
      <c r="C578" s="414"/>
      <c r="D578" s="414"/>
      <c r="E578" s="50"/>
      <c r="F578" s="403">
        <v>2760</v>
      </c>
      <c r="G578" s="406">
        <v>17164</v>
      </c>
      <c r="H578" s="50"/>
      <c r="I578" s="50"/>
      <c r="J578" s="306"/>
    </row>
    <row r="579" spans="2:10">
      <c r="B579" s="413"/>
      <c r="C579" s="414"/>
      <c r="D579" s="414"/>
      <c r="E579" s="50"/>
      <c r="F579" s="403">
        <v>2761</v>
      </c>
      <c r="G579" s="406">
        <v>16653</v>
      </c>
      <c r="H579" s="50"/>
      <c r="I579" s="50"/>
      <c r="J579" s="306"/>
    </row>
    <row r="580" spans="2:10">
      <c r="B580" s="413"/>
      <c r="C580" s="414"/>
      <c r="D580" s="414"/>
      <c r="E580" s="50"/>
      <c r="F580" s="403">
        <v>2762</v>
      </c>
      <c r="G580" s="406">
        <v>16018</v>
      </c>
      <c r="H580" s="50"/>
      <c r="I580" s="50"/>
      <c r="J580" s="306"/>
    </row>
    <row r="581" spans="2:10">
      <c r="B581" s="413"/>
      <c r="C581" s="414"/>
      <c r="D581" s="414"/>
      <c r="E581" s="50"/>
      <c r="F581" s="403">
        <v>2763</v>
      </c>
      <c r="G581" s="406">
        <v>16018</v>
      </c>
      <c r="H581" s="50"/>
      <c r="I581" s="50"/>
      <c r="J581" s="306"/>
    </row>
    <row r="582" spans="2:10">
      <c r="B582" s="413"/>
      <c r="C582" s="414"/>
      <c r="D582" s="414"/>
      <c r="E582" s="50"/>
      <c r="F582" s="403">
        <v>2765</v>
      </c>
      <c r="G582" s="406">
        <v>15919</v>
      </c>
      <c r="H582" s="50"/>
      <c r="I582" s="50"/>
      <c r="J582" s="306"/>
    </row>
    <row r="583" spans="2:10">
      <c r="B583" s="413"/>
      <c r="C583" s="414"/>
      <c r="D583" s="414"/>
      <c r="E583" s="50"/>
      <c r="F583" s="403">
        <v>2766</v>
      </c>
      <c r="G583" s="406">
        <v>17759</v>
      </c>
      <c r="H583" s="50"/>
      <c r="I583" s="50"/>
      <c r="J583" s="306"/>
    </row>
    <row r="584" spans="2:10">
      <c r="B584" s="413"/>
      <c r="C584" s="414"/>
      <c r="D584" s="414"/>
      <c r="E584" s="50"/>
      <c r="F584" s="403">
        <v>2767</v>
      </c>
      <c r="G584" s="406">
        <v>17192</v>
      </c>
      <c r="H584" s="50"/>
      <c r="I584" s="50"/>
      <c r="J584" s="306"/>
    </row>
    <row r="585" spans="2:10">
      <c r="B585" s="413"/>
      <c r="C585" s="414"/>
      <c r="D585" s="414"/>
      <c r="E585" s="50"/>
      <c r="F585" s="403">
        <v>2768</v>
      </c>
      <c r="G585" s="406">
        <v>16974</v>
      </c>
      <c r="H585" s="50"/>
      <c r="I585" s="50"/>
      <c r="J585" s="306"/>
    </row>
    <row r="586" spans="2:10">
      <c r="B586" s="413"/>
      <c r="C586" s="414"/>
      <c r="D586" s="414"/>
      <c r="E586" s="50"/>
      <c r="F586" s="403">
        <v>2770</v>
      </c>
      <c r="G586" s="406">
        <v>17213</v>
      </c>
      <c r="H586" s="50"/>
      <c r="I586" s="50"/>
      <c r="J586" s="306"/>
    </row>
    <row r="587" spans="2:10">
      <c r="B587" s="413"/>
      <c r="C587" s="414"/>
      <c r="D587" s="414"/>
      <c r="E587" s="50"/>
      <c r="F587" s="403">
        <v>2773</v>
      </c>
      <c r="G587" s="406">
        <v>16756</v>
      </c>
      <c r="H587" s="50"/>
      <c r="I587" s="50"/>
      <c r="J587" s="306"/>
    </row>
    <row r="588" spans="2:10">
      <c r="B588" s="413"/>
      <c r="C588" s="414"/>
      <c r="D588" s="414"/>
      <c r="E588" s="50"/>
      <c r="F588" s="403">
        <v>2774</v>
      </c>
      <c r="G588" s="406">
        <v>16594</v>
      </c>
      <c r="H588" s="50"/>
      <c r="I588" s="50"/>
      <c r="J588" s="306"/>
    </row>
    <row r="589" spans="2:10">
      <c r="B589" s="413"/>
      <c r="C589" s="414"/>
      <c r="D589" s="414"/>
      <c r="E589" s="50"/>
      <c r="F589" s="403">
        <v>2775</v>
      </c>
      <c r="G589" s="406">
        <v>18412</v>
      </c>
      <c r="H589" s="50"/>
      <c r="I589" s="50"/>
      <c r="J589" s="306"/>
    </row>
    <row r="590" spans="2:10">
      <c r="B590" s="413"/>
      <c r="C590" s="414"/>
      <c r="D590" s="414"/>
      <c r="E590" s="50"/>
      <c r="F590" s="403">
        <v>2776</v>
      </c>
      <c r="G590" s="406">
        <v>16669</v>
      </c>
      <c r="H590" s="50"/>
      <c r="I590" s="50"/>
      <c r="J590" s="306"/>
    </row>
    <row r="591" spans="2:10">
      <c r="B591" s="413"/>
      <c r="C591" s="414"/>
      <c r="D591" s="414"/>
      <c r="E591" s="50"/>
      <c r="F591" s="403">
        <v>2777</v>
      </c>
      <c r="G591" s="406">
        <v>16532</v>
      </c>
      <c r="H591" s="50"/>
      <c r="I591" s="50"/>
      <c r="J591" s="306"/>
    </row>
    <row r="592" spans="2:10">
      <c r="B592" s="413"/>
      <c r="C592" s="414"/>
      <c r="D592" s="414"/>
      <c r="E592" s="50"/>
      <c r="F592" s="403">
        <v>2778</v>
      </c>
      <c r="G592" s="406">
        <v>17706</v>
      </c>
      <c r="H592" s="50"/>
      <c r="I592" s="50"/>
      <c r="J592" s="306"/>
    </row>
    <row r="593" spans="2:10">
      <c r="B593" s="413"/>
      <c r="C593" s="414"/>
      <c r="D593" s="414"/>
      <c r="E593" s="50"/>
      <c r="F593" s="403">
        <v>2779</v>
      </c>
      <c r="G593" s="406">
        <v>17706</v>
      </c>
      <c r="H593" s="50"/>
      <c r="I593" s="50"/>
      <c r="J593" s="306"/>
    </row>
    <row r="594" spans="2:10">
      <c r="B594" s="413"/>
      <c r="C594" s="414"/>
      <c r="D594" s="414"/>
      <c r="E594" s="50"/>
      <c r="F594" s="403">
        <v>2780</v>
      </c>
      <c r="G594" s="406">
        <v>17706</v>
      </c>
      <c r="H594" s="50"/>
      <c r="I594" s="50"/>
      <c r="J594" s="306"/>
    </row>
    <row r="595" spans="2:10">
      <c r="B595" s="413"/>
      <c r="C595" s="414"/>
      <c r="D595" s="414"/>
      <c r="E595" s="50"/>
      <c r="F595" s="403">
        <v>2782</v>
      </c>
      <c r="G595" s="406">
        <v>17780</v>
      </c>
      <c r="H595" s="50"/>
      <c r="I595" s="50"/>
      <c r="J595" s="306"/>
    </row>
    <row r="596" spans="2:10">
      <c r="B596" s="413"/>
      <c r="C596" s="414"/>
      <c r="D596" s="414"/>
      <c r="E596" s="50"/>
      <c r="F596" s="403">
        <v>2783</v>
      </c>
      <c r="G596" s="406">
        <v>17706</v>
      </c>
      <c r="H596" s="50"/>
      <c r="I596" s="50"/>
      <c r="J596" s="306"/>
    </row>
    <row r="597" spans="2:10">
      <c r="B597" s="413"/>
      <c r="C597" s="414"/>
      <c r="D597" s="414"/>
      <c r="E597" s="50"/>
      <c r="F597" s="403">
        <v>2784</v>
      </c>
      <c r="G597" s="406">
        <v>17706</v>
      </c>
      <c r="H597" s="50"/>
      <c r="I597" s="50"/>
      <c r="J597" s="306"/>
    </row>
    <row r="598" spans="2:10">
      <c r="B598" s="413"/>
      <c r="C598" s="414"/>
      <c r="D598" s="414"/>
      <c r="E598" s="50"/>
      <c r="F598" s="403">
        <v>2785</v>
      </c>
      <c r="G598" s="406">
        <v>17780</v>
      </c>
      <c r="H598" s="50"/>
      <c r="I598" s="50"/>
      <c r="J598" s="306"/>
    </row>
    <row r="599" spans="2:10">
      <c r="B599" s="413"/>
      <c r="C599" s="414"/>
      <c r="D599" s="414"/>
      <c r="E599" s="50"/>
      <c r="F599" s="403">
        <v>2786</v>
      </c>
      <c r="G599" s="406">
        <v>17002</v>
      </c>
      <c r="H599" s="50"/>
      <c r="I599" s="50"/>
      <c r="J599" s="306"/>
    </row>
    <row r="600" spans="2:10">
      <c r="B600" s="413"/>
      <c r="C600" s="414"/>
      <c r="D600" s="414"/>
      <c r="E600" s="50"/>
      <c r="F600" s="403">
        <v>2787</v>
      </c>
      <c r="G600" s="406">
        <v>18380</v>
      </c>
      <c r="H600" s="50"/>
      <c r="I600" s="50"/>
      <c r="J600" s="306"/>
    </row>
    <row r="601" spans="2:10">
      <c r="B601" s="413"/>
      <c r="C601" s="414"/>
      <c r="D601" s="414"/>
      <c r="E601" s="50"/>
      <c r="F601" s="403">
        <v>2790</v>
      </c>
      <c r="G601" s="406">
        <v>16641</v>
      </c>
      <c r="H601" s="50"/>
      <c r="I601" s="50"/>
      <c r="J601" s="306"/>
    </row>
    <row r="602" spans="2:10">
      <c r="B602" s="413"/>
      <c r="C602" s="414"/>
      <c r="D602" s="414"/>
      <c r="E602" s="50"/>
      <c r="F602" s="403">
        <v>2791</v>
      </c>
      <c r="G602" s="406">
        <v>14430</v>
      </c>
      <c r="H602" s="50"/>
      <c r="I602" s="50"/>
      <c r="J602" s="306"/>
    </row>
    <row r="603" spans="2:10">
      <c r="B603" s="413"/>
      <c r="C603" s="414"/>
      <c r="D603" s="414"/>
      <c r="E603" s="50"/>
      <c r="F603" s="403">
        <v>2792</v>
      </c>
      <c r="G603" s="406">
        <v>14430</v>
      </c>
      <c r="H603" s="50"/>
      <c r="I603" s="50"/>
      <c r="J603" s="306"/>
    </row>
    <row r="604" spans="2:10">
      <c r="B604" s="413"/>
      <c r="C604" s="414"/>
      <c r="D604" s="414"/>
      <c r="E604" s="50"/>
      <c r="F604" s="403">
        <v>2793</v>
      </c>
      <c r="G604" s="406">
        <v>14713</v>
      </c>
      <c r="H604" s="50"/>
      <c r="I604" s="50"/>
      <c r="J604" s="306"/>
    </row>
    <row r="605" spans="2:10">
      <c r="B605" s="413"/>
      <c r="C605" s="414"/>
      <c r="D605" s="414"/>
      <c r="E605" s="50"/>
      <c r="F605" s="403">
        <v>2794</v>
      </c>
      <c r="G605" s="406">
        <v>14730</v>
      </c>
      <c r="H605" s="50"/>
      <c r="I605" s="50"/>
      <c r="J605" s="306"/>
    </row>
    <row r="606" spans="2:10">
      <c r="B606" s="413"/>
      <c r="C606" s="414"/>
      <c r="D606" s="414"/>
      <c r="E606" s="50"/>
      <c r="F606" s="403">
        <v>2795</v>
      </c>
      <c r="G606" s="406">
        <v>15437</v>
      </c>
      <c r="H606" s="50"/>
      <c r="I606" s="50"/>
      <c r="J606" s="306"/>
    </row>
    <row r="607" spans="2:10">
      <c r="B607" s="413"/>
      <c r="C607" s="414"/>
      <c r="D607" s="414"/>
      <c r="E607" s="50"/>
      <c r="F607" s="403">
        <v>2797</v>
      </c>
      <c r="G607" s="406">
        <v>14430</v>
      </c>
      <c r="H607" s="50"/>
      <c r="I607" s="50"/>
      <c r="J607" s="306"/>
    </row>
    <row r="608" spans="2:10">
      <c r="B608" s="413"/>
      <c r="C608" s="414"/>
      <c r="D608" s="414"/>
      <c r="E608" s="50"/>
      <c r="F608" s="403">
        <v>2798</v>
      </c>
      <c r="G608" s="406">
        <v>13065</v>
      </c>
      <c r="H608" s="50"/>
      <c r="I608" s="50"/>
      <c r="J608" s="306"/>
    </row>
    <row r="609" spans="2:10">
      <c r="B609" s="413"/>
      <c r="C609" s="414"/>
      <c r="D609" s="414"/>
      <c r="E609" s="50"/>
      <c r="F609" s="403">
        <v>2799</v>
      </c>
      <c r="G609" s="406">
        <v>15295</v>
      </c>
      <c r="H609" s="50"/>
      <c r="I609" s="50"/>
      <c r="J609" s="306"/>
    </row>
    <row r="610" spans="2:10">
      <c r="B610" s="413"/>
      <c r="C610" s="414"/>
      <c r="D610" s="414"/>
      <c r="E610" s="50"/>
      <c r="F610" s="403">
        <v>2800</v>
      </c>
      <c r="G610" s="406">
        <v>12789</v>
      </c>
      <c r="H610" s="50"/>
      <c r="I610" s="50"/>
      <c r="J610" s="306"/>
    </row>
    <row r="611" spans="2:10">
      <c r="B611" s="413"/>
      <c r="C611" s="414"/>
      <c r="D611" s="414"/>
      <c r="E611" s="50"/>
      <c r="F611" s="403">
        <v>2803</v>
      </c>
      <c r="G611" s="406">
        <v>14023</v>
      </c>
      <c r="H611" s="50"/>
      <c r="I611" s="50"/>
      <c r="J611" s="306"/>
    </row>
    <row r="612" spans="2:10">
      <c r="B612" s="413"/>
      <c r="C612" s="414"/>
      <c r="D612" s="414"/>
      <c r="E612" s="50"/>
      <c r="F612" s="403">
        <v>2804</v>
      </c>
      <c r="G612" s="406">
        <v>13783</v>
      </c>
      <c r="H612" s="50"/>
      <c r="I612" s="50"/>
      <c r="J612" s="306"/>
    </row>
    <row r="613" spans="2:10">
      <c r="B613" s="413"/>
      <c r="C613" s="414"/>
      <c r="D613" s="414"/>
      <c r="E613" s="50"/>
      <c r="F613" s="403">
        <v>2805</v>
      </c>
      <c r="G613" s="406">
        <v>14344</v>
      </c>
      <c r="H613" s="50"/>
      <c r="I613" s="50"/>
      <c r="J613" s="306"/>
    </row>
    <row r="614" spans="2:10">
      <c r="B614" s="413"/>
      <c r="C614" s="414"/>
      <c r="D614" s="414"/>
      <c r="E614" s="50"/>
      <c r="F614" s="403">
        <v>2806</v>
      </c>
      <c r="G614" s="406">
        <v>13964</v>
      </c>
      <c r="H614" s="50"/>
      <c r="I614" s="50"/>
      <c r="J614" s="306"/>
    </row>
    <row r="615" spans="2:10">
      <c r="B615" s="413"/>
      <c r="C615" s="414"/>
      <c r="D615" s="414"/>
      <c r="E615" s="50"/>
      <c r="F615" s="403">
        <v>2807</v>
      </c>
      <c r="G615" s="406">
        <v>14335</v>
      </c>
      <c r="H615" s="50"/>
      <c r="I615" s="50"/>
      <c r="J615" s="306"/>
    </row>
    <row r="616" spans="2:10">
      <c r="B616" s="413"/>
      <c r="C616" s="414"/>
      <c r="D616" s="414"/>
      <c r="E616" s="50"/>
      <c r="F616" s="403">
        <v>2808</v>
      </c>
      <c r="G616" s="406">
        <v>14839</v>
      </c>
      <c r="H616" s="50"/>
      <c r="I616" s="50"/>
      <c r="J616" s="306"/>
    </row>
    <row r="617" spans="2:10">
      <c r="B617" s="413"/>
      <c r="C617" s="414"/>
      <c r="D617" s="414"/>
      <c r="E617" s="50"/>
      <c r="F617" s="403">
        <v>2809</v>
      </c>
      <c r="G617" s="406">
        <v>13641</v>
      </c>
      <c r="H617" s="50"/>
      <c r="I617" s="50"/>
      <c r="J617" s="306"/>
    </row>
    <row r="618" spans="2:10">
      <c r="B618" s="413"/>
      <c r="C618" s="414"/>
      <c r="D618" s="414"/>
      <c r="E618" s="50"/>
      <c r="F618" s="403">
        <v>2810</v>
      </c>
      <c r="G618" s="406">
        <v>15044</v>
      </c>
      <c r="H618" s="50"/>
      <c r="I618" s="50"/>
      <c r="J618" s="306"/>
    </row>
    <row r="619" spans="2:10">
      <c r="B619" s="413"/>
      <c r="C619" s="414"/>
      <c r="D619" s="414"/>
      <c r="E619" s="50"/>
      <c r="F619" s="403">
        <v>2820</v>
      </c>
      <c r="G619" s="406">
        <v>13911</v>
      </c>
      <c r="H619" s="50"/>
      <c r="I619" s="50"/>
      <c r="J619" s="306"/>
    </row>
    <row r="620" spans="2:10">
      <c r="B620" s="413"/>
      <c r="C620" s="414"/>
      <c r="D620" s="414"/>
      <c r="E620" s="50"/>
      <c r="F620" s="403">
        <v>2821</v>
      </c>
      <c r="G620" s="406">
        <v>13881</v>
      </c>
      <c r="H620" s="50"/>
      <c r="I620" s="50"/>
      <c r="J620" s="306"/>
    </row>
    <row r="621" spans="2:10">
      <c r="B621" s="413"/>
      <c r="C621" s="414"/>
      <c r="D621" s="414"/>
      <c r="E621" s="50"/>
      <c r="F621" s="403">
        <v>2823</v>
      </c>
      <c r="G621" s="406">
        <v>14643</v>
      </c>
      <c r="H621" s="50"/>
      <c r="I621" s="50"/>
      <c r="J621" s="306"/>
    </row>
    <row r="622" spans="2:10">
      <c r="B622" s="413"/>
      <c r="C622" s="414"/>
      <c r="D622" s="414"/>
      <c r="E622" s="50"/>
      <c r="F622" s="403">
        <v>2824</v>
      </c>
      <c r="G622" s="406">
        <v>16544</v>
      </c>
      <c r="H622" s="50"/>
      <c r="I622" s="50"/>
      <c r="J622" s="306"/>
    </row>
    <row r="623" spans="2:10">
      <c r="B623" s="413"/>
      <c r="C623" s="414"/>
      <c r="D623" s="414"/>
      <c r="E623" s="50"/>
      <c r="F623" s="403">
        <v>2825</v>
      </c>
      <c r="G623" s="406">
        <v>16993</v>
      </c>
      <c r="H623" s="50"/>
      <c r="I623" s="50"/>
      <c r="J623" s="306"/>
    </row>
    <row r="624" spans="2:10">
      <c r="B624" s="413"/>
      <c r="C624" s="414"/>
      <c r="D624" s="414"/>
      <c r="E624" s="50"/>
      <c r="F624" s="403">
        <v>2827</v>
      </c>
      <c r="G624" s="406">
        <v>14012</v>
      </c>
      <c r="H624" s="50"/>
      <c r="I624" s="50"/>
      <c r="J624" s="306"/>
    </row>
    <row r="625" spans="2:10">
      <c r="B625" s="413"/>
      <c r="C625" s="414"/>
      <c r="D625" s="414"/>
      <c r="E625" s="50"/>
      <c r="F625" s="403">
        <v>2828</v>
      </c>
      <c r="G625" s="406">
        <v>18929</v>
      </c>
      <c r="H625" s="50"/>
      <c r="I625" s="50"/>
      <c r="J625" s="306"/>
    </row>
    <row r="626" spans="2:10">
      <c r="B626" s="413"/>
      <c r="C626" s="414"/>
      <c r="D626" s="414"/>
      <c r="E626" s="50"/>
      <c r="F626" s="403">
        <v>2829</v>
      </c>
      <c r="G626" s="406">
        <v>17471</v>
      </c>
      <c r="H626" s="50"/>
      <c r="I626" s="50"/>
      <c r="J626" s="306"/>
    </row>
    <row r="627" spans="2:10">
      <c r="B627" s="413"/>
      <c r="C627" s="414"/>
      <c r="D627" s="414"/>
      <c r="E627" s="50"/>
      <c r="F627" s="403">
        <v>2830</v>
      </c>
      <c r="G627" s="406">
        <v>13876</v>
      </c>
      <c r="H627" s="50"/>
      <c r="I627" s="50"/>
      <c r="J627" s="306"/>
    </row>
    <row r="628" spans="2:10">
      <c r="B628" s="413"/>
      <c r="C628" s="414"/>
      <c r="D628" s="414"/>
      <c r="E628" s="50"/>
      <c r="F628" s="403">
        <v>2831</v>
      </c>
      <c r="G628" s="406">
        <v>17510</v>
      </c>
      <c r="H628" s="50"/>
      <c r="I628" s="50"/>
      <c r="J628" s="306"/>
    </row>
    <row r="629" spans="2:10">
      <c r="B629" s="413"/>
      <c r="C629" s="414"/>
      <c r="D629" s="414"/>
      <c r="E629" s="50"/>
      <c r="F629" s="403">
        <v>2832</v>
      </c>
      <c r="G629" s="406">
        <v>17264</v>
      </c>
      <c r="H629" s="50"/>
      <c r="I629" s="50"/>
      <c r="J629" s="306"/>
    </row>
    <row r="630" spans="2:10">
      <c r="B630" s="413"/>
      <c r="C630" s="414"/>
      <c r="D630" s="414"/>
      <c r="E630" s="50"/>
      <c r="F630" s="403">
        <v>2833</v>
      </c>
      <c r="G630" s="406">
        <v>16992</v>
      </c>
      <c r="H630" s="50"/>
      <c r="I630" s="50"/>
      <c r="J630" s="306"/>
    </row>
    <row r="631" spans="2:10">
      <c r="B631" s="413"/>
      <c r="C631" s="414"/>
      <c r="D631" s="414"/>
      <c r="E631" s="50"/>
      <c r="F631" s="403">
        <v>2834</v>
      </c>
      <c r="G631" s="406">
        <v>17198</v>
      </c>
      <c r="H631" s="50"/>
      <c r="I631" s="50"/>
      <c r="J631" s="306"/>
    </row>
    <row r="632" spans="2:10">
      <c r="B632" s="413"/>
      <c r="C632" s="414"/>
      <c r="D632" s="414"/>
      <c r="E632" s="50"/>
      <c r="F632" s="403">
        <v>2835</v>
      </c>
      <c r="G632" s="406">
        <v>18376</v>
      </c>
      <c r="H632" s="50"/>
      <c r="I632" s="50"/>
      <c r="J632" s="306"/>
    </row>
    <row r="633" spans="2:10">
      <c r="B633" s="413"/>
      <c r="C633" s="414"/>
      <c r="D633" s="414"/>
      <c r="E633" s="50"/>
      <c r="F633" s="403">
        <v>2836</v>
      </c>
      <c r="G633" s="406">
        <v>18027</v>
      </c>
      <c r="H633" s="50"/>
      <c r="I633" s="50"/>
      <c r="J633" s="306"/>
    </row>
    <row r="634" spans="2:10">
      <c r="B634" s="413"/>
      <c r="C634" s="414"/>
      <c r="D634" s="414"/>
      <c r="E634" s="50"/>
      <c r="F634" s="403">
        <v>2839</v>
      </c>
      <c r="G634" s="406">
        <v>17095</v>
      </c>
      <c r="H634" s="50"/>
      <c r="I634" s="50"/>
      <c r="J634" s="306"/>
    </row>
    <row r="635" spans="2:10">
      <c r="B635" s="413"/>
      <c r="C635" s="414"/>
      <c r="D635" s="414"/>
      <c r="E635" s="50"/>
      <c r="F635" s="403">
        <v>2840</v>
      </c>
      <c r="G635" s="406">
        <v>19288</v>
      </c>
      <c r="H635" s="50"/>
      <c r="I635" s="50"/>
      <c r="J635" s="306"/>
    </row>
    <row r="636" spans="2:10">
      <c r="B636" s="413"/>
      <c r="C636" s="414"/>
      <c r="D636" s="414"/>
      <c r="E636" s="50"/>
      <c r="F636" s="403">
        <v>2842</v>
      </c>
      <c r="G636" s="406">
        <v>14119</v>
      </c>
      <c r="H636" s="50"/>
      <c r="I636" s="50"/>
      <c r="J636" s="306"/>
    </row>
    <row r="637" spans="2:10">
      <c r="B637" s="413"/>
      <c r="C637" s="414"/>
      <c r="D637" s="414"/>
      <c r="E637" s="50"/>
      <c r="F637" s="403">
        <v>2843</v>
      </c>
      <c r="G637" s="406">
        <v>18139</v>
      </c>
      <c r="H637" s="50"/>
      <c r="I637" s="50"/>
      <c r="J637" s="306"/>
    </row>
    <row r="638" spans="2:10">
      <c r="B638" s="413"/>
      <c r="C638" s="414"/>
      <c r="D638" s="414"/>
      <c r="E638" s="50"/>
      <c r="F638" s="403">
        <v>2844</v>
      </c>
      <c r="G638" s="406">
        <v>14250</v>
      </c>
      <c r="H638" s="50"/>
      <c r="I638" s="50"/>
      <c r="J638" s="306"/>
    </row>
    <row r="639" spans="2:10">
      <c r="B639" s="413"/>
      <c r="C639" s="414"/>
      <c r="D639" s="414"/>
      <c r="E639" s="50"/>
      <c r="F639" s="403">
        <v>2845</v>
      </c>
      <c r="G639" s="406">
        <v>16641</v>
      </c>
      <c r="H639" s="50"/>
      <c r="I639" s="50"/>
      <c r="J639" s="306"/>
    </row>
    <row r="640" spans="2:10">
      <c r="B640" s="413"/>
      <c r="C640" s="414"/>
      <c r="D640" s="414"/>
      <c r="E640" s="50"/>
      <c r="F640" s="403">
        <v>2846</v>
      </c>
      <c r="G640" s="406">
        <v>16627</v>
      </c>
      <c r="H640" s="50"/>
      <c r="I640" s="50"/>
      <c r="J640" s="306"/>
    </row>
    <row r="641" spans="2:10">
      <c r="B641" s="413"/>
      <c r="C641" s="414"/>
      <c r="D641" s="414"/>
      <c r="E641" s="50"/>
      <c r="F641" s="403">
        <v>2847</v>
      </c>
      <c r="G641" s="406">
        <v>15964</v>
      </c>
      <c r="H641" s="50"/>
      <c r="I641" s="50"/>
      <c r="J641" s="306"/>
    </row>
    <row r="642" spans="2:10">
      <c r="B642" s="413"/>
      <c r="C642" s="414"/>
      <c r="D642" s="414"/>
      <c r="E642" s="50"/>
      <c r="F642" s="403">
        <v>2848</v>
      </c>
      <c r="G642" s="406">
        <v>16728</v>
      </c>
      <c r="H642" s="50"/>
      <c r="I642" s="50"/>
      <c r="J642" s="306"/>
    </row>
    <row r="643" spans="2:10">
      <c r="B643" s="413"/>
      <c r="C643" s="414"/>
      <c r="D643" s="414"/>
      <c r="E643" s="50"/>
      <c r="F643" s="403">
        <v>2849</v>
      </c>
      <c r="G643" s="406">
        <v>16871</v>
      </c>
      <c r="H643" s="50"/>
      <c r="I643" s="50"/>
      <c r="J643" s="306"/>
    </row>
    <row r="644" spans="2:10">
      <c r="B644" s="413"/>
      <c r="C644" s="414"/>
      <c r="D644" s="414"/>
      <c r="E644" s="50"/>
      <c r="F644" s="403">
        <v>2850</v>
      </c>
      <c r="G644" s="406">
        <v>16871</v>
      </c>
      <c r="H644" s="50"/>
      <c r="I644" s="50"/>
      <c r="J644" s="306"/>
    </row>
    <row r="645" spans="2:10">
      <c r="B645" s="413"/>
      <c r="C645" s="414"/>
      <c r="D645" s="414"/>
      <c r="E645" s="50"/>
      <c r="F645" s="403">
        <v>2852</v>
      </c>
      <c r="G645" s="406">
        <v>16203</v>
      </c>
      <c r="H645" s="50"/>
      <c r="I645" s="50"/>
      <c r="J645" s="306"/>
    </row>
    <row r="646" spans="2:10">
      <c r="B646" s="413"/>
      <c r="C646" s="414"/>
      <c r="D646" s="414"/>
      <c r="E646" s="50"/>
      <c r="F646" s="403">
        <v>2864</v>
      </c>
      <c r="G646" s="406">
        <v>12861</v>
      </c>
      <c r="H646" s="50"/>
      <c r="I646" s="50"/>
      <c r="J646" s="306"/>
    </row>
    <row r="647" spans="2:10">
      <c r="B647" s="413"/>
      <c r="C647" s="414"/>
      <c r="D647" s="414"/>
      <c r="E647" s="50"/>
      <c r="F647" s="403">
        <v>2865</v>
      </c>
      <c r="G647" s="406">
        <v>12859</v>
      </c>
      <c r="H647" s="50"/>
      <c r="I647" s="50"/>
      <c r="J647" s="306"/>
    </row>
    <row r="648" spans="2:10">
      <c r="B648" s="413"/>
      <c r="C648" s="414"/>
      <c r="D648" s="414"/>
      <c r="E648" s="50"/>
      <c r="F648" s="403">
        <v>2866</v>
      </c>
      <c r="G648" s="406">
        <v>12811</v>
      </c>
      <c r="H648" s="50"/>
      <c r="I648" s="50"/>
      <c r="J648" s="306"/>
    </row>
    <row r="649" spans="2:10">
      <c r="B649" s="413"/>
      <c r="C649" s="414"/>
      <c r="D649" s="414"/>
      <c r="E649" s="50"/>
      <c r="F649" s="403">
        <v>2867</v>
      </c>
      <c r="G649" s="406">
        <v>13791</v>
      </c>
      <c r="H649" s="50"/>
      <c r="I649" s="50"/>
      <c r="J649" s="306"/>
    </row>
    <row r="650" spans="2:10">
      <c r="B650" s="413"/>
      <c r="C650" s="414"/>
      <c r="D650" s="414"/>
      <c r="E650" s="50"/>
      <c r="F650" s="403">
        <v>2868</v>
      </c>
      <c r="G650" s="406">
        <v>13926</v>
      </c>
      <c r="H650" s="50"/>
      <c r="I650" s="50"/>
      <c r="J650" s="306"/>
    </row>
    <row r="651" spans="2:10">
      <c r="B651" s="413"/>
      <c r="C651" s="414"/>
      <c r="D651" s="414"/>
      <c r="E651" s="50"/>
      <c r="F651" s="403">
        <v>2869</v>
      </c>
      <c r="G651" s="406">
        <v>14105</v>
      </c>
      <c r="H651" s="50"/>
      <c r="I651" s="50"/>
      <c r="J651" s="306"/>
    </row>
    <row r="652" spans="2:10">
      <c r="B652" s="413"/>
      <c r="C652" s="414"/>
      <c r="D652" s="414"/>
      <c r="E652" s="50"/>
      <c r="F652" s="403">
        <v>2870</v>
      </c>
      <c r="G652" s="406">
        <v>14114</v>
      </c>
      <c r="H652" s="50"/>
      <c r="I652" s="50"/>
      <c r="J652" s="306"/>
    </row>
    <row r="653" spans="2:10">
      <c r="B653" s="413"/>
      <c r="C653" s="414"/>
      <c r="D653" s="414"/>
      <c r="E653" s="50"/>
      <c r="F653" s="403">
        <v>2871</v>
      </c>
      <c r="G653" s="406">
        <v>14710</v>
      </c>
      <c r="H653" s="50"/>
      <c r="I653" s="50"/>
      <c r="J653" s="306"/>
    </row>
    <row r="654" spans="2:10">
      <c r="B654" s="413"/>
      <c r="C654" s="414"/>
      <c r="D654" s="414"/>
      <c r="E654" s="50"/>
      <c r="F654" s="403">
        <v>2873</v>
      </c>
      <c r="G654" s="406">
        <v>14973</v>
      </c>
      <c r="H654" s="50"/>
      <c r="I654" s="50"/>
      <c r="J654" s="306"/>
    </row>
    <row r="655" spans="2:10">
      <c r="B655" s="413"/>
      <c r="C655" s="414"/>
      <c r="D655" s="414"/>
      <c r="E655" s="50"/>
      <c r="F655" s="403">
        <v>2874</v>
      </c>
      <c r="G655" s="406">
        <v>14125</v>
      </c>
      <c r="H655" s="50"/>
      <c r="I655" s="50"/>
      <c r="J655" s="306"/>
    </row>
    <row r="656" spans="2:10">
      <c r="B656" s="413"/>
      <c r="C656" s="414"/>
      <c r="D656" s="414"/>
      <c r="E656" s="50"/>
      <c r="F656" s="403">
        <v>2875</v>
      </c>
      <c r="G656" s="406">
        <v>14396</v>
      </c>
      <c r="H656" s="50"/>
      <c r="I656" s="50"/>
      <c r="J656" s="306"/>
    </row>
    <row r="657" spans="2:10">
      <c r="B657" s="413"/>
      <c r="C657" s="414"/>
      <c r="D657" s="414"/>
      <c r="E657" s="50"/>
      <c r="F657" s="403">
        <v>2876</v>
      </c>
      <c r="G657" s="406">
        <v>14425</v>
      </c>
      <c r="H657" s="50"/>
      <c r="I657" s="50"/>
      <c r="J657" s="306"/>
    </row>
    <row r="658" spans="2:10">
      <c r="B658" s="413"/>
      <c r="C658" s="414"/>
      <c r="D658" s="414"/>
      <c r="E658" s="50"/>
      <c r="F658" s="403">
        <v>2877</v>
      </c>
      <c r="G658" s="406">
        <v>17269</v>
      </c>
      <c r="H658" s="50"/>
      <c r="I658" s="50"/>
      <c r="J658" s="306"/>
    </row>
    <row r="659" spans="2:10">
      <c r="B659" s="413"/>
      <c r="C659" s="414"/>
      <c r="D659" s="414"/>
      <c r="E659" s="50"/>
      <c r="F659" s="403">
        <v>2878</v>
      </c>
      <c r="G659" s="406">
        <v>16077</v>
      </c>
      <c r="H659" s="50"/>
      <c r="I659" s="50"/>
      <c r="J659" s="306"/>
    </row>
    <row r="660" spans="2:10">
      <c r="B660" s="413"/>
      <c r="C660" s="414"/>
      <c r="D660" s="414"/>
      <c r="E660" s="50"/>
      <c r="F660" s="403">
        <v>2879</v>
      </c>
      <c r="G660" s="406">
        <v>16631</v>
      </c>
      <c r="H660" s="50"/>
      <c r="I660" s="50"/>
      <c r="J660" s="306"/>
    </row>
    <row r="661" spans="2:10">
      <c r="B661" s="413"/>
      <c r="C661" s="414"/>
      <c r="D661" s="414"/>
      <c r="E661" s="50"/>
      <c r="F661" s="403">
        <v>2880</v>
      </c>
      <c r="G661" s="406">
        <v>17994</v>
      </c>
      <c r="H661" s="50"/>
      <c r="I661" s="50"/>
      <c r="J661" s="306"/>
    </row>
    <row r="662" spans="2:10">
      <c r="B662" s="413"/>
      <c r="C662" s="414"/>
      <c r="D662" s="414"/>
      <c r="E662" s="50"/>
      <c r="F662" s="403">
        <v>2900</v>
      </c>
      <c r="G662" s="406">
        <v>15903</v>
      </c>
      <c r="H662" s="50"/>
      <c r="I662" s="50"/>
      <c r="J662" s="306"/>
    </row>
    <row r="663" spans="2:10">
      <c r="B663" s="413"/>
      <c r="C663" s="414"/>
      <c r="D663" s="414"/>
      <c r="E663" s="50"/>
      <c r="F663" s="403">
        <v>2902</v>
      </c>
      <c r="G663" s="406">
        <v>15754</v>
      </c>
      <c r="H663" s="50"/>
      <c r="I663" s="50"/>
      <c r="J663" s="306"/>
    </row>
    <row r="664" spans="2:10">
      <c r="B664" s="413"/>
      <c r="C664" s="414"/>
      <c r="D664" s="414"/>
      <c r="E664" s="50"/>
      <c r="F664" s="403">
        <v>2903</v>
      </c>
      <c r="G664" s="406">
        <v>15903</v>
      </c>
      <c r="H664" s="50"/>
      <c r="I664" s="50"/>
      <c r="J664" s="306"/>
    </row>
    <row r="665" spans="2:10">
      <c r="B665" s="413"/>
      <c r="C665" s="414"/>
      <c r="D665" s="414"/>
      <c r="E665" s="50"/>
      <c r="F665" s="403">
        <v>2904</v>
      </c>
      <c r="G665" s="406">
        <v>15903</v>
      </c>
      <c r="H665" s="50"/>
      <c r="I665" s="50"/>
      <c r="J665" s="306"/>
    </row>
    <row r="666" spans="2:10">
      <c r="B666" s="413"/>
      <c r="C666" s="414"/>
      <c r="D666" s="414"/>
      <c r="E666" s="50"/>
      <c r="F666" s="403">
        <v>2905</v>
      </c>
      <c r="G666" s="406">
        <v>15942</v>
      </c>
      <c r="H666" s="50"/>
      <c r="I666" s="50"/>
      <c r="J666" s="306"/>
    </row>
    <row r="667" spans="2:10">
      <c r="B667" s="413"/>
      <c r="C667" s="414"/>
      <c r="D667" s="414"/>
      <c r="E667" s="50"/>
      <c r="F667" s="403">
        <v>2906</v>
      </c>
      <c r="G667" s="406">
        <v>15942</v>
      </c>
      <c r="H667" s="50"/>
      <c r="I667" s="50"/>
      <c r="J667" s="306"/>
    </row>
    <row r="668" spans="2:10">
      <c r="B668" s="413"/>
      <c r="C668" s="414"/>
      <c r="D668" s="414"/>
      <c r="E668" s="50"/>
      <c r="F668" s="403">
        <v>2911</v>
      </c>
      <c r="G668" s="406">
        <v>15371</v>
      </c>
      <c r="H668" s="50"/>
      <c r="I668" s="50"/>
      <c r="J668" s="306"/>
    </row>
    <row r="669" spans="2:10">
      <c r="B669" s="413"/>
      <c r="C669" s="414"/>
      <c r="D669" s="414"/>
      <c r="E669" s="50"/>
      <c r="F669" s="403">
        <v>2912</v>
      </c>
      <c r="G669" s="406">
        <v>15911</v>
      </c>
      <c r="H669" s="50"/>
      <c r="I669" s="50"/>
      <c r="J669" s="306"/>
    </row>
    <row r="670" spans="2:10">
      <c r="B670" s="413"/>
      <c r="C670" s="414"/>
      <c r="D670" s="414"/>
      <c r="E670" s="50"/>
      <c r="F670" s="403">
        <v>2913</v>
      </c>
      <c r="G670" s="406">
        <v>15738</v>
      </c>
      <c r="H670" s="50"/>
      <c r="I670" s="50"/>
      <c r="J670" s="306"/>
    </row>
    <row r="671" spans="2:10">
      <c r="B671" s="413"/>
      <c r="C671" s="414"/>
      <c r="D671" s="414"/>
      <c r="E671" s="50"/>
      <c r="F671" s="403">
        <v>2914</v>
      </c>
      <c r="G671" s="406">
        <v>15738</v>
      </c>
      <c r="H671" s="50"/>
      <c r="I671" s="50"/>
      <c r="J671" s="306"/>
    </row>
    <row r="672" spans="2:10">
      <c r="B672" s="413"/>
      <c r="C672" s="414"/>
      <c r="D672" s="414"/>
      <c r="E672" s="50"/>
      <c r="F672" s="403">
        <v>3000</v>
      </c>
      <c r="G672" s="406">
        <v>10165</v>
      </c>
      <c r="H672" s="50"/>
      <c r="I672" s="50"/>
      <c r="J672" s="306"/>
    </row>
    <row r="673" spans="2:10">
      <c r="B673" s="413"/>
      <c r="C673" s="414"/>
      <c r="D673" s="414"/>
      <c r="E673" s="50"/>
      <c r="F673" s="403">
        <v>3002</v>
      </c>
      <c r="G673" s="406">
        <v>10216</v>
      </c>
      <c r="H673" s="50"/>
      <c r="I673" s="50"/>
      <c r="J673" s="306"/>
    </row>
    <row r="674" spans="2:10">
      <c r="B674" s="413"/>
      <c r="C674" s="414"/>
      <c r="D674" s="414"/>
      <c r="E674" s="50"/>
      <c r="F674" s="403">
        <v>3003</v>
      </c>
      <c r="G674" s="406">
        <v>11383</v>
      </c>
      <c r="H674" s="50"/>
      <c r="I674" s="50"/>
      <c r="J674" s="306"/>
    </row>
    <row r="675" spans="2:10">
      <c r="B675" s="413"/>
      <c r="C675" s="414"/>
      <c r="D675" s="414"/>
      <c r="E675" s="50"/>
      <c r="F675" s="403">
        <v>3004</v>
      </c>
      <c r="G675" s="406">
        <v>10459</v>
      </c>
      <c r="H675" s="50"/>
      <c r="I675" s="50"/>
      <c r="J675" s="306"/>
    </row>
    <row r="676" spans="2:10">
      <c r="B676" s="413"/>
      <c r="C676" s="414"/>
      <c r="D676" s="414"/>
      <c r="E676" s="50"/>
      <c r="F676" s="403">
        <v>3005</v>
      </c>
      <c r="G676" s="406">
        <v>10273</v>
      </c>
      <c r="H676" s="50"/>
      <c r="I676" s="50"/>
      <c r="J676" s="306"/>
    </row>
    <row r="677" spans="2:10">
      <c r="B677" s="413"/>
      <c r="C677" s="414"/>
      <c r="D677" s="414"/>
      <c r="E677" s="50"/>
      <c r="F677" s="403">
        <v>3006</v>
      </c>
      <c r="G677" s="406">
        <v>10064</v>
      </c>
      <c r="H677" s="50"/>
      <c r="I677" s="50"/>
      <c r="J677" s="306"/>
    </row>
    <row r="678" spans="2:10">
      <c r="B678" s="413"/>
      <c r="C678" s="414"/>
      <c r="D678" s="414"/>
      <c r="E678" s="50"/>
      <c r="F678" s="403">
        <v>3008</v>
      </c>
      <c r="G678" s="406">
        <v>10410</v>
      </c>
      <c r="H678" s="50"/>
      <c r="I678" s="50"/>
      <c r="J678" s="306"/>
    </row>
    <row r="679" spans="2:10">
      <c r="B679" s="413"/>
      <c r="C679" s="414"/>
      <c r="D679" s="414"/>
      <c r="E679" s="50"/>
      <c r="F679" s="403">
        <v>3010</v>
      </c>
      <c r="G679" s="406">
        <v>10528</v>
      </c>
      <c r="H679" s="50"/>
      <c r="I679" s="50"/>
      <c r="J679" s="306"/>
    </row>
    <row r="680" spans="2:10">
      <c r="B680" s="413"/>
      <c r="C680" s="414"/>
      <c r="D680" s="414"/>
      <c r="E680" s="50"/>
      <c r="F680" s="403">
        <v>3011</v>
      </c>
      <c r="G680" s="406">
        <v>13368</v>
      </c>
      <c r="H680" s="50"/>
      <c r="I680" s="50"/>
      <c r="J680" s="306"/>
    </row>
    <row r="681" spans="2:10">
      <c r="B681" s="413"/>
      <c r="C681" s="414"/>
      <c r="D681" s="414"/>
      <c r="E681" s="50"/>
      <c r="F681" s="403">
        <v>3012</v>
      </c>
      <c r="G681" s="406">
        <v>13742</v>
      </c>
      <c r="H681" s="50"/>
      <c r="I681" s="50"/>
      <c r="J681" s="306"/>
    </row>
    <row r="682" spans="2:10">
      <c r="B682" s="413"/>
      <c r="C682" s="414"/>
      <c r="D682" s="414"/>
      <c r="E682" s="50"/>
      <c r="F682" s="403">
        <v>3013</v>
      </c>
      <c r="G682" s="406">
        <v>12335</v>
      </c>
      <c r="H682" s="50"/>
      <c r="I682" s="50"/>
      <c r="J682" s="306"/>
    </row>
    <row r="683" spans="2:10">
      <c r="B683" s="413"/>
      <c r="C683" s="414"/>
      <c r="D683" s="414"/>
      <c r="E683" s="50"/>
      <c r="F683" s="403">
        <v>3015</v>
      </c>
      <c r="G683" s="406">
        <v>11915</v>
      </c>
      <c r="H683" s="50"/>
      <c r="I683" s="50"/>
      <c r="J683" s="306"/>
    </row>
    <row r="684" spans="2:10">
      <c r="B684" s="413"/>
      <c r="C684" s="414"/>
      <c r="D684" s="414"/>
      <c r="E684" s="50"/>
      <c r="F684" s="403">
        <v>3016</v>
      </c>
      <c r="G684" s="406">
        <v>11779</v>
      </c>
      <c r="H684" s="50"/>
      <c r="I684" s="50"/>
      <c r="J684" s="306"/>
    </row>
    <row r="685" spans="2:10">
      <c r="B685" s="413"/>
      <c r="C685" s="414"/>
      <c r="D685" s="414"/>
      <c r="E685" s="50"/>
      <c r="F685" s="403">
        <v>3018</v>
      </c>
      <c r="G685" s="406">
        <v>12258</v>
      </c>
      <c r="H685" s="50"/>
      <c r="I685" s="50"/>
      <c r="J685" s="306"/>
    </row>
    <row r="686" spans="2:10">
      <c r="B686" s="413"/>
      <c r="C686" s="414"/>
      <c r="D686" s="414"/>
      <c r="E686" s="50"/>
      <c r="F686" s="403">
        <v>3019</v>
      </c>
      <c r="G686" s="406">
        <v>13742</v>
      </c>
      <c r="H686" s="50"/>
      <c r="I686" s="50"/>
      <c r="J686" s="306"/>
    </row>
    <row r="687" spans="2:10">
      <c r="B687" s="413"/>
      <c r="C687" s="414"/>
      <c r="D687" s="414"/>
      <c r="E687" s="50"/>
      <c r="F687" s="403">
        <v>3020</v>
      </c>
      <c r="G687" s="406">
        <v>14107</v>
      </c>
      <c r="H687" s="50"/>
      <c r="I687" s="50"/>
      <c r="J687" s="306"/>
    </row>
    <row r="688" spans="2:10">
      <c r="B688" s="413"/>
      <c r="C688" s="414"/>
      <c r="D688" s="414"/>
      <c r="E688" s="50"/>
      <c r="F688" s="403">
        <v>3021</v>
      </c>
      <c r="G688" s="406">
        <v>14325</v>
      </c>
      <c r="H688" s="50"/>
      <c r="I688" s="50"/>
      <c r="J688" s="306"/>
    </row>
    <row r="689" spans="2:10">
      <c r="B689" s="413"/>
      <c r="C689" s="414"/>
      <c r="D689" s="414"/>
      <c r="E689" s="50"/>
      <c r="F689" s="403">
        <v>3022</v>
      </c>
      <c r="G689" s="406">
        <v>14107</v>
      </c>
      <c r="H689" s="50"/>
      <c r="I689" s="50"/>
      <c r="J689" s="306"/>
    </row>
    <row r="690" spans="2:10">
      <c r="B690" s="413"/>
      <c r="C690" s="414"/>
      <c r="D690" s="414"/>
      <c r="E690" s="50"/>
      <c r="F690" s="403">
        <v>3023</v>
      </c>
      <c r="G690" s="406">
        <v>14455</v>
      </c>
      <c r="H690" s="50"/>
      <c r="I690" s="50"/>
      <c r="J690" s="306"/>
    </row>
    <row r="691" spans="2:10">
      <c r="B691" s="413"/>
      <c r="C691" s="414"/>
      <c r="D691" s="414"/>
      <c r="E691" s="50"/>
      <c r="F691" s="403">
        <v>3024</v>
      </c>
      <c r="G691" s="406">
        <v>14776</v>
      </c>
      <c r="H691" s="50"/>
      <c r="I691" s="50"/>
      <c r="J691" s="306"/>
    </row>
    <row r="692" spans="2:10">
      <c r="B692" s="413"/>
      <c r="C692" s="414"/>
      <c r="D692" s="414"/>
      <c r="E692" s="50"/>
      <c r="F692" s="403">
        <v>3025</v>
      </c>
      <c r="G692" s="406">
        <v>12841</v>
      </c>
      <c r="H692" s="50"/>
      <c r="I692" s="50"/>
      <c r="J692" s="306"/>
    </row>
    <row r="693" spans="2:10">
      <c r="B693" s="413"/>
      <c r="C693" s="414"/>
      <c r="D693" s="414"/>
      <c r="E693" s="50"/>
      <c r="F693" s="403">
        <v>3026</v>
      </c>
      <c r="G693" s="406">
        <v>12969</v>
      </c>
      <c r="H693" s="50"/>
      <c r="I693" s="50"/>
      <c r="J693" s="306"/>
    </row>
    <row r="694" spans="2:10">
      <c r="B694" s="413"/>
      <c r="C694" s="414"/>
      <c r="D694" s="414"/>
      <c r="E694" s="50"/>
      <c r="F694" s="403">
        <v>3027</v>
      </c>
      <c r="G694" s="406">
        <v>13344</v>
      </c>
      <c r="H694" s="50"/>
      <c r="I694" s="50"/>
      <c r="J694" s="306"/>
    </row>
    <row r="695" spans="2:10">
      <c r="B695" s="413"/>
      <c r="C695" s="414"/>
      <c r="D695" s="414"/>
      <c r="E695" s="50"/>
      <c r="F695" s="403">
        <v>3028</v>
      </c>
      <c r="G695" s="406">
        <v>12322</v>
      </c>
      <c r="H695" s="50"/>
      <c r="I695" s="50"/>
      <c r="J695" s="306"/>
    </row>
    <row r="696" spans="2:10">
      <c r="B696" s="413"/>
      <c r="C696" s="414"/>
      <c r="D696" s="414"/>
      <c r="E696" s="50"/>
      <c r="F696" s="403">
        <v>3029</v>
      </c>
      <c r="G696" s="406">
        <v>13979</v>
      </c>
      <c r="H696" s="50"/>
      <c r="I696" s="50"/>
      <c r="J696" s="306"/>
    </row>
    <row r="697" spans="2:10">
      <c r="B697" s="413"/>
      <c r="C697" s="414"/>
      <c r="D697" s="414"/>
      <c r="E697" s="50"/>
      <c r="F697" s="403">
        <v>3030</v>
      </c>
      <c r="G697" s="406">
        <v>14253</v>
      </c>
      <c r="H697" s="50"/>
      <c r="I697" s="50"/>
      <c r="J697" s="306"/>
    </row>
    <row r="698" spans="2:10">
      <c r="B698" s="413"/>
      <c r="C698" s="414"/>
      <c r="D698" s="414"/>
      <c r="E698" s="50"/>
      <c r="F698" s="403">
        <v>3031</v>
      </c>
      <c r="G698" s="406">
        <v>12589</v>
      </c>
      <c r="H698" s="50"/>
      <c r="I698" s="50"/>
      <c r="J698" s="306"/>
    </row>
    <row r="699" spans="2:10">
      <c r="B699" s="413"/>
      <c r="C699" s="414"/>
      <c r="D699" s="414"/>
      <c r="E699" s="50"/>
      <c r="F699" s="403">
        <v>3032</v>
      </c>
      <c r="G699" s="406">
        <v>14168</v>
      </c>
      <c r="H699" s="50"/>
      <c r="I699" s="50"/>
      <c r="J699" s="306"/>
    </row>
    <row r="700" spans="2:10">
      <c r="B700" s="413"/>
      <c r="C700" s="414"/>
      <c r="D700" s="414"/>
      <c r="E700" s="50"/>
      <c r="F700" s="403">
        <v>3033</v>
      </c>
      <c r="G700" s="406">
        <v>14182</v>
      </c>
      <c r="H700" s="50"/>
      <c r="I700" s="50"/>
      <c r="J700" s="306"/>
    </row>
    <row r="701" spans="2:10">
      <c r="B701" s="413"/>
      <c r="C701" s="414"/>
      <c r="D701" s="414"/>
      <c r="E701" s="50"/>
      <c r="F701" s="403">
        <v>3034</v>
      </c>
      <c r="G701" s="406">
        <v>14278</v>
      </c>
      <c r="H701" s="50"/>
      <c r="I701" s="50"/>
      <c r="J701" s="306"/>
    </row>
    <row r="702" spans="2:10">
      <c r="B702" s="413"/>
      <c r="C702" s="414"/>
      <c r="D702" s="414"/>
      <c r="E702" s="50"/>
      <c r="F702" s="403">
        <v>3036</v>
      </c>
      <c r="G702" s="406">
        <v>14198</v>
      </c>
      <c r="H702" s="50"/>
      <c r="I702" s="50"/>
      <c r="J702" s="306"/>
    </row>
    <row r="703" spans="2:10">
      <c r="B703" s="413"/>
      <c r="C703" s="414"/>
      <c r="D703" s="414"/>
      <c r="E703" s="50"/>
      <c r="F703" s="403">
        <v>3037</v>
      </c>
      <c r="G703" s="406">
        <v>14446</v>
      </c>
      <c r="H703" s="50"/>
      <c r="I703" s="50"/>
      <c r="J703" s="306"/>
    </row>
    <row r="704" spans="2:10">
      <c r="B704" s="413"/>
      <c r="C704" s="414"/>
      <c r="D704" s="414"/>
      <c r="E704" s="50"/>
      <c r="F704" s="403">
        <v>3038</v>
      </c>
      <c r="G704" s="406">
        <v>14437</v>
      </c>
      <c r="H704" s="50"/>
      <c r="I704" s="50"/>
      <c r="J704" s="306"/>
    </row>
    <row r="705" spans="2:10">
      <c r="B705" s="413"/>
      <c r="C705" s="414"/>
      <c r="D705" s="414"/>
      <c r="E705" s="50"/>
      <c r="F705" s="403">
        <v>3039</v>
      </c>
      <c r="G705" s="406">
        <v>13985</v>
      </c>
      <c r="H705" s="50"/>
      <c r="I705" s="50"/>
      <c r="J705" s="306"/>
    </row>
    <row r="706" spans="2:10">
      <c r="B706" s="413"/>
      <c r="C706" s="414"/>
      <c r="D706" s="414"/>
      <c r="E706" s="50"/>
      <c r="F706" s="403">
        <v>3040</v>
      </c>
      <c r="G706" s="406">
        <v>14314</v>
      </c>
      <c r="H706" s="50"/>
      <c r="I706" s="50"/>
      <c r="J706" s="306"/>
    </row>
    <row r="707" spans="2:10">
      <c r="B707" s="413"/>
      <c r="C707" s="414"/>
      <c r="D707" s="414"/>
      <c r="E707" s="50"/>
      <c r="F707" s="403">
        <v>3041</v>
      </c>
      <c r="G707" s="406">
        <v>14138</v>
      </c>
      <c r="H707" s="50"/>
      <c r="I707" s="50"/>
      <c r="J707" s="306"/>
    </row>
    <row r="708" spans="2:10">
      <c r="B708" s="413"/>
      <c r="C708" s="414"/>
      <c r="D708" s="414"/>
      <c r="E708" s="50"/>
      <c r="F708" s="403">
        <v>3042</v>
      </c>
      <c r="G708" s="406">
        <v>14182</v>
      </c>
      <c r="H708" s="50"/>
      <c r="I708" s="50"/>
      <c r="J708" s="306"/>
    </row>
    <row r="709" spans="2:10">
      <c r="B709" s="413"/>
      <c r="C709" s="414"/>
      <c r="D709" s="414"/>
      <c r="E709" s="50"/>
      <c r="F709" s="403">
        <v>3043</v>
      </c>
      <c r="G709" s="406">
        <v>14130</v>
      </c>
      <c r="H709" s="50"/>
      <c r="I709" s="50"/>
      <c r="J709" s="306"/>
    </row>
    <row r="710" spans="2:10">
      <c r="B710" s="413"/>
      <c r="C710" s="414"/>
      <c r="D710" s="414"/>
      <c r="E710" s="50"/>
      <c r="F710" s="403">
        <v>3044</v>
      </c>
      <c r="G710" s="406">
        <v>14206</v>
      </c>
      <c r="H710" s="50"/>
      <c r="I710" s="50"/>
      <c r="J710" s="306"/>
    </row>
    <row r="711" spans="2:10">
      <c r="B711" s="413"/>
      <c r="C711" s="414"/>
      <c r="D711" s="414"/>
      <c r="E711" s="50"/>
      <c r="F711" s="403">
        <v>3045</v>
      </c>
      <c r="G711" s="406">
        <v>14134</v>
      </c>
      <c r="H711" s="50"/>
      <c r="I711" s="50"/>
      <c r="J711" s="306"/>
    </row>
    <row r="712" spans="2:10">
      <c r="B712" s="413"/>
      <c r="C712" s="414"/>
      <c r="D712" s="414"/>
      <c r="E712" s="50"/>
      <c r="F712" s="403">
        <v>3046</v>
      </c>
      <c r="G712" s="406">
        <v>14090</v>
      </c>
      <c r="H712" s="50"/>
      <c r="I712" s="50"/>
      <c r="J712" s="306"/>
    </row>
    <row r="713" spans="2:10">
      <c r="B713" s="413"/>
      <c r="C713" s="414"/>
      <c r="D713" s="414"/>
      <c r="E713" s="50"/>
      <c r="F713" s="403">
        <v>3047</v>
      </c>
      <c r="G713" s="406">
        <v>13951</v>
      </c>
      <c r="H713" s="50"/>
      <c r="I713" s="50"/>
      <c r="J713" s="306"/>
    </row>
    <row r="714" spans="2:10">
      <c r="B714" s="413"/>
      <c r="C714" s="414"/>
      <c r="D714" s="414"/>
      <c r="E714" s="50"/>
      <c r="F714" s="403">
        <v>3048</v>
      </c>
      <c r="G714" s="406">
        <v>13893</v>
      </c>
      <c r="H714" s="50"/>
      <c r="I714" s="50"/>
      <c r="J714" s="306"/>
    </row>
    <row r="715" spans="2:10">
      <c r="B715" s="413"/>
      <c r="C715" s="414"/>
      <c r="D715" s="414"/>
      <c r="E715" s="50"/>
      <c r="F715" s="403">
        <v>3049</v>
      </c>
      <c r="G715" s="406">
        <v>13983</v>
      </c>
      <c r="H715" s="50"/>
      <c r="I715" s="50"/>
      <c r="J715" s="306"/>
    </row>
    <row r="716" spans="2:10">
      <c r="B716" s="413"/>
      <c r="C716" s="414"/>
      <c r="D716" s="414"/>
      <c r="E716" s="50"/>
      <c r="F716" s="403">
        <v>3050</v>
      </c>
      <c r="G716" s="406">
        <v>10303</v>
      </c>
      <c r="H716" s="50"/>
      <c r="I716" s="50"/>
      <c r="J716" s="306"/>
    </row>
    <row r="717" spans="2:10">
      <c r="B717" s="413"/>
      <c r="C717" s="414"/>
      <c r="D717" s="414"/>
      <c r="E717" s="50"/>
      <c r="F717" s="403">
        <v>3051</v>
      </c>
      <c r="G717" s="406">
        <v>10303</v>
      </c>
      <c r="H717" s="50"/>
      <c r="I717" s="50"/>
      <c r="J717" s="306"/>
    </row>
    <row r="718" spans="2:10">
      <c r="B718" s="413"/>
      <c r="C718" s="414"/>
      <c r="D718" s="414"/>
      <c r="E718" s="50"/>
      <c r="F718" s="403">
        <v>3052</v>
      </c>
      <c r="G718" s="406">
        <v>10528</v>
      </c>
      <c r="H718" s="50"/>
      <c r="I718" s="50"/>
      <c r="J718" s="306"/>
    </row>
    <row r="719" spans="2:10">
      <c r="B719" s="413"/>
      <c r="C719" s="414"/>
      <c r="D719" s="414"/>
      <c r="E719" s="50"/>
      <c r="F719" s="403">
        <v>3053</v>
      </c>
      <c r="G719" s="406">
        <v>10313</v>
      </c>
      <c r="H719" s="50"/>
      <c r="I719" s="50"/>
      <c r="J719" s="306"/>
    </row>
    <row r="720" spans="2:10">
      <c r="B720" s="413"/>
      <c r="C720" s="414"/>
      <c r="D720" s="414"/>
      <c r="E720" s="50"/>
      <c r="F720" s="403">
        <v>3054</v>
      </c>
      <c r="G720" s="406">
        <v>10508</v>
      </c>
      <c r="H720" s="50"/>
      <c r="I720" s="50"/>
      <c r="J720" s="306"/>
    </row>
    <row r="721" spans="2:10">
      <c r="B721" s="413"/>
      <c r="C721" s="414"/>
      <c r="D721" s="414"/>
      <c r="E721" s="50"/>
      <c r="F721" s="403">
        <v>3055</v>
      </c>
      <c r="G721" s="406">
        <v>14108</v>
      </c>
      <c r="H721" s="50"/>
      <c r="I721" s="50"/>
      <c r="J721" s="306"/>
    </row>
    <row r="722" spans="2:10">
      <c r="B722" s="413"/>
      <c r="C722" s="414"/>
      <c r="D722" s="414"/>
      <c r="E722" s="50"/>
      <c r="F722" s="403">
        <v>3056</v>
      </c>
      <c r="G722" s="406">
        <v>13471</v>
      </c>
      <c r="H722" s="50"/>
      <c r="I722" s="50"/>
      <c r="J722" s="306"/>
    </row>
    <row r="723" spans="2:10">
      <c r="B723" s="413"/>
      <c r="C723" s="414"/>
      <c r="D723" s="414"/>
      <c r="E723" s="50"/>
      <c r="F723" s="403">
        <v>3057</v>
      </c>
      <c r="G723" s="406">
        <v>13755</v>
      </c>
      <c r="H723" s="50"/>
      <c r="I723" s="50"/>
      <c r="J723" s="306"/>
    </row>
    <row r="724" spans="2:10">
      <c r="B724" s="413"/>
      <c r="C724" s="414"/>
      <c r="D724" s="414"/>
      <c r="E724" s="50"/>
      <c r="F724" s="403">
        <v>3058</v>
      </c>
      <c r="G724" s="406">
        <v>14187</v>
      </c>
      <c r="H724" s="50"/>
      <c r="I724" s="50"/>
      <c r="J724" s="306"/>
    </row>
    <row r="725" spans="2:10">
      <c r="B725" s="413"/>
      <c r="C725" s="414"/>
      <c r="D725" s="414"/>
      <c r="E725" s="50"/>
      <c r="F725" s="403">
        <v>3059</v>
      </c>
      <c r="G725" s="406">
        <v>13900</v>
      </c>
      <c r="H725" s="50"/>
      <c r="I725" s="50"/>
      <c r="J725" s="306"/>
    </row>
    <row r="726" spans="2:10">
      <c r="B726" s="413"/>
      <c r="C726" s="414"/>
      <c r="D726" s="414"/>
      <c r="E726" s="50"/>
      <c r="F726" s="403">
        <v>3060</v>
      </c>
      <c r="G726" s="406">
        <v>14150</v>
      </c>
      <c r="H726" s="50"/>
      <c r="I726" s="50"/>
      <c r="J726" s="306"/>
    </row>
    <row r="727" spans="2:10">
      <c r="B727" s="413"/>
      <c r="C727" s="414"/>
      <c r="D727" s="414"/>
      <c r="E727" s="50"/>
      <c r="F727" s="403">
        <v>3061</v>
      </c>
      <c r="G727" s="406">
        <v>14136</v>
      </c>
      <c r="H727" s="50"/>
      <c r="I727" s="50"/>
      <c r="J727" s="306"/>
    </row>
    <row r="728" spans="2:10">
      <c r="B728" s="413"/>
      <c r="C728" s="414"/>
      <c r="D728" s="414"/>
      <c r="E728" s="50"/>
      <c r="F728" s="403">
        <v>3062</v>
      </c>
      <c r="G728" s="406">
        <v>14208</v>
      </c>
      <c r="H728" s="50"/>
      <c r="I728" s="50"/>
      <c r="J728" s="306"/>
    </row>
    <row r="729" spans="2:10">
      <c r="B729" s="413"/>
      <c r="C729" s="414"/>
      <c r="D729" s="414"/>
      <c r="E729" s="50"/>
      <c r="F729" s="403">
        <v>3063</v>
      </c>
      <c r="G729" s="406">
        <v>19012</v>
      </c>
      <c r="H729" s="50"/>
      <c r="I729" s="50"/>
      <c r="J729" s="306"/>
    </row>
    <row r="730" spans="2:10">
      <c r="B730" s="413"/>
      <c r="C730" s="414"/>
      <c r="D730" s="414"/>
      <c r="E730" s="50"/>
      <c r="F730" s="403">
        <v>3064</v>
      </c>
      <c r="G730" s="406">
        <v>15605</v>
      </c>
      <c r="H730" s="50"/>
      <c r="I730" s="50"/>
      <c r="J730" s="306"/>
    </row>
    <row r="731" spans="2:10">
      <c r="B731" s="413"/>
      <c r="C731" s="414"/>
      <c r="D731" s="414"/>
      <c r="E731" s="50"/>
      <c r="F731" s="403">
        <v>3065</v>
      </c>
      <c r="G731" s="406">
        <v>10211</v>
      </c>
      <c r="H731" s="50"/>
      <c r="I731" s="50"/>
      <c r="J731" s="306"/>
    </row>
    <row r="732" spans="2:10">
      <c r="B732" s="413"/>
      <c r="C732" s="414"/>
      <c r="D732" s="414"/>
      <c r="E732" s="50"/>
      <c r="F732" s="403">
        <v>3066</v>
      </c>
      <c r="G732" s="406">
        <v>10530</v>
      </c>
      <c r="H732" s="50"/>
      <c r="I732" s="50"/>
      <c r="J732" s="306"/>
    </row>
    <row r="733" spans="2:10">
      <c r="B733" s="413"/>
      <c r="C733" s="414"/>
      <c r="D733" s="414"/>
      <c r="E733" s="50"/>
      <c r="F733" s="403">
        <v>3067</v>
      </c>
      <c r="G733" s="406">
        <v>12010</v>
      </c>
      <c r="H733" s="50"/>
      <c r="I733" s="50"/>
      <c r="J733" s="306"/>
    </row>
    <row r="734" spans="2:10">
      <c r="B734" s="413"/>
      <c r="C734" s="414"/>
      <c r="D734" s="414"/>
      <c r="E734" s="50"/>
      <c r="F734" s="403">
        <v>3068</v>
      </c>
      <c r="G734" s="406">
        <v>12920</v>
      </c>
      <c r="H734" s="50"/>
      <c r="I734" s="50"/>
      <c r="J734" s="306"/>
    </row>
    <row r="735" spans="2:10">
      <c r="B735" s="413"/>
      <c r="C735" s="414"/>
      <c r="D735" s="414"/>
      <c r="E735" s="50"/>
      <c r="F735" s="403">
        <v>3070</v>
      </c>
      <c r="G735" s="406">
        <v>13707</v>
      </c>
      <c r="H735" s="50"/>
      <c r="I735" s="50"/>
      <c r="J735" s="306"/>
    </row>
    <row r="736" spans="2:10">
      <c r="B736" s="413"/>
      <c r="C736" s="414"/>
      <c r="D736" s="414"/>
      <c r="E736" s="50"/>
      <c r="F736" s="403">
        <v>3071</v>
      </c>
      <c r="G736" s="406">
        <v>14255</v>
      </c>
      <c r="H736" s="50"/>
      <c r="I736" s="50"/>
      <c r="J736" s="306"/>
    </row>
    <row r="737" spans="2:10">
      <c r="B737" s="413"/>
      <c r="C737" s="414"/>
      <c r="D737" s="414"/>
      <c r="E737" s="50"/>
      <c r="F737" s="403">
        <v>3072</v>
      </c>
      <c r="G737" s="406">
        <v>14377</v>
      </c>
      <c r="H737" s="50"/>
      <c r="I737" s="50"/>
      <c r="J737" s="306"/>
    </row>
    <row r="738" spans="2:10">
      <c r="B738" s="413"/>
      <c r="C738" s="414"/>
      <c r="D738" s="414"/>
      <c r="E738" s="50"/>
      <c r="F738" s="403">
        <v>3073</v>
      </c>
      <c r="G738" s="406">
        <v>14271</v>
      </c>
      <c r="H738" s="50"/>
      <c r="I738" s="50"/>
      <c r="J738" s="306"/>
    </row>
    <row r="739" spans="2:10">
      <c r="B739" s="413"/>
      <c r="C739" s="414"/>
      <c r="D739" s="414"/>
      <c r="E739" s="50"/>
      <c r="F739" s="403">
        <v>3074</v>
      </c>
      <c r="G739" s="406">
        <v>14506</v>
      </c>
      <c r="H739" s="50"/>
      <c r="I739" s="50"/>
      <c r="J739" s="306"/>
    </row>
    <row r="740" spans="2:10">
      <c r="B740" s="413"/>
      <c r="C740" s="414"/>
      <c r="D740" s="414"/>
      <c r="E740" s="50"/>
      <c r="F740" s="403">
        <v>3075</v>
      </c>
      <c r="G740" s="406">
        <v>14604</v>
      </c>
      <c r="H740" s="50"/>
      <c r="I740" s="50"/>
      <c r="J740" s="306"/>
    </row>
    <row r="741" spans="2:10">
      <c r="B741" s="413"/>
      <c r="C741" s="414"/>
      <c r="D741" s="414"/>
      <c r="E741" s="50"/>
      <c r="F741" s="403">
        <v>3076</v>
      </c>
      <c r="G741" s="406">
        <v>14409</v>
      </c>
      <c r="H741" s="50"/>
      <c r="I741" s="50"/>
      <c r="J741" s="306"/>
    </row>
    <row r="742" spans="2:10">
      <c r="B742" s="413"/>
      <c r="C742" s="414"/>
      <c r="D742" s="414"/>
      <c r="E742" s="50"/>
      <c r="F742" s="403">
        <v>3078</v>
      </c>
      <c r="G742" s="406">
        <v>14244</v>
      </c>
      <c r="H742" s="50"/>
      <c r="I742" s="50"/>
      <c r="J742" s="306"/>
    </row>
    <row r="743" spans="2:10">
      <c r="B743" s="413"/>
      <c r="C743" s="414"/>
      <c r="D743" s="414"/>
      <c r="E743" s="50"/>
      <c r="F743" s="403">
        <v>3079</v>
      </c>
      <c r="G743" s="406">
        <v>16380</v>
      </c>
      <c r="H743" s="50"/>
      <c r="I743" s="50"/>
      <c r="J743" s="306"/>
    </row>
    <row r="744" spans="2:10">
      <c r="B744" s="413"/>
      <c r="C744" s="414"/>
      <c r="D744" s="414"/>
      <c r="E744" s="50"/>
      <c r="F744" s="403">
        <v>3081</v>
      </c>
      <c r="G744" s="406">
        <v>15677</v>
      </c>
      <c r="H744" s="50"/>
      <c r="I744" s="50"/>
      <c r="J744" s="306"/>
    </row>
    <row r="745" spans="2:10">
      <c r="B745" s="413"/>
      <c r="C745" s="414"/>
      <c r="D745" s="414"/>
      <c r="E745" s="50"/>
      <c r="F745" s="403">
        <v>3082</v>
      </c>
      <c r="G745" s="406">
        <v>15413</v>
      </c>
      <c r="H745" s="50"/>
      <c r="I745" s="50"/>
      <c r="J745" s="306"/>
    </row>
    <row r="746" spans="2:10">
      <c r="B746" s="413"/>
      <c r="C746" s="414"/>
      <c r="D746" s="414"/>
      <c r="E746" s="50"/>
      <c r="F746" s="403">
        <v>3083</v>
      </c>
      <c r="G746" s="406">
        <v>15981</v>
      </c>
      <c r="H746" s="50"/>
      <c r="I746" s="50"/>
      <c r="J746" s="306"/>
    </row>
    <row r="747" spans="2:10">
      <c r="B747" s="413"/>
      <c r="C747" s="414"/>
      <c r="D747" s="414"/>
      <c r="E747" s="50"/>
      <c r="F747" s="403">
        <v>3084</v>
      </c>
      <c r="G747" s="406">
        <v>17075</v>
      </c>
      <c r="H747" s="50"/>
      <c r="I747" s="50"/>
      <c r="J747" s="306"/>
    </row>
    <row r="748" spans="2:10">
      <c r="B748" s="413"/>
      <c r="C748" s="414"/>
      <c r="D748" s="414"/>
      <c r="E748" s="50"/>
      <c r="F748" s="403">
        <v>3085</v>
      </c>
      <c r="G748" s="406">
        <v>16565</v>
      </c>
      <c r="H748" s="50"/>
      <c r="I748" s="50"/>
      <c r="J748" s="306"/>
    </row>
    <row r="749" spans="2:10">
      <c r="B749" s="413"/>
      <c r="C749" s="414"/>
      <c r="D749" s="414"/>
      <c r="E749" s="50"/>
      <c r="F749" s="403">
        <v>3086</v>
      </c>
      <c r="G749" s="406">
        <v>15062</v>
      </c>
      <c r="H749" s="50"/>
      <c r="I749" s="50"/>
      <c r="J749" s="306"/>
    </row>
    <row r="750" spans="2:10">
      <c r="B750" s="413"/>
      <c r="C750" s="414"/>
      <c r="D750" s="414"/>
      <c r="E750" s="50"/>
      <c r="F750" s="403">
        <v>3087</v>
      </c>
      <c r="G750" s="406">
        <v>16296</v>
      </c>
      <c r="H750" s="50"/>
      <c r="I750" s="50"/>
      <c r="J750" s="306"/>
    </row>
    <row r="751" spans="2:10">
      <c r="B751" s="413"/>
      <c r="C751" s="414"/>
      <c r="D751" s="414"/>
      <c r="E751" s="50"/>
      <c r="F751" s="403">
        <v>3088</v>
      </c>
      <c r="G751" s="406">
        <v>16296</v>
      </c>
      <c r="H751" s="50"/>
      <c r="I751" s="50"/>
      <c r="J751" s="306"/>
    </row>
    <row r="752" spans="2:10">
      <c r="B752" s="413"/>
      <c r="C752" s="414"/>
      <c r="D752" s="414"/>
      <c r="E752" s="50"/>
      <c r="F752" s="403">
        <v>3089</v>
      </c>
      <c r="G752" s="406">
        <v>16551</v>
      </c>
      <c r="H752" s="50"/>
      <c r="I752" s="50"/>
      <c r="J752" s="306"/>
    </row>
    <row r="753" spans="2:10">
      <c r="B753" s="413"/>
      <c r="C753" s="414"/>
      <c r="D753" s="414"/>
      <c r="E753" s="50"/>
      <c r="F753" s="403">
        <v>3090</v>
      </c>
      <c r="G753" s="406">
        <v>16064</v>
      </c>
      <c r="H753" s="50"/>
      <c r="I753" s="50"/>
      <c r="J753" s="306"/>
    </row>
    <row r="754" spans="2:10">
      <c r="B754" s="413"/>
      <c r="C754" s="414"/>
      <c r="D754" s="414"/>
      <c r="E754" s="50"/>
      <c r="F754" s="403">
        <v>3091</v>
      </c>
      <c r="G754" s="406">
        <v>16439</v>
      </c>
      <c r="H754" s="50"/>
      <c r="I754" s="50"/>
      <c r="J754" s="306"/>
    </row>
    <row r="755" spans="2:10">
      <c r="B755" s="413"/>
      <c r="C755" s="414"/>
      <c r="D755" s="414"/>
      <c r="E755" s="50"/>
      <c r="F755" s="403">
        <v>3093</v>
      </c>
      <c r="G755" s="406">
        <v>17101</v>
      </c>
      <c r="H755" s="50"/>
      <c r="I755" s="50"/>
      <c r="J755" s="306"/>
    </row>
    <row r="756" spans="2:10">
      <c r="B756" s="413"/>
      <c r="C756" s="414"/>
      <c r="D756" s="414"/>
      <c r="E756" s="50"/>
      <c r="F756" s="403">
        <v>3094</v>
      </c>
      <c r="G756" s="406">
        <v>16570</v>
      </c>
      <c r="H756" s="50"/>
      <c r="I756" s="50"/>
      <c r="J756" s="306"/>
    </row>
    <row r="757" spans="2:10">
      <c r="B757" s="413"/>
      <c r="C757" s="414"/>
      <c r="D757" s="414"/>
      <c r="E757" s="50"/>
      <c r="F757" s="403">
        <v>3095</v>
      </c>
      <c r="G757" s="406">
        <v>16819</v>
      </c>
      <c r="H757" s="50"/>
      <c r="I757" s="50"/>
      <c r="J757" s="306"/>
    </row>
    <row r="758" spans="2:10">
      <c r="B758" s="413"/>
      <c r="C758" s="414"/>
      <c r="D758" s="414"/>
      <c r="E758" s="50"/>
      <c r="F758" s="403">
        <v>3096</v>
      </c>
      <c r="G758" s="406">
        <v>16775</v>
      </c>
      <c r="H758" s="50"/>
      <c r="I758" s="50"/>
      <c r="J758" s="306"/>
    </row>
    <row r="759" spans="2:10">
      <c r="B759" s="413"/>
      <c r="C759" s="414"/>
      <c r="D759" s="414"/>
      <c r="E759" s="50"/>
      <c r="F759" s="403">
        <v>3097</v>
      </c>
      <c r="G759" s="406">
        <v>16961</v>
      </c>
      <c r="H759" s="50"/>
      <c r="I759" s="50"/>
      <c r="J759" s="306"/>
    </row>
    <row r="760" spans="2:10">
      <c r="B760" s="413"/>
      <c r="C760" s="414"/>
      <c r="D760" s="414"/>
      <c r="E760" s="50"/>
      <c r="F760" s="403">
        <v>3099</v>
      </c>
      <c r="G760" s="406">
        <v>16585</v>
      </c>
      <c r="H760" s="50"/>
      <c r="I760" s="50"/>
      <c r="J760" s="306"/>
    </row>
    <row r="761" spans="2:10">
      <c r="B761" s="413"/>
      <c r="C761" s="414"/>
      <c r="D761" s="414"/>
      <c r="E761" s="50"/>
      <c r="F761" s="403">
        <v>3101</v>
      </c>
      <c r="G761" s="406">
        <v>13923</v>
      </c>
      <c r="H761" s="50"/>
      <c r="I761" s="50"/>
      <c r="J761" s="306"/>
    </row>
    <row r="762" spans="2:10">
      <c r="B762" s="413"/>
      <c r="C762" s="414"/>
      <c r="D762" s="414"/>
      <c r="E762" s="50"/>
      <c r="F762" s="403">
        <v>3102</v>
      </c>
      <c r="G762" s="406">
        <v>14859</v>
      </c>
      <c r="H762" s="50"/>
      <c r="I762" s="50"/>
      <c r="J762" s="306"/>
    </row>
    <row r="763" spans="2:10">
      <c r="B763" s="413"/>
      <c r="C763" s="414"/>
      <c r="D763" s="414"/>
      <c r="E763" s="50"/>
      <c r="F763" s="403">
        <v>3103</v>
      </c>
      <c r="G763" s="406">
        <v>15085</v>
      </c>
      <c r="H763" s="50"/>
      <c r="I763" s="50"/>
      <c r="J763" s="306"/>
    </row>
    <row r="764" spans="2:10">
      <c r="B764" s="413"/>
      <c r="C764" s="414"/>
      <c r="D764" s="414"/>
      <c r="E764" s="50"/>
      <c r="F764" s="403">
        <v>3104</v>
      </c>
      <c r="G764" s="406">
        <v>15089</v>
      </c>
      <c r="H764" s="50"/>
      <c r="I764" s="50"/>
      <c r="J764" s="306"/>
    </row>
    <row r="765" spans="2:10">
      <c r="B765" s="413"/>
      <c r="C765" s="414"/>
      <c r="D765" s="414"/>
      <c r="E765" s="50"/>
      <c r="F765" s="403">
        <v>3105</v>
      </c>
      <c r="G765" s="406">
        <v>16374</v>
      </c>
      <c r="H765" s="50"/>
      <c r="I765" s="50"/>
      <c r="J765" s="306"/>
    </row>
    <row r="766" spans="2:10">
      <c r="B766" s="413"/>
      <c r="C766" s="414"/>
      <c r="D766" s="414"/>
      <c r="E766" s="50"/>
      <c r="F766" s="403">
        <v>3106</v>
      </c>
      <c r="G766" s="406">
        <v>15634</v>
      </c>
      <c r="H766" s="50"/>
      <c r="I766" s="50"/>
      <c r="J766" s="306"/>
    </row>
    <row r="767" spans="2:10">
      <c r="B767" s="413"/>
      <c r="C767" s="414"/>
      <c r="D767" s="414"/>
      <c r="E767" s="50"/>
      <c r="F767" s="403">
        <v>3107</v>
      </c>
      <c r="G767" s="406">
        <v>16751</v>
      </c>
      <c r="H767" s="50"/>
      <c r="I767" s="50"/>
      <c r="J767" s="306"/>
    </row>
    <row r="768" spans="2:10">
      <c r="B768" s="413"/>
      <c r="C768" s="414"/>
      <c r="D768" s="414"/>
      <c r="E768" s="50"/>
      <c r="F768" s="403">
        <v>3108</v>
      </c>
      <c r="G768" s="406">
        <v>15180</v>
      </c>
      <c r="H768" s="50"/>
      <c r="I768" s="50"/>
      <c r="J768" s="306"/>
    </row>
    <row r="769" spans="2:10">
      <c r="B769" s="413"/>
      <c r="C769" s="414"/>
      <c r="D769" s="414"/>
      <c r="E769" s="50"/>
      <c r="F769" s="403">
        <v>3109</v>
      </c>
      <c r="G769" s="406">
        <v>15116</v>
      </c>
      <c r="H769" s="50"/>
      <c r="I769" s="50"/>
      <c r="J769" s="306"/>
    </row>
    <row r="770" spans="2:10">
      <c r="B770" s="413"/>
      <c r="C770" s="414"/>
      <c r="D770" s="414"/>
      <c r="E770" s="50"/>
      <c r="F770" s="403">
        <v>3111</v>
      </c>
      <c r="G770" s="406">
        <v>13540</v>
      </c>
      <c r="H770" s="50"/>
      <c r="I770" s="50"/>
      <c r="J770" s="306"/>
    </row>
    <row r="771" spans="2:10">
      <c r="B771" s="413"/>
      <c r="C771" s="414"/>
      <c r="D771" s="414"/>
      <c r="E771" s="50"/>
      <c r="F771" s="403">
        <v>3113</v>
      </c>
      <c r="G771" s="406">
        <v>15856</v>
      </c>
      <c r="H771" s="50"/>
      <c r="I771" s="50"/>
      <c r="J771" s="306"/>
    </row>
    <row r="772" spans="2:10">
      <c r="B772" s="413"/>
      <c r="C772" s="414"/>
      <c r="D772" s="414"/>
      <c r="E772" s="50"/>
      <c r="F772" s="403">
        <v>3114</v>
      </c>
      <c r="G772" s="406">
        <v>13589</v>
      </c>
      <c r="H772" s="50"/>
      <c r="I772" s="50"/>
      <c r="J772" s="306"/>
    </row>
    <row r="773" spans="2:10">
      <c r="B773" s="413"/>
      <c r="C773" s="414"/>
      <c r="D773" s="414"/>
      <c r="E773" s="50"/>
      <c r="F773" s="403">
        <v>3115</v>
      </c>
      <c r="G773" s="406">
        <v>12389</v>
      </c>
      <c r="H773" s="50"/>
      <c r="I773" s="50"/>
      <c r="J773" s="306"/>
    </row>
    <row r="774" spans="2:10">
      <c r="B774" s="413"/>
      <c r="C774" s="414"/>
      <c r="D774" s="414"/>
      <c r="E774" s="50"/>
      <c r="F774" s="403">
        <v>3116</v>
      </c>
      <c r="G774" s="406">
        <v>12626</v>
      </c>
      <c r="H774" s="50"/>
      <c r="I774" s="50"/>
      <c r="J774" s="306"/>
    </row>
    <row r="775" spans="2:10">
      <c r="B775" s="413"/>
      <c r="C775" s="414"/>
      <c r="D775" s="414"/>
      <c r="E775" s="50"/>
      <c r="F775" s="403">
        <v>3121</v>
      </c>
      <c r="G775" s="406">
        <v>13389</v>
      </c>
      <c r="H775" s="50"/>
      <c r="I775" s="50"/>
      <c r="J775" s="306"/>
    </row>
    <row r="776" spans="2:10">
      <c r="B776" s="413"/>
      <c r="C776" s="414"/>
      <c r="D776" s="414"/>
      <c r="E776" s="50"/>
      <c r="F776" s="403">
        <v>3122</v>
      </c>
      <c r="G776" s="406">
        <v>13759</v>
      </c>
      <c r="H776" s="50"/>
      <c r="I776" s="50"/>
      <c r="J776" s="306"/>
    </row>
    <row r="777" spans="2:10">
      <c r="B777" s="413"/>
      <c r="C777" s="414"/>
      <c r="D777" s="414"/>
      <c r="E777" s="50"/>
      <c r="F777" s="403">
        <v>3123</v>
      </c>
      <c r="G777" s="406">
        <v>14305</v>
      </c>
      <c r="H777" s="50"/>
      <c r="I777" s="50"/>
      <c r="J777" s="306"/>
    </row>
    <row r="778" spans="2:10">
      <c r="B778" s="413"/>
      <c r="C778" s="414"/>
      <c r="D778" s="414"/>
      <c r="E778" s="50"/>
      <c r="F778" s="403">
        <v>3124</v>
      </c>
      <c r="G778" s="406">
        <v>14950</v>
      </c>
      <c r="H778" s="50"/>
      <c r="I778" s="50"/>
      <c r="J778" s="306"/>
    </row>
    <row r="779" spans="2:10">
      <c r="B779" s="413"/>
      <c r="C779" s="414"/>
      <c r="D779" s="414"/>
      <c r="E779" s="50"/>
      <c r="F779" s="403">
        <v>3125</v>
      </c>
      <c r="G779" s="406">
        <v>13751</v>
      </c>
      <c r="H779" s="50"/>
      <c r="I779" s="50"/>
      <c r="J779" s="306"/>
    </row>
    <row r="780" spans="2:10">
      <c r="B780" s="413"/>
      <c r="C780" s="414"/>
      <c r="D780" s="414"/>
      <c r="E780" s="50"/>
      <c r="F780" s="403">
        <v>3126</v>
      </c>
      <c r="G780" s="406">
        <v>14950</v>
      </c>
      <c r="H780" s="50"/>
      <c r="I780" s="50"/>
      <c r="J780" s="306"/>
    </row>
    <row r="781" spans="2:10">
      <c r="B781" s="413"/>
      <c r="C781" s="414"/>
      <c r="D781" s="414"/>
      <c r="E781" s="50"/>
      <c r="F781" s="403">
        <v>3127</v>
      </c>
      <c r="G781" s="406">
        <v>15020</v>
      </c>
      <c r="H781" s="50"/>
      <c r="I781" s="50"/>
      <c r="J781" s="306"/>
    </row>
    <row r="782" spans="2:10">
      <c r="B782" s="413"/>
      <c r="C782" s="414"/>
      <c r="D782" s="414"/>
      <c r="E782" s="50"/>
      <c r="F782" s="403">
        <v>3128</v>
      </c>
      <c r="G782" s="406">
        <v>13974</v>
      </c>
      <c r="H782" s="50"/>
      <c r="I782" s="50"/>
      <c r="J782" s="306"/>
    </row>
    <row r="783" spans="2:10">
      <c r="B783" s="413"/>
      <c r="C783" s="414"/>
      <c r="D783" s="414"/>
      <c r="E783" s="50"/>
      <c r="F783" s="403">
        <v>3129</v>
      </c>
      <c r="G783" s="406">
        <v>14743</v>
      </c>
      <c r="H783" s="50"/>
      <c r="I783" s="50"/>
      <c r="J783" s="306"/>
    </row>
    <row r="784" spans="2:10">
      <c r="B784" s="413"/>
      <c r="C784" s="414"/>
      <c r="D784" s="414"/>
      <c r="E784" s="50"/>
      <c r="F784" s="403">
        <v>3130</v>
      </c>
      <c r="G784" s="406">
        <v>13629</v>
      </c>
      <c r="H784" s="50"/>
      <c r="I784" s="50"/>
      <c r="J784" s="306"/>
    </row>
    <row r="785" spans="2:10">
      <c r="B785" s="413"/>
      <c r="C785" s="414"/>
      <c r="D785" s="414"/>
      <c r="E785" s="50"/>
      <c r="F785" s="403">
        <v>3131</v>
      </c>
      <c r="G785" s="406">
        <v>13403</v>
      </c>
      <c r="H785" s="50"/>
      <c r="I785" s="50"/>
      <c r="J785" s="306"/>
    </row>
    <row r="786" spans="2:10">
      <c r="B786" s="413"/>
      <c r="C786" s="414"/>
      <c r="D786" s="414"/>
      <c r="E786" s="50"/>
      <c r="F786" s="403">
        <v>3132</v>
      </c>
      <c r="G786" s="406">
        <v>13039</v>
      </c>
      <c r="H786" s="50"/>
      <c r="I786" s="50"/>
      <c r="J786" s="306"/>
    </row>
    <row r="787" spans="2:10">
      <c r="B787" s="413"/>
      <c r="C787" s="414"/>
      <c r="D787" s="414"/>
      <c r="E787" s="50"/>
      <c r="F787" s="403">
        <v>3133</v>
      </c>
      <c r="G787" s="406">
        <v>13235</v>
      </c>
      <c r="H787" s="50"/>
      <c r="I787" s="50"/>
      <c r="J787" s="306"/>
    </row>
    <row r="788" spans="2:10">
      <c r="B788" s="413"/>
      <c r="C788" s="414"/>
      <c r="D788" s="414"/>
      <c r="E788" s="50"/>
      <c r="F788" s="403">
        <v>3134</v>
      </c>
      <c r="G788" s="406">
        <v>12151</v>
      </c>
      <c r="H788" s="50"/>
      <c r="I788" s="50"/>
      <c r="J788" s="306"/>
    </row>
    <row r="789" spans="2:10">
      <c r="B789" s="413"/>
      <c r="C789" s="414"/>
      <c r="D789" s="414"/>
      <c r="E789" s="50"/>
      <c r="F789" s="403">
        <v>3135</v>
      </c>
      <c r="G789" s="406">
        <v>12110</v>
      </c>
      <c r="H789" s="50"/>
      <c r="I789" s="50"/>
      <c r="J789" s="306"/>
    </row>
    <row r="790" spans="2:10">
      <c r="B790" s="413"/>
      <c r="C790" s="414"/>
      <c r="D790" s="414"/>
      <c r="E790" s="50"/>
      <c r="F790" s="403">
        <v>3136</v>
      </c>
      <c r="G790" s="406">
        <v>12153</v>
      </c>
      <c r="H790" s="50"/>
      <c r="I790" s="50"/>
      <c r="J790" s="306"/>
    </row>
    <row r="791" spans="2:10">
      <c r="B791" s="413"/>
      <c r="C791" s="414"/>
      <c r="D791" s="414"/>
      <c r="E791" s="50"/>
      <c r="F791" s="403">
        <v>3137</v>
      </c>
      <c r="G791" s="406">
        <v>12262</v>
      </c>
      <c r="H791" s="50"/>
      <c r="I791" s="50"/>
      <c r="J791" s="306"/>
    </row>
    <row r="792" spans="2:10">
      <c r="B792" s="413"/>
      <c r="C792" s="414"/>
      <c r="D792" s="414"/>
      <c r="E792" s="50"/>
      <c r="F792" s="403">
        <v>3138</v>
      </c>
      <c r="G792" s="406">
        <v>12566</v>
      </c>
      <c r="H792" s="50"/>
      <c r="I792" s="50"/>
      <c r="J792" s="306"/>
    </row>
    <row r="793" spans="2:10">
      <c r="B793" s="413"/>
      <c r="C793" s="414"/>
      <c r="D793" s="414"/>
      <c r="E793" s="50"/>
      <c r="F793" s="403">
        <v>3139</v>
      </c>
      <c r="G793" s="406">
        <v>15495</v>
      </c>
      <c r="H793" s="50"/>
      <c r="I793" s="50"/>
      <c r="J793" s="306"/>
    </row>
    <row r="794" spans="2:10">
      <c r="B794" s="413"/>
      <c r="C794" s="414"/>
      <c r="D794" s="414"/>
      <c r="E794" s="50"/>
      <c r="F794" s="403">
        <v>3140</v>
      </c>
      <c r="G794" s="406">
        <v>13138</v>
      </c>
      <c r="H794" s="50"/>
      <c r="I794" s="50"/>
      <c r="J794" s="306"/>
    </row>
    <row r="795" spans="2:10">
      <c r="B795" s="413"/>
      <c r="C795" s="414"/>
      <c r="D795" s="414"/>
      <c r="E795" s="50"/>
      <c r="F795" s="403">
        <v>3141</v>
      </c>
      <c r="G795" s="406">
        <v>13135</v>
      </c>
      <c r="H795" s="50"/>
      <c r="I795" s="50"/>
      <c r="J795" s="306"/>
    </row>
    <row r="796" spans="2:10">
      <c r="B796" s="413"/>
      <c r="C796" s="414"/>
      <c r="D796" s="414"/>
      <c r="E796" s="50"/>
      <c r="F796" s="403">
        <v>3142</v>
      </c>
      <c r="G796" s="406">
        <v>13756</v>
      </c>
      <c r="H796" s="50"/>
      <c r="I796" s="50"/>
      <c r="J796" s="306"/>
    </row>
    <row r="797" spans="2:10">
      <c r="B797" s="413"/>
      <c r="C797" s="414"/>
      <c r="D797" s="414"/>
      <c r="E797" s="50"/>
      <c r="F797" s="403">
        <v>3143</v>
      </c>
      <c r="G797" s="406">
        <v>14179</v>
      </c>
      <c r="H797" s="50"/>
      <c r="I797" s="50"/>
      <c r="J797" s="306"/>
    </row>
    <row r="798" spans="2:10">
      <c r="B798" s="413"/>
      <c r="C798" s="414"/>
      <c r="D798" s="414"/>
      <c r="E798" s="50"/>
      <c r="F798" s="403">
        <v>3144</v>
      </c>
      <c r="G798" s="406">
        <v>13938</v>
      </c>
      <c r="H798" s="50"/>
      <c r="I798" s="50"/>
      <c r="J798" s="306"/>
    </row>
    <row r="799" spans="2:10">
      <c r="B799" s="413"/>
      <c r="C799" s="414"/>
      <c r="D799" s="414"/>
      <c r="E799" s="50"/>
      <c r="F799" s="403">
        <v>3145</v>
      </c>
      <c r="G799" s="406">
        <v>14221</v>
      </c>
      <c r="H799" s="50"/>
      <c r="I799" s="50"/>
      <c r="J799" s="306"/>
    </row>
    <row r="800" spans="2:10">
      <c r="B800" s="413"/>
      <c r="C800" s="414"/>
      <c r="D800" s="414"/>
      <c r="E800" s="50"/>
      <c r="F800" s="403">
        <v>3146</v>
      </c>
      <c r="G800" s="406">
        <v>14783</v>
      </c>
      <c r="H800" s="50"/>
      <c r="I800" s="50"/>
      <c r="J800" s="306"/>
    </row>
    <row r="801" spans="2:10">
      <c r="B801" s="413"/>
      <c r="C801" s="414"/>
      <c r="D801" s="414"/>
      <c r="E801" s="50"/>
      <c r="F801" s="403">
        <v>3147</v>
      </c>
      <c r="G801" s="406">
        <v>14723</v>
      </c>
      <c r="H801" s="50"/>
      <c r="I801" s="50"/>
      <c r="J801" s="306"/>
    </row>
    <row r="802" spans="2:10">
      <c r="B802" s="413"/>
      <c r="C802" s="414"/>
      <c r="D802" s="414"/>
      <c r="E802" s="50"/>
      <c r="F802" s="403">
        <v>3148</v>
      </c>
      <c r="G802" s="406">
        <v>13516</v>
      </c>
      <c r="H802" s="50"/>
      <c r="I802" s="50"/>
      <c r="J802" s="306"/>
    </row>
    <row r="803" spans="2:10">
      <c r="B803" s="413"/>
      <c r="C803" s="414"/>
      <c r="D803" s="414"/>
      <c r="E803" s="50"/>
      <c r="F803" s="403">
        <v>3149</v>
      </c>
      <c r="G803" s="406">
        <v>13037</v>
      </c>
      <c r="H803" s="50"/>
      <c r="I803" s="50"/>
      <c r="J803" s="306"/>
    </row>
    <row r="804" spans="2:10">
      <c r="B804" s="413"/>
      <c r="C804" s="414"/>
      <c r="D804" s="414"/>
      <c r="E804" s="50"/>
      <c r="F804" s="403">
        <v>3150</v>
      </c>
      <c r="G804" s="406">
        <v>13139</v>
      </c>
      <c r="H804" s="50"/>
      <c r="I804" s="50"/>
      <c r="J804" s="306"/>
    </row>
    <row r="805" spans="2:10">
      <c r="B805" s="413"/>
      <c r="C805" s="414"/>
      <c r="D805" s="414"/>
      <c r="E805" s="50"/>
      <c r="F805" s="403">
        <v>3151</v>
      </c>
      <c r="G805" s="406">
        <v>13291</v>
      </c>
      <c r="H805" s="50"/>
      <c r="I805" s="50"/>
      <c r="J805" s="306"/>
    </row>
    <row r="806" spans="2:10">
      <c r="B806" s="413"/>
      <c r="C806" s="414"/>
      <c r="D806" s="414"/>
      <c r="E806" s="50"/>
      <c r="F806" s="403">
        <v>3152</v>
      </c>
      <c r="G806" s="406">
        <v>12977</v>
      </c>
      <c r="H806" s="50"/>
      <c r="I806" s="50"/>
      <c r="J806" s="306"/>
    </row>
    <row r="807" spans="2:10">
      <c r="B807" s="413"/>
      <c r="C807" s="414"/>
      <c r="D807" s="414"/>
      <c r="E807" s="50"/>
      <c r="F807" s="403">
        <v>3153</v>
      </c>
      <c r="G807" s="406">
        <v>12142</v>
      </c>
      <c r="H807" s="50"/>
      <c r="I807" s="50"/>
      <c r="J807" s="306"/>
    </row>
    <row r="808" spans="2:10">
      <c r="B808" s="413"/>
      <c r="C808" s="414"/>
      <c r="D808" s="414"/>
      <c r="E808" s="50"/>
      <c r="F808" s="403">
        <v>3154</v>
      </c>
      <c r="G808" s="406">
        <v>12421</v>
      </c>
      <c r="H808" s="50"/>
      <c r="I808" s="50"/>
      <c r="J808" s="306"/>
    </row>
    <row r="809" spans="2:10">
      <c r="B809" s="413"/>
      <c r="C809" s="414"/>
      <c r="D809" s="414"/>
      <c r="E809" s="50"/>
      <c r="F809" s="403">
        <v>3155</v>
      </c>
      <c r="G809" s="406">
        <v>12683</v>
      </c>
      <c r="H809" s="50"/>
      <c r="I809" s="50"/>
      <c r="J809" s="306"/>
    </row>
    <row r="810" spans="2:10">
      <c r="B810" s="413"/>
      <c r="C810" s="414"/>
      <c r="D810" s="414"/>
      <c r="E810" s="50"/>
      <c r="F810" s="403">
        <v>3156</v>
      </c>
      <c r="G810" s="406">
        <v>14326</v>
      </c>
      <c r="H810" s="50"/>
      <c r="I810" s="50"/>
      <c r="J810" s="306"/>
    </row>
    <row r="811" spans="2:10">
      <c r="B811" s="413"/>
      <c r="C811" s="414"/>
      <c r="D811" s="414"/>
      <c r="E811" s="50"/>
      <c r="F811" s="403">
        <v>3158</v>
      </c>
      <c r="G811" s="406">
        <v>14364</v>
      </c>
      <c r="H811" s="50"/>
      <c r="I811" s="50"/>
      <c r="J811" s="306"/>
    </row>
    <row r="812" spans="2:10">
      <c r="B812" s="413"/>
      <c r="C812" s="414"/>
      <c r="D812" s="414"/>
      <c r="E812" s="50"/>
      <c r="F812" s="403">
        <v>3159</v>
      </c>
      <c r="G812" s="406">
        <v>14115</v>
      </c>
      <c r="H812" s="50"/>
      <c r="I812" s="50"/>
      <c r="J812" s="306"/>
    </row>
    <row r="813" spans="2:10">
      <c r="B813" s="413"/>
      <c r="C813" s="414"/>
      <c r="D813" s="414"/>
      <c r="E813" s="50"/>
      <c r="F813" s="403">
        <v>3160</v>
      </c>
      <c r="G813" s="406">
        <v>14359</v>
      </c>
      <c r="H813" s="50"/>
      <c r="I813" s="50"/>
      <c r="J813" s="306"/>
    </row>
    <row r="814" spans="2:10">
      <c r="B814" s="413"/>
      <c r="C814" s="414"/>
      <c r="D814" s="414"/>
      <c r="E814" s="50"/>
      <c r="F814" s="403">
        <v>3161</v>
      </c>
      <c r="G814" s="406">
        <v>14280</v>
      </c>
      <c r="H814" s="50"/>
      <c r="I814" s="50"/>
      <c r="J814" s="306"/>
    </row>
    <row r="815" spans="2:10">
      <c r="B815" s="413"/>
      <c r="C815" s="414"/>
      <c r="D815" s="414"/>
      <c r="E815" s="50"/>
      <c r="F815" s="403">
        <v>3162</v>
      </c>
      <c r="G815" s="406">
        <v>13882</v>
      </c>
      <c r="H815" s="50"/>
      <c r="I815" s="50"/>
      <c r="J815" s="306"/>
    </row>
    <row r="816" spans="2:10">
      <c r="B816" s="413"/>
      <c r="C816" s="414"/>
      <c r="D816" s="414"/>
      <c r="E816" s="50"/>
      <c r="F816" s="403">
        <v>3163</v>
      </c>
      <c r="G816" s="406">
        <v>13522</v>
      </c>
      <c r="H816" s="50"/>
      <c r="I816" s="50"/>
      <c r="J816" s="306"/>
    </row>
    <row r="817" spans="2:10">
      <c r="B817" s="413"/>
      <c r="C817" s="414"/>
      <c r="D817" s="414"/>
      <c r="E817" s="50"/>
      <c r="F817" s="403">
        <v>3165</v>
      </c>
      <c r="G817" s="406">
        <v>13438</v>
      </c>
      <c r="H817" s="50"/>
      <c r="I817" s="50"/>
      <c r="J817" s="306"/>
    </row>
    <row r="818" spans="2:10">
      <c r="B818" s="413"/>
      <c r="C818" s="414"/>
      <c r="D818" s="414"/>
      <c r="E818" s="50"/>
      <c r="F818" s="403">
        <v>3166</v>
      </c>
      <c r="G818" s="406">
        <v>13025</v>
      </c>
      <c r="H818" s="50"/>
      <c r="I818" s="50"/>
      <c r="J818" s="306"/>
    </row>
    <row r="819" spans="2:10">
      <c r="B819" s="413"/>
      <c r="C819" s="414"/>
      <c r="D819" s="414"/>
      <c r="E819" s="50"/>
      <c r="F819" s="403">
        <v>3167</v>
      </c>
      <c r="G819" s="406">
        <v>13521</v>
      </c>
      <c r="H819" s="50"/>
      <c r="I819" s="50"/>
      <c r="J819" s="306"/>
    </row>
    <row r="820" spans="2:10">
      <c r="B820" s="413"/>
      <c r="C820" s="414"/>
      <c r="D820" s="414"/>
      <c r="E820" s="50"/>
      <c r="F820" s="403">
        <v>3168</v>
      </c>
      <c r="G820" s="406">
        <v>13753</v>
      </c>
      <c r="H820" s="50"/>
      <c r="I820" s="50"/>
      <c r="J820" s="306"/>
    </row>
    <row r="821" spans="2:10">
      <c r="B821" s="413"/>
      <c r="C821" s="414"/>
      <c r="D821" s="414"/>
      <c r="E821" s="50"/>
      <c r="F821" s="403">
        <v>3169</v>
      </c>
      <c r="G821" s="406">
        <v>15223</v>
      </c>
      <c r="H821" s="50"/>
      <c r="I821" s="50"/>
      <c r="J821" s="306"/>
    </row>
    <row r="822" spans="2:10">
      <c r="B822" s="413"/>
      <c r="C822" s="414"/>
      <c r="D822" s="414"/>
      <c r="E822" s="50"/>
      <c r="F822" s="403">
        <v>3170</v>
      </c>
      <c r="G822" s="406">
        <v>15030</v>
      </c>
      <c r="H822" s="50"/>
      <c r="I822" s="50"/>
      <c r="J822" s="306"/>
    </row>
    <row r="823" spans="2:10">
      <c r="B823" s="413"/>
      <c r="C823" s="414"/>
      <c r="D823" s="414"/>
      <c r="E823" s="50"/>
      <c r="F823" s="403">
        <v>3171</v>
      </c>
      <c r="G823" s="406">
        <v>15484</v>
      </c>
      <c r="H823" s="50"/>
      <c r="I823" s="50"/>
      <c r="J823" s="306"/>
    </row>
    <row r="824" spans="2:10">
      <c r="B824" s="413"/>
      <c r="C824" s="414"/>
      <c r="D824" s="414"/>
      <c r="E824" s="50"/>
      <c r="F824" s="403">
        <v>3172</v>
      </c>
      <c r="G824" s="406">
        <v>15627</v>
      </c>
      <c r="H824" s="50"/>
      <c r="I824" s="50"/>
      <c r="J824" s="306"/>
    </row>
    <row r="825" spans="2:10">
      <c r="B825" s="413"/>
      <c r="C825" s="414"/>
      <c r="D825" s="414"/>
      <c r="E825" s="50"/>
      <c r="F825" s="403">
        <v>3173</v>
      </c>
      <c r="G825" s="406">
        <v>15800</v>
      </c>
      <c r="H825" s="50"/>
      <c r="I825" s="50"/>
      <c r="J825" s="306"/>
    </row>
    <row r="826" spans="2:10">
      <c r="B826" s="413"/>
      <c r="C826" s="414"/>
      <c r="D826" s="414"/>
      <c r="E826" s="50"/>
      <c r="F826" s="403">
        <v>3174</v>
      </c>
      <c r="G826" s="406">
        <v>15617</v>
      </c>
      <c r="H826" s="50"/>
      <c r="I826" s="50"/>
      <c r="J826" s="306"/>
    </row>
    <row r="827" spans="2:10">
      <c r="B827" s="413"/>
      <c r="C827" s="414"/>
      <c r="D827" s="414"/>
      <c r="E827" s="50"/>
      <c r="F827" s="403">
        <v>3175</v>
      </c>
      <c r="G827" s="406">
        <v>15634</v>
      </c>
      <c r="H827" s="50"/>
      <c r="I827" s="50"/>
      <c r="J827" s="306"/>
    </row>
    <row r="828" spans="2:10">
      <c r="B828" s="413"/>
      <c r="C828" s="414"/>
      <c r="D828" s="414"/>
      <c r="E828" s="50"/>
      <c r="F828" s="403">
        <v>3177</v>
      </c>
      <c r="G828" s="406">
        <v>15374</v>
      </c>
      <c r="H828" s="50"/>
      <c r="I828" s="50"/>
      <c r="J828" s="306"/>
    </row>
    <row r="829" spans="2:10">
      <c r="B829" s="413"/>
      <c r="C829" s="414"/>
      <c r="D829" s="414"/>
      <c r="E829" s="50"/>
      <c r="F829" s="403">
        <v>3178</v>
      </c>
      <c r="G829" s="406">
        <v>14390</v>
      </c>
      <c r="H829" s="50"/>
      <c r="I829" s="50"/>
      <c r="J829" s="306"/>
    </row>
    <row r="830" spans="2:10">
      <c r="B830" s="413"/>
      <c r="C830" s="414"/>
      <c r="D830" s="414"/>
      <c r="E830" s="50"/>
      <c r="F830" s="403">
        <v>3179</v>
      </c>
      <c r="G830" s="406">
        <v>13712</v>
      </c>
      <c r="H830" s="50"/>
      <c r="I830" s="50"/>
      <c r="J830" s="306"/>
    </row>
    <row r="831" spans="2:10">
      <c r="B831" s="413"/>
      <c r="C831" s="414"/>
      <c r="D831" s="414"/>
      <c r="E831" s="50"/>
      <c r="F831" s="403">
        <v>3180</v>
      </c>
      <c r="G831" s="406">
        <v>13849</v>
      </c>
      <c r="H831" s="50"/>
      <c r="I831" s="50"/>
      <c r="J831" s="306"/>
    </row>
    <row r="832" spans="2:10">
      <c r="B832" s="413"/>
      <c r="C832" s="414"/>
      <c r="D832" s="414"/>
      <c r="E832" s="50"/>
      <c r="F832" s="403">
        <v>3181</v>
      </c>
      <c r="G832" s="406">
        <v>14106</v>
      </c>
      <c r="H832" s="50"/>
      <c r="I832" s="50"/>
      <c r="J832" s="306"/>
    </row>
    <row r="833" spans="2:10">
      <c r="B833" s="413"/>
      <c r="C833" s="414"/>
      <c r="D833" s="414"/>
      <c r="E833" s="50"/>
      <c r="F833" s="403">
        <v>3182</v>
      </c>
      <c r="G833" s="406">
        <v>14195</v>
      </c>
      <c r="H833" s="50"/>
      <c r="I833" s="50"/>
      <c r="J833" s="306"/>
    </row>
    <row r="834" spans="2:10">
      <c r="B834" s="413"/>
      <c r="C834" s="414"/>
      <c r="D834" s="414"/>
      <c r="E834" s="50"/>
      <c r="F834" s="403">
        <v>3183</v>
      </c>
      <c r="G834" s="406">
        <v>14283</v>
      </c>
      <c r="H834" s="50"/>
      <c r="I834" s="50"/>
      <c r="J834" s="306"/>
    </row>
    <row r="835" spans="2:10">
      <c r="B835" s="413"/>
      <c r="C835" s="414"/>
      <c r="D835" s="414"/>
      <c r="E835" s="50"/>
      <c r="F835" s="403">
        <v>3184</v>
      </c>
      <c r="G835" s="406">
        <v>14281</v>
      </c>
      <c r="H835" s="50"/>
      <c r="I835" s="50"/>
      <c r="J835" s="306"/>
    </row>
    <row r="836" spans="2:10">
      <c r="B836" s="413"/>
      <c r="C836" s="414"/>
      <c r="D836" s="414"/>
      <c r="E836" s="50"/>
      <c r="F836" s="403">
        <v>3185</v>
      </c>
      <c r="G836" s="406">
        <v>14295</v>
      </c>
      <c r="H836" s="50"/>
      <c r="I836" s="50"/>
      <c r="J836" s="306"/>
    </row>
    <row r="837" spans="2:10">
      <c r="B837" s="413"/>
      <c r="C837" s="414"/>
      <c r="D837" s="414"/>
      <c r="E837" s="50"/>
      <c r="F837" s="403">
        <v>3186</v>
      </c>
      <c r="G837" s="406">
        <v>14189</v>
      </c>
      <c r="H837" s="50"/>
      <c r="I837" s="50"/>
      <c r="J837" s="306"/>
    </row>
    <row r="838" spans="2:10">
      <c r="B838" s="413"/>
      <c r="C838" s="414"/>
      <c r="D838" s="414"/>
      <c r="E838" s="50"/>
      <c r="F838" s="403">
        <v>3187</v>
      </c>
      <c r="G838" s="406">
        <v>13991</v>
      </c>
      <c r="H838" s="50"/>
      <c r="I838" s="50"/>
      <c r="J838" s="306"/>
    </row>
    <row r="839" spans="2:10">
      <c r="B839" s="413"/>
      <c r="C839" s="414"/>
      <c r="D839" s="414"/>
      <c r="E839" s="50"/>
      <c r="F839" s="403">
        <v>3188</v>
      </c>
      <c r="G839" s="406">
        <v>13593</v>
      </c>
      <c r="H839" s="50"/>
      <c r="I839" s="50"/>
      <c r="J839" s="306"/>
    </row>
    <row r="840" spans="2:10">
      <c r="B840" s="413"/>
      <c r="C840" s="414"/>
      <c r="D840" s="414"/>
      <c r="E840" s="50"/>
      <c r="F840" s="403">
        <v>3189</v>
      </c>
      <c r="G840" s="406">
        <v>13339</v>
      </c>
      <c r="H840" s="50"/>
      <c r="I840" s="50"/>
      <c r="J840" s="306"/>
    </row>
    <row r="841" spans="2:10">
      <c r="B841" s="413"/>
      <c r="C841" s="414"/>
      <c r="D841" s="414"/>
      <c r="E841" s="50"/>
      <c r="F841" s="403">
        <v>3190</v>
      </c>
      <c r="G841" s="406">
        <v>12948</v>
      </c>
      <c r="H841" s="50"/>
      <c r="I841" s="50"/>
      <c r="J841" s="306"/>
    </row>
    <row r="842" spans="2:10">
      <c r="B842" s="413"/>
      <c r="C842" s="414"/>
      <c r="D842" s="414"/>
      <c r="E842" s="50"/>
      <c r="F842" s="403">
        <v>3191</v>
      </c>
      <c r="G842" s="406">
        <v>13114</v>
      </c>
      <c r="H842" s="50"/>
      <c r="I842" s="50"/>
      <c r="J842" s="306"/>
    </row>
    <row r="843" spans="2:10">
      <c r="B843" s="413"/>
      <c r="C843" s="414"/>
      <c r="D843" s="414"/>
      <c r="E843" s="50"/>
      <c r="F843" s="403">
        <v>3192</v>
      </c>
      <c r="G843" s="406">
        <v>13130</v>
      </c>
      <c r="H843" s="50"/>
      <c r="I843" s="50"/>
      <c r="J843" s="306"/>
    </row>
    <row r="844" spans="2:10">
      <c r="B844" s="413"/>
      <c r="C844" s="414"/>
      <c r="D844" s="414"/>
      <c r="E844" s="50"/>
      <c r="F844" s="403">
        <v>3193</v>
      </c>
      <c r="G844" s="406">
        <v>13100</v>
      </c>
      <c r="H844" s="50"/>
      <c r="I844" s="50"/>
      <c r="J844" s="306"/>
    </row>
    <row r="845" spans="2:10">
      <c r="B845" s="413"/>
      <c r="C845" s="414"/>
      <c r="D845" s="414"/>
      <c r="E845" s="50"/>
      <c r="F845" s="403">
        <v>3194</v>
      </c>
      <c r="G845" s="406">
        <v>14671</v>
      </c>
      <c r="H845" s="50"/>
      <c r="I845" s="50"/>
      <c r="J845" s="306"/>
    </row>
    <row r="846" spans="2:10">
      <c r="B846" s="413"/>
      <c r="C846" s="414"/>
      <c r="D846" s="414"/>
      <c r="E846" s="50"/>
      <c r="F846" s="403">
        <v>3195</v>
      </c>
      <c r="G846" s="406">
        <v>15980</v>
      </c>
      <c r="H846" s="50"/>
      <c r="I846" s="50"/>
      <c r="J846" s="306"/>
    </row>
    <row r="847" spans="2:10">
      <c r="B847" s="413"/>
      <c r="C847" s="414"/>
      <c r="D847" s="414"/>
      <c r="E847" s="50"/>
      <c r="F847" s="403">
        <v>3196</v>
      </c>
      <c r="G847" s="406">
        <v>16992</v>
      </c>
      <c r="H847" s="50"/>
      <c r="I847" s="50"/>
      <c r="J847" s="306"/>
    </row>
    <row r="848" spans="2:10">
      <c r="B848" s="413"/>
      <c r="C848" s="414"/>
      <c r="D848" s="414"/>
      <c r="E848" s="50"/>
      <c r="F848" s="403">
        <v>3197</v>
      </c>
      <c r="G848" s="406">
        <v>17315</v>
      </c>
      <c r="H848" s="50"/>
      <c r="I848" s="50"/>
      <c r="J848" s="306"/>
    </row>
    <row r="849" spans="2:10">
      <c r="B849" s="413"/>
      <c r="C849" s="414"/>
      <c r="D849" s="414"/>
      <c r="E849" s="50"/>
      <c r="F849" s="403">
        <v>3198</v>
      </c>
      <c r="G849" s="406">
        <v>17479</v>
      </c>
      <c r="H849" s="50"/>
      <c r="I849" s="50"/>
      <c r="J849" s="306"/>
    </row>
    <row r="850" spans="2:10">
      <c r="B850" s="413"/>
      <c r="C850" s="414"/>
      <c r="D850" s="414"/>
      <c r="E850" s="50"/>
      <c r="F850" s="403">
        <v>3199</v>
      </c>
      <c r="G850" s="406">
        <v>17504</v>
      </c>
      <c r="H850" s="50"/>
      <c r="I850" s="50"/>
      <c r="J850" s="306"/>
    </row>
    <row r="851" spans="2:10">
      <c r="B851" s="413"/>
      <c r="C851" s="414"/>
      <c r="D851" s="414"/>
      <c r="E851" s="50"/>
      <c r="F851" s="403">
        <v>3200</v>
      </c>
      <c r="G851" s="406">
        <v>17534</v>
      </c>
      <c r="H851" s="50"/>
      <c r="I851" s="50"/>
      <c r="J851" s="306"/>
    </row>
    <row r="852" spans="2:10">
      <c r="B852" s="413"/>
      <c r="C852" s="414"/>
      <c r="D852" s="414"/>
      <c r="E852" s="50"/>
      <c r="F852" s="403">
        <v>3201</v>
      </c>
      <c r="G852" s="406">
        <v>17587</v>
      </c>
      <c r="H852" s="50"/>
      <c r="I852" s="50"/>
      <c r="J852" s="306"/>
    </row>
    <row r="853" spans="2:10">
      <c r="B853" s="413"/>
      <c r="C853" s="414"/>
      <c r="D853" s="414"/>
      <c r="E853" s="50"/>
      <c r="F853" s="403">
        <v>3202</v>
      </c>
      <c r="G853" s="406">
        <v>13533</v>
      </c>
      <c r="H853" s="50"/>
      <c r="I853" s="50"/>
      <c r="J853" s="306"/>
    </row>
    <row r="854" spans="2:10">
      <c r="B854" s="413"/>
      <c r="C854" s="414"/>
      <c r="D854" s="414"/>
      <c r="E854" s="50"/>
      <c r="F854" s="403">
        <v>3204</v>
      </c>
      <c r="G854" s="406">
        <v>13595</v>
      </c>
      <c r="H854" s="50"/>
      <c r="I854" s="50"/>
      <c r="J854" s="306"/>
    </row>
    <row r="855" spans="2:10">
      <c r="B855" s="413"/>
      <c r="C855" s="414"/>
      <c r="D855" s="414"/>
      <c r="E855" s="50"/>
      <c r="F855" s="403">
        <v>3205</v>
      </c>
      <c r="G855" s="406">
        <v>10064</v>
      </c>
      <c r="H855" s="50"/>
      <c r="I855" s="50"/>
      <c r="J855" s="306"/>
    </row>
    <row r="856" spans="2:10">
      <c r="B856" s="413"/>
      <c r="C856" s="414"/>
      <c r="D856" s="414"/>
      <c r="E856" s="50"/>
      <c r="F856" s="403">
        <v>3206</v>
      </c>
      <c r="G856" s="406">
        <v>11744</v>
      </c>
      <c r="H856" s="50"/>
      <c r="I856" s="50"/>
      <c r="J856" s="306"/>
    </row>
    <row r="857" spans="2:10">
      <c r="B857" s="413"/>
      <c r="C857" s="414"/>
      <c r="D857" s="414"/>
      <c r="E857" s="50"/>
      <c r="F857" s="403">
        <v>3207</v>
      </c>
      <c r="G857" s="406">
        <v>10425</v>
      </c>
      <c r="H857" s="50"/>
      <c r="I857" s="50"/>
      <c r="J857" s="306"/>
    </row>
    <row r="858" spans="2:10">
      <c r="B858" s="413"/>
      <c r="C858" s="414"/>
      <c r="D858" s="414"/>
      <c r="E858" s="50"/>
      <c r="F858" s="403">
        <v>3211</v>
      </c>
      <c r="G858" s="406">
        <v>14641</v>
      </c>
      <c r="H858" s="50"/>
      <c r="I858" s="50"/>
      <c r="J858" s="306"/>
    </row>
    <row r="859" spans="2:10">
      <c r="B859" s="413"/>
      <c r="C859" s="414"/>
      <c r="D859" s="414"/>
      <c r="E859" s="50"/>
      <c r="F859" s="403">
        <v>3212</v>
      </c>
      <c r="G859" s="406">
        <v>14846</v>
      </c>
      <c r="H859" s="50"/>
      <c r="I859" s="50"/>
      <c r="J859" s="306"/>
    </row>
    <row r="860" spans="2:10">
      <c r="B860" s="413"/>
      <c r="C860" s="414"/>
      <c r="D860" s="414"/>
      <c r="E860" s="50"/>
      <c r="F860" s="403">
        <v>3214</v>
      </c>
      <c r="G860" s="406">
        <v>15051</v>
      </c>
      <c r="H860" s="50"/>
      <c r="I860" s="50"/>
      <c r="J860" s="306"/>
    </row>
    <row r="861" spans="2:10">
      <c r="B861" s="413"/>
      <c r="C861" s="414"/>
      <c r="D861" s="414"/>
      <c r="E861" s="50"/>
      <c r="F861" s="403">
        <v>3215</v>
      </c>
      <c r="G861" s="406">
        <v>15466</v>
      </c>
      <c r="H861" s="50"/>
      <c r="I861" s="50"/>
      <c r="J861" s="306"/>
    </row>
    <row r="862" spans="2:10">
      <c r="B862" s="413"/>
      <c r="C862" s="414"/>
      <c r="D862" s="414"/>
      <c r="E862" s="50"/>
      <c r="F862" s="403">
        <v>3216</v>
      </c>
      <c r="G862" s="406">
        <v>17069</v>
      </c>
      <c r="H862" s="50"/>
      <c r="I862" s="50"/>
      <c r="J862" s="306"/>
    </row>
    <row r="863" spans="2:10">
      <c r="B863" s="413"/>
      <c r="C863" s="414"/>
      <c r="D863" s="414"/>
      <c r="E863" s="50"/>
      <c r="F863" s="403">
        <v>3217</v>
      </c>
      <c r="G863" s="406">
        <v>16687</v>
      </c>
      <c r="H863" s="50"/>
      <c r="I863" s="50"/>
      <c r="J863" s="306"/>
    </row>
    <row r="864" spans="2:10">
      <c r="B864" s="413"/>
      <c r="C864" s="414"/>
      <c r="D864" s="414"/>
      <c r="E864" s="50"/>
      <c r="F864" s="403">
        <v>3218</v>
      </c>
      <c r="G864" s="406">
        <v>15466</v>
      </c>
      <c r="H864" s="50"/>
      <c r="I864" s="50"/>
      <c r="J864" s="306"/>
    </row>
    <row r="865" spans="2:10">
      <c r="B865" s="413"/>
      <c r="C865" s="414"/>
      <c r="D865" s="414"/>
      <c r="E865" s="50"/>
      <c r="F865" s="403">
        <v>3219</v>
      </c>
      <c r="G865" s="406">
        <v>17054</v>
      </c>
      <c r="H865" s="50"/>
      <c r="I865" s="50"/>
      <c r="J865" s="306"/>
    </row>
    <row r="866" spans="2:10">
      <c r="B866" s="413"/>
      <c r="C866" s="414"/>
      <c r="D866" s="414"/>
      <c r="E866" s="50"/>
      <c r="F866" s="403">
        <v>3220</v>
      </c>
      <c r="G866" s="406">
        <v>16687</v>
      </c>
      <c r="H866" s="50"/>
      <c r="I866" s="50"/>
      <c r="J866" s="306"/>
    </row>
    <row r="867" spans="2:10">
      <c r="B867" s="413"/>
      <c r="C867" s="414"/>
      <c r="D867" s="414"/>
      <c r="E867" s="50"/>
      <c r="F867" s="403">
        <v>3221</v>
      </c>
      <c r="G867" s="406">
        <v>15358</v>
      </c>
      <c r="H867" s="50"/>
      <c r="I867" s="50"/>
      <c r="J867" s="306"/>
    </row>
    <row r="868" spans="2:10">
      <c r="B868" s="413"/>
      <c r="C868" s="414"/>
      <c r="D868" s="414"/>
      <c r="E868" s="50"/>
      <c r="F868" s="403">
        <v>3222</v>
      </c>
      <c r="G868" s="406">
        <v>17950</v>
      </c>
      <c r="H868" s="50"/>
      <c r="I868" s="50"/>
      <c r="J868" s="306"/>
    </row>
    <row r="869" spans="2:10">
      <c r="B869" s="413"/>
      <c r="C869" s="414"/>
      <c r="D869" s="414"/>
      <c r="E869" s="50"/>
      <c r="F869" s="403">
        <v>3223</v>
      </c>
      <c r="G869" s="406">
        <v>17957</v>
      </c>
      <c r="H869" s="50"/>
      <c r="I869" s="50"/>
      <c r="J869" s="306"/>
    </row>
    <row r="870" spans="2:10">
      <c r="B870" s="413"/>
      <c r="C870" s="414"/>
      <c r="D870" s="414"/>
      <c r="E870" s="50"/>
      <c r="F870" s="403">
        <v>3224</v>
      </c>
      <c r="G870" s="406">
        <v>17784</v>
      </c>
      <c r="H870" s="50"/>
      <c r="I870" s="50"/>
      <c r="J870" s="306"/>
    </row>
    <row r="871" spans="2:10">
      <c r="B871" s="413"/>
      <c r="C871" s="414"/>
      <c r="D871" s="414"/>
      <c r="E871" s="50"/>
      <c r="F871" s="403">
        <v>3225</v>
      </c>
      <c r="G871" s="406">
        <v>17962</v>
      </c>
      <c r="H871" s="50"/>
      <c r="I871" s="50"/>
      <c r="J871" s="306"/>
    </row>
    <row r="872" spans="2:10">
      <c r="B872" s="413"/>
      <c r="C872" s="414"/>
      <c r="D872" s="414"/>
      <c r="E872" s="50"/>
      <c r="F872" s="403">
        <v>3226</v>
      </c>
      <c r="G872" s="406">
        <v>17956</v>
      </c>
      <c r="H872" s="50"/>
      <c r="I872" s="50"/>
      <c r="J872" s="306"/>
    </row>
    <row r="873" spans="2:10">
      <c r="B873" s="413"/>
      <c r="C873" s="414"/>
      <c r="D873" s="414"/>
      <c r="E873" s="50"/>
      <c r="F873" s="403">
        <v>3227</v>
      </c>
      <c r="G873" s="406">
        <v>17619</v>
      </c>
      <c r="H873" s="50"/>
      <c r="I873" s="50"/>
      <c r="J873" s="306"/>
    </row>
    <row r="874" spans="2:10">
      <c r="B874" s="413"/>
      <c r="C874" s="414"/>
      <c r="D874" s="414"/>
      <c r="E874" s="50"/>
      <c r="F874" s="403">
        <v>3228</v>
      </c>
      <c r="G874" s="406">
        <v>17718</v>
      </c>
      <c r="H874" s="50"/>
      <c r="I874" s="50"/>
      <c r="J874" s="306"/>
    </row>
    <row r="875" spans="2:10">
      <c r="B875" s="413"/>
      <c r="C875" s="414"/>
      <c r="D875" s="414"/>
      <c r="E875" s="50"/>
      <c r="F875" s="403">
        <v>3230</v>
      </c>
      <c r="G875" s="406">
        <v>17735</v>
      </c>
      <c r="H875" s="50"/>
      <c r="I875" s="50"/>
      <c r="J875" s="306"/>
    </row>
    <row r="876" spans="2:10">
      <c r="B876" s="413"/>
      <c r="C876" s="414"/>
      <c r="D876" s="414"/>
      <c r="E876" s="50"/>
      <c r="F876" s="403">
        <v>3231</v>
      </c>
      <c r="G876" s="406">
        <v>18181</v>
      </c>
      <c r="H876" s="50"/>
      <c r="I876" s="50"/>
      <c r="J876" s="306"/>
    </row>
    <row r="877" spans="2:10">
      <c r="B877" s="413"/>
      <c r="C877" s="414"/>
      <c r="D877" s="414"/>
      <c r="E877" s="50"/>
      <c r="F877" s="403">
        <v>3232</v>
      </c>
      <c r="G877" s="406">
        <v>19498</v>
      </c>
      <c r="H877" s="50"/>
      <c r="I877" s="50"/>
      <c r="J877" s="306"/>
    </row>
    <row r="878" spans="2:10">
      <c r="B878" s="413"/>
      <c r="C878" s="414"/>
      <c r="D878" s="414"/>
      <c r="E878" s="50"/>
      <c r="F878" s="403">
        <v>3233</v>
      </c>
      <c r="G878" s="406">
        <v>23593</v>
      </c>
      <c r="H878" s="50"/>
      <c r="I878" s="50"/>
      <c r="J878" s="306"/>
    </row>
    <row r="879" spans="2:10">
      <c r="B879" s="413"/>
      <c r="C879" s="414"/>
      <c r="D879" s="414"/>
      <c r="E879" s="50"/>
      <c r="F879" s="403">
        <v>3235</v>
      </c>
      <c r="G879" s="406">
        <v>19498</v>
      </c>
      <c r="H879" s="50"/>
      <c r="I879" s="50"/>
      <c r="J879" s="306"/>
    </row>
    <row r="880" spans="2:10">
      <c r="B880" s="413"/>
      <c r="C880" s="414"/>
      <c r="D880" s="414"/>
      <c r="E880" s="50"/>
      <c r="F880" s="403">
        <v>3236</v>
      </c>
      <c r="G880" s="406">
        <v>23626</v>
      </c>
      <c r="H880" s="50"/>
      <c r="I880" s="50"/>
      <c r="J880" s="306"/>
    </row>
    <row r="881" spans="2:10">
      <c r="B881" s="413"/>
      <c r="C881" s="414"/>
      <c r="D881" s="414"/>
      <c r="E881" s="50"/>
      <c r="F881" s="403">
        <v>3237</v>
      </c>
      <c r="G881" s="406">
        <v>23593</v>
      </c>
      <c r="H881" s="50"/>
      <c r="I881" s="50"/>
      <c r="J881" s="306"/>
    </row>
    <row r="882" spans="2:10">
      <c r="B882" s="413"/>
      <c r="C882" s="414"/>
      <c r="D882" s="414"/>
      <c r="E882" s="50"/>
      <c r="F882" s="403">
        <v>3238</v>
      </c>
      <c r="G882" s="406">
        <v>23593</v>
      </c>
      <c r="H882" s="50"/>
      <c r="I882" s="50"/>
      <c r="J882" s="306"/>
    </row>
    <row r="883" spans="2:10">
      <c r="B883" s="413"/>
      <c r="C883" s="414"/>
      <c r="D883" s="414"/>
      <c r="E883" s="50"/>
      <c r="F883" s="403">
        <v>3239</v>
      </c>
      <c r="G883" s="406">
        <v>23593</v>
      </c>
      <c r="H883" s="50"/>
      <c r="I883" s="50"/>
      <c r="J883" s="306"/>
    </row>
    <row r="884" spans="2:10">
      <c r="B884" s="413"/>
      <c r="C884" s="414"/>
      <c r="D884" s="414"/>
      <c r="E884" s="50"/>
      <c r="F884" s="403">
        <v>3240</v>
      </c>
      <c r="G884" s="406">
        <v>17931</v>
      </c>
      <c r="H884" s="50"/>
      <c r="I884" s="50"/>
      <c r="J884" s="306"/>
    </row>
    <row r="885" spans="2:10">
      <c r="B885" s="413"/>
      <c r="C885" s="414"/>
      <c r="D885" s="414"/>
      <c r="E885" s="50"/>
      <c r="F885" s="403">
        <v>3241</v>
      </c>
      <c r="G885" s="406">
        <v>19770</v>
      </c>
      <c r="H885" s="50"/>
      <c r="I885" s="50"/>
      <c r="J885" s="306"/>
    </row>
    <row r="886" spans="2:10">
      <c r="B886" s="413"/>
      <c r="C886" s="414"/>
      <c r="D886" s="414"/>
      <c r="E886" s="50"/>
      <c r="F886" s="403">
        <v>3242</v>
      </c>
      <c r="G886" s="406">
        <v>22622</v>
      </c>
      <c r="H886" s="50"/>
      <c r="I886" s="50"/>
      <c r="J886" s="306"/>
    </row>
    <row r="887" spans="2:10">
      <c r="B887" s="413"/>
      <c r="C887" s="414"/>
      <c r="D887" s="414"/>
      <c r="E887" s="50"/>
      <c r="F887" s="403">
        <v>3243</v>
      </c>
      <c r="G887" s="406">
        <v>23546</v>
      </c>
      <c r="H887" s="50"/>
      <c r="I887" s="50"/>
      <c r="J887" s="306"/>
    </row>
    <row r="888" spans="2:10">
      <c r="B888" s="413"/>
      <c r="C888" s="414"/>
      <c r="D888" s="414"/>
      <c r="E888" s="50"/>
      <c r="F888" s="403">
        <v>3249</v>
      </c>
      <c r="G888" s="406">
        <v>23642</v>
      </c>
      <c r="H888" s="50"/>
      <c r="I888" s="50"/>
      <c r="J888" s="306"/>
    </row>
    <row r="889" spans="2:10">
      <c r="B889" s="413"/>
      <c r="C889" s="414"/>
      <c r="D889" s="414"/>
      <c r="E889" s="50"/>
      <c r="F889" s="403">
        <v>3250</v>
      </c>
      <c r="G889" s="406">
        <v>23642</v>
      </c>
      <c r="H889" s="50"/>
      <c r="I889" s="50"/>
      <c r="J889" s="306"/>
    </row>
    <row r="890" spans="2:10">
      <c r="B890" s="413"/>
      <c r="C890" s="414"/>
      <c r="D890" s="414"/>
      <c r="E890" s="50"/>
      <c r="F890" s="403">
        <v>3251</v>
      </c>
      <c r="G890" s="406">
        <v>23591</v>
      </c>
      <c r="H890" s="50"/>
      <c r="I890" s="50"/>
      <c r="J890" s="306"/>
    </row>
    <row r="891" spans="2:10">
      <c r="B891" s="413"/>
      <c r="C891" s="414"/>
      <c r="D891" s="414"/>
      <c r="E891" s="50"/>
      <c r="F891" s="403">
        <v>3254</v>
      </c>
      <c r="G891" s="406">
        <v>22759</v>
      </c>
      <c r="H891" s="50"/>
      <c r="I891" s="50"/>
      <c r="J891" s="306"/>
    </row>
    <row r="892" spans="2:10">
      <c r="B892" s="413"/>
      <c r="C892" s="414"/>
      <c r="D892" s="414"/>
      <c r="E892" s="50"/>
      <c r="F892" s="403">
        <v>3260</v>
      </c>
      <c r="G892" s="406">
        <v>20070</v>
      </c>
      <c r="H892" s="50"/>
      <c r="I892" s="50"/>
      <c r="J892" s="306"/>
    </row>
    <row r="893" spans="2:10">
      <c r="B893" s="413"/>
      <c r="C893" s="414"/>
      <c r="D893" s="414"/>
      <c r="E893" s="50"/>
      <c r="F893" s="403">
        <v>3264</v>
      </c>
      <c r="G893" s="406">
        <v>18717</v>
      </c>
      <c r="H893" s="50"/>
      <c r="I893" s="50"/>
      <c r="J893" s="306"/>
    </row>
    <row r="894" spans="2:10">
      <c r="B894" s="413"/>
      <c r="C894" s="414"/>
      <c r="D894" s="414"/>
      <c r="E894" s="50"/>
      <c r="F894" s="403">
        <v>3265</v>
      </c>
      <c r="G894" s="406">
        <v>19438</v>
      </c>
      <c r="H894" s="50"/>
      <c r="I894" s="50"/>
      <c r="J894" s="306"/>
    </row>
    <row r="895" spans="2:10">
      <c r="B895" s="413"/>
      <c r="C895" s="414"/>
      <c r="D895" s="414"/>
      <c r="E895" s="50"/>
      <c r="F895" s="403">
        <v>3266</v>
      </c>
      <c r="G895" s="406">
        <v>19550</v>
      </c>
      <c r="H895" s="50"/>
      <c r="I895" s="50"/>
      <c r="J895" s="306"/>
    </row>
    <row r="896" spans="2:10">
      <c r="B896" s="413"/>
      <c r="C896" s="414"/>
      <c r="D896" s="414"/>
      <c r="E896" s="50"/>
      <c r="F896" s="403">
        <v>3267</v>
      </c>
      <c r="G896" s="406">
        <v>18739</v>
      </c>
      <c r="H896" s="50"/>
      <c r="I896" s="50"/>
      <c r="J896" s="306"/>
    </row>
    <row r="897" spans="2:10">
      <c r="B897" s="413"/>
      <c r="C897" s="414"/>
      <c r="D897" s="414"/>
      <c r="E897" s="50"/>
      <c r="F897" s="403">
        <v>3268</v>
      </c>
      <c r="G897" s="406">
        <v>18437</v>
      </c>
      <c r="H897" s="50"/>
      <c r="I897" s="50"/>
      <c r="J897" s="306"/>
    </row>
    <row r="898" spans="2:10">
      <c r="B898" s="413"/>
      <c r="C898" s="414"/>
      <c r="D898" s="414"/>
      <c r="E898" s="50"/>
      <c r="F898" s="403">
        <v>3269</v>
      </c>
      <c r="G898" s="406">
        <v>18437</v>
      </c>
      <c r="H898" s="50"/>
      <c r="I898" s="50"/>
      <c r="J898" s="306"/>
    </row>
    <row r="899" spans="2:10">
      <c r="B899" s="413"/>
      <c r="C899" s="414"/>
      <c r="D899" s="414"/>
      <c r="E899" s="50"/>
      <c r="F899" s="403">
        <v>3270</v>
      </c>
      <c r="G899" s="406">
        <v>18437</v>
      </c>
      <c r="H899" s="50"/>
      <c r="I899" s="50"/>
      <c r="J899" s="306"/>
    </row>
    <row r="900" spans="2:10">
      <c r="B900" s="413"/>
      <c r="C900" s="414"/>
      <c r="D900" s="414"/>
      <c r="E900" s="50"/>
      <c r="F900" s="403">
        <v>3271</v>
      </c>
      <c r="G900" s="406">
        <v>17421</v>
      </c>
      <c r="H900" s="50"/>
      <c r="I900" s="50"/>
      <c r="J900" s="306"/>
    </row>
    <row r="901" spans="2:10">
      <c r="B901" s="413"/>
      <c r="C901" s="414"/>
      <c r="D901" s="414"/>
      <c r="E901" s="50"/>
      <c r="F901" s="403">
        <v>3272</v>
      </c>
      <c r="G901" s="406">
        <v>14738</v>
      </c>
      <c r="H901" s="50"/>
      <c r="I901" s="50"/>
      <c r="J901" s="306"/>
    </row>
    <row r="902" spans="2:10">
      <c r="B902" s="413"/>
      <c r="C902" s="414"/>
      <c r="D902" s="414"/>
      <c r="E902" s="50"/>
      <c r="F902" s="403">
        <v>3273</v>
      </c>
      <c r="G902" s="406">
        <v>14744</v>
      </c>
      <c r="H902" s="50"/>
      <c r="I902" s="50"/>
      <c r="J902" s="306"/>
    </row>
    <row r="903" spans="2:10">
      <c r="B903" s="413"/>
      <c r="C903" s="414"/>
      <c r="D903" s="414"/>
      <c r="E903" s="50"/>
      <c r="F903" s="403">
        <v>3274</v>
      </c>
      <c r="G903" s="406">
        <v>14743</v>
      </c>
      <c r="H903" s="50"/>
      <c r="I903" s="50"/>
      <c r="J903" s="306"/>
    </row>
    <row r="904" spans="2:10">
      <c r="B904" s="413"/>
      <c r="C904" s="414"/>
      <c r="D904" s="414"/>
      <c r="E904" s="50"/>
      <c r="F904" s="403">
        <v>3275</v>
      </c>
      <c r="G904" s="406">
        <v>15464</v>
      </c>
      <c r="H904" s="50"/>
      <c r="I904" s="50"/>
      <c r="J904" s="306"/>
    </row>
    <row r="905" spans="2:10">
      <c r="B905" s="413"/>
      <c r="C905" s="414"/>
      <c r="D905" s="414"/>
      <c r="E905" s="50"/>
      <c r="F905" s="403">
        <v>3276</v>
      </c>
      <c r="G905" s="406">
        <v>14949</v>
      </c>
      <c r="H905" s="50"/>
      <c r="I905" s="50"/>
      <c r="J905" s="306"/>
    </row>
    <row r="906" spans="2:10">
      <c r="B906" s="413"/>
      <c r="C906" s="414"/>
      <c r="D906" s="414"/>
      <c r="E906" s="50"/>
      <c r="F906" s="403">
        <v>3277</v>
      </c>
      <c r="G906" s="406">
        <v>17598</v>
      </c>
      <c r="H906" s="50"/>
      <c r="I906" s="50"/>
      <c r="J906" s="306"/>
    </row>
    <row r="907" spans="2:10">
      <c r="B907" s="413"/>
      <c r="C907" s="414"/>
      <c r="D907" s="414"/>
      <c r="E907" s="50"/>
      <c r="F907" s="403">
        <v>3278</v>
      </c>
      <c r="G907" s="406">
        <v>15464</v>
      </c>
      <c r="H907" s="50"/>
      <c r="I907" s="50"/>
      <c r="J907" s="306"/>
    </row>
    <row r="908" spans="2:10">
      <c r="B908" s="413"/>
      <c r="C908" s="414"/>
      <c r="D908" s="414"/>
      <c r="E908" s="50"/>
      <c r="F908" s="403">
        <v>3279</v>
      </c>
      <c r="G908" s="406">
        <v>14822</v>
      </c>
      <c r="H908" s="50"/>
      <c r="I908" s="50"/>
      <c r="J908" s="306"/>
    </row>
    <row r="909" spans="2:10">
      <c r="B909" s="413"/>
      <c r="C909" s="414"/>
      <c r="D909" s="414"/>
      <c r="E909" s="50"/>
      <c r="F909" s="403">
        <v>3280</v>
      </c>
      <c r="G909" s="406">
        <v>14747</v>
      </c>
      <c r="H909" s="50"/>
      <c r="I909" s="50"/>
      <c r="J909" s="306"/>
    </row>
    <row r="910" spans="2:10">
      <c r="B910" s="413"/>
      <c r="C910" s="414"/>
      <c r="D910" s="414"/>
      <c r="E910" s="50"/>
      <c r="F910" s="403">
        <v>3281</v>
      </c>
      <c r="G910" s="406">
        <v>15464</v>
      </c>
      <c r="H910" s="50"/>
      <c r="I910" s="50"/>
      <c r="J910" s="306"/>
    </row>
    <row r="911" spans="2:10">
      <c r="B911" s="413"/>
      <c r="C911" s="414"/>
      <c r="D911" s="414"/>
      <c r="E911" s="50"/>
      <c r="F911" s="403">
        <v>3282</v>
      </c>
      <c r="G911" s="406">
        <v>15457</v>
      </c>
      <c r="H911" s="50"/>
      <c r="I911" s="50"/>
      <c r="J911" s="306"/>
    </row>
    <row r="912" spans="2:10">
      <c r="B912" s="413"/>
      <c r="C912" s="414"/>
      <c r="D912" s="414"/>
      <c r="E912" s="50"/>
      <c r="F912" s="403">
        <v>3283</v>
      </c>
      <c r="G912" s="406">
        <v>15372</v>
      </c>
      <c r="H912" s="50"/>
      <c r="I912" s="50"/>
      <c r="J912" s="306"/>
    </row>
    <row r="913" spans="2:10">
      <c r="B913" s="413"/>
      <c r="C913" s="414"/>
      <c r="D913" s="414"/>
      <c r="E913" s="50"/>
      <c r="F913" s="403">
        <v>3284</v>
      </c>
      <c r="G913" s="406">
        <v>15353</v>
      </c>
      <c r="H913" s="50"/>
      <c r="I913" s="50"/>
      <c r="J913" s="306"/>
    </row>
    <row r="914" spans="2:10">
      <c r="B914" s="413"/>
      <c r="C914" s="414"/>
      <c r="D914" s="414"/>
      <c r="E914" s="50"/>
      <c r="F914" s="403">
        <v>3285</v>
      </c>
      <c r="G914" s="406">
        <v>15091</v>
      </c>
      <c r="H914" s="50"/>
      <c r="I914" s="50"/>
      <c r="J914" s="306"/>
    </row>
    <row r="915" spans="2:10">
      <c r="B915" s="413"/>
      <c r="C915" s="414"/>
      <c r="D915" s="414"/>
      <c r="E915" s="50"/>
      <c r="F915" s="403">
        <v>3286</v>
      </c>
      <c r="G915" s="406">
        <v>14288</v>
      </c>
      <c r="H915" s="50"/>
      <c r="I915" s="50"/>
      <c r="J915" s="306"/>
    </row>
    <row r="916" spans="2:10">
      <c r="B916" s="413"/>
      <c r="C916" s="414"/>
      <c r="D916" s="414"/>
      <c r="E916" s="50"/>
      <c r="F916" s="403">
        <v>3287</v>
      </c>
      <c r="G916" s="406">
        <v>14781</v>
      </c>
      <c r="H916" s="50"/>
      <c r="I916" s="50"/>
      <c r="J916" s="306"/>
    </row>
    <row r="917" spans="2:10">
      <c r="B917" s="413"/>
      <c r="C917" s="414"/>
      <c r="D917" s="414"/>
      <c r="E917" s="50"/>
      <c r="F917" s="403">
        <v>3289</v>
      </c>
      <c r="G917" s="406">
        <v>14570</v>
      </c>
      <c r="H917" s="50"/>
      <c r="I917" s="50"/>
      <c r="J917" s="306"/>
    </row>
    <row r="918" spans="2:10">
      <c r="B918" s="413"/>
      <c r="C918" s="414"/>
      <c r="D918" s="414"/>
      <c r="E918" s="50"/>
      <c r="F918" s="403">
        <v>3292</v>
      </c>
      <c r="G918" s="406">
        <v>15131</v>
      </c>
      <c r="H918" s="50"/>
      <c r="I918" s="50"/>
      <c r="J918" s="306"/>
    </row>
    <row r="919" spans="2:10">
      <c r="B919" s="413"/>
      <c r="C919" s="414"/>
      <c r="D919" s="414"/>
      <c r="E919" s="50"/>
      <c r="F919" s="403">
        <v>3293</v>
      </c>
      <c r="G919" s="406">
        <v>14735</v>
      </c>
      <c r="H919" s="50"/>
      <c r="I919" s="50"/>
      <c r="J919" s="306"/>
    </row>
    <row r="920" spans="2:10">
      <c r="B920" s="413"/>
      <c r="C920" s="414"/>
      <c r="D920" s="414"/>
      <c r="E920" s="50"/>
      <c r="F920" s="403">
        <v>3294</v>
      </c>
      <c r="G920" s="406">
        <v>13912</v>
      </c>
      <c r="H920" s="50"/>
      <c r="I920" s="50"/>
      <c r="J920" s="306"/>
    </row>
    <row r="921" spans="2:10">
      <c r="B921" s="413"/>
      <c r="C921" s="414"/>
      <c r="D921" s="414"/>
      <c r="E921" s="50"/>
      <c r="F921" s="403">
        <v>3300</v>
      </c>
      <c r="G921" s="406">
        <v>13851</v>
      </c>
      <c r="H921" s="50"/>
      <c r="I921" s="50"/>
      <c r="J921" s="306"/>
    </row>
    <row r="922" spans="2:10">
      <c r="B922" s="413"/>
      <c r="C922" s="414"/>
      <c r="D922" s="414"/>
      <c r="E922" s="50"/>
      <c r="F922" s="403">
        <v>3301</v>
      </c>
      <c r="G922" s="406">
        <v>14048</v>
      </c>
      <c r="H922" s="50"/>
      <c r="I922" s="50"/>
      <c r="J922" s="306"/>
    </row>
    <row r="923" spans="2:10">
      <c r="B923" s="413"/>
      <c r="C923" s="414"/>
      <c r="D923" s="414"/>
      <c r="E923" s="50"/>
      <c r="F923" s="403">
        <v>3302</v>
      </c>
      <c r="G923" s="406">
        <v>14293</v>
      </c>
      <c r="H923" s="50"/>
      <c r="I923" s="50"/>
      <c r="J923" s="306"/>
    </row>
    <row r="924" spans="2:10">
      <c r="B924" s="413"/>
      <c r="C924" s="414"/>
      <c r="D924" s="414"/>
      <c r="E924" s="50"/>
      <c r="F924" s="403">
        <v>3303</v>
      </c>
      <c r="G924" s="406">
        <v>14293</v>
      </c>
      <c r="H924" s="50"/>
      <c r="I924" s="50"/>
      <c r="J924" s="306"/>
    </row>
    <row r="925" spans="2:10">
      <c r="B925" s="413"/>
      <c r="C925" s="414"/>
      <c r="D925" s="414"/>
      <c r="E925" s="50"/>
      <c r="F925" s="403">
        <v>3304</v>
      </c>
      <c r="G925" s="406">
        <v>14970</v>
      </c>
      <c r="H925" s="50"/>
      <c r="I925" s="50"/>
      <c r="J925" s="306"/>
    </row>
    <row r="926" spans="2:10">
      <c r="B926" s="413"/>
      <c r="C926" s="414"/>
      <c r="D926" s="414"/>
      <c r="E926" s="50"/>
      <c r="F926" s="403">
        <v>3305</v>
      </c>
      <c r="G926" s="406">
        <v>15015</v>
      </c>
      <c r="H926" s="50"/>
      <c r="I926" s="50"/>
      <c r="J926" s="306"/>
    </row>
    <row r="927" spans="2:10">
      <c r="B927" s="413"/>
      <c r="C927" s="414"/>
      <c r="D927" s="414"/>
      <c r="E927" s="50"/>
      <c r="F927" s="403">
        <v>3309</v>
      </c>
      <c r="G927" s="406">
        <v>14848</v>
      </c>
      <c r="H927" s="50"/>
      <c r="I927" s="50"/>
      <c r="J927" s="306"/>
    </row>
    <row r="928" spans="2:10">
      <c r="B928" s="413"/>
      <c r="C928" s="414"/>
      <c r="D928" s="414"/>
      <c r="E928" s="50"/>
      <c r="F928" s="403">
        <v>3310</v>
      </c>
      <c r="G928" s="406">
        <v>14512</v>
      </c>
      <c r="H928" s="50"/>
      <c r="I928" s="50"/>
      <c r="J928" s="306"/>
    </row>
    <row r="929" spans="2:10">
      <c r="B929" s="413"/>
      <c r="C929" s="414"/>
      <c r="D929" s="414"/>
      <c r="E929" s="50"/>
      <c r="F929" s="403">
        <v>3311</v>
      </c>
      <c r="G929" s="406">
        <v>14505</v>
      </c>
      <c r="H929" s="50"/>
      <c r="I929" s="50"/>
      <c r="J929" s="306"/>
    </row>
    <row r="930" spans="2:10">
      <c r="B930" s="413"/>
      <c r="C930" s="414"/>
      <c r="D930" s="414"/>
      <c r="E930" s="50"/>
      <c r="F930" s="403">
        <v>3312</v>
      </c>
      <c r="G930" s="406">
        <v>14505</v>
      </c>
      <c r="H930" s="50"/>
      <c r="I930" s="50"/>
      <c r="J930" s="306"/>
    </row>
    <row r="931" spans="2:10">
      <c r="B931" s="413"/>
      <c r="C931" s="414"/>
      <c r="D931" s="414"/>
      <c r="E931" s="50"/>
      <c r="F931" s="403">
        <v>3314</v>
      </c>
      <c r="G931" s="406">
        <v>13710</v>
      </c>
      <c r="H931" s="50"/>
      <c r="I931" s="50"/>
      <c r="J931" s="306"/>
    </row>
    <row r="932" spans="2:10">
      <c r="B932" s="413"/>
      <c r="C932" s="414"/>
      <c r="D932" s="414"/>
      <c r="E932" s="50"/>
      <c r="F932" s="403">
        <v>3315</v>
      </c>
      <c r="G932" s="406">
        <v>14071</v>
      </c>
      <c r="H932" s="50"/>
      <c r="I932" s="50"/>
      <c r="J932" s="306"/>
    </row>
    <row r="933" spans="2:10">
      <c r="B933" s="413"/>
      <c r="C933" s="414"/>
      <c r="D933" s="414"/>
      <c r="E933" s="50"/>
      <c r="F933" s="403">
        <v>3317</v>
      </c>
      <c r="G933" s="406">
        <v>13451</v>
      </c>
      <c r="H933" s="50"/>
      <c r="I933" s="50"/>
      <c r="J933" s="306"/>
    </row>
    <row r="934" spans="2:10">
      <c r="B934" s="413"/>
      <c r="C934" s="414"/>
      <c r="D934" s="414"/>
      <c r="E934" s="50"/>
      <c r="F934" s="403">
        <v>3318</v>
      </c>
      <c r="G934" s="406">
        <v>14425</v>
      </c>
      <c r="H934" s="50"/>
      <c r="I934" s="50"/>
      <c r="J934" s="306"/>
    </row>
    <row r="935" spans="2:10">
      <c r="B935" s="413"/>
      <c r="C935" s="414"/>
      <c r="D935" s="414"/>
      <c r="E935" s="50"/>
      <c r="F935" s="403">
        <v>3319</v>
      </c>
      <c r="G935" s="406">
        <v>15621</v>
      </c>
      <c r="H935" s="50"/>
      <c r="I935" s="50"/>
      <c r="J935" s="306"/>
    </row>
    <row r="936" spans="2:10">
      <c r="B936" s="413"/>
      <c r="C936" s="414"/>
      <c r="D936" s="414"/>
      <c r="E936" s="50"/>
      <c r="F936" s="403">
        <v>3321</v>
      </c>
      <c r="G936" s="406">
        <v>20378</v>
      </c>
      <c r="H936" s="50"/>
      <c r="I936" s="50"/>
      <c r="J936" s="306"/>
    </row>
    <row r="937" spans="2:10">
      <c r="B937" s="413"/>
      <c r="C937" s="414"/>
      <c r="D937" s="414"/>
      <c r="E937" s="50"/>
      <c r="F937" s="403">
        <v>3322</v>
      </c>
      <c r="G937" s="406">
        <v>23035</v>
      </c>
      <c r="H937" s="50"/>
      <c r="I937" s="50"/>
      <c r="J937" s="306"/>
    </row>
    <row r="938" spans="2:10">
      <c r="B938" s="413"/>
      <c r="C938" s="414"/>
      <c r="D938" s="414"/>
      <c r="E938" s="50"/>
      <c r="F938" s="403">
        <v>3323</v>
      </c>
      <c r="G938" s="406">
        <v>15284</v>
      </c>
      <c r="H938" s="50"/>
      <c r="I938" s="50"/>
      <c r="J938" s="306"/>
    </row>
    <row r="939" spans="2:10">
      <c r="B939" s="413"/>
      <c r="C939" s="414"/>
      <c r="D939" s="414"/>
      <c r="E939" s="50"/>
      <c r="F939" s="403">
        <v>3324</v>
      </c>
      <c r="G939" s="406">
        <v>15212</v>
      </c>
      <c r="H939" s="50"/>
      <c r="I939" s="50"/>
      <c r="J939" s="306"/>
    </row>
    <row r="940" spans="2:10">
      <c r="B940" s="413"/>
      <c r="C940" s="414"/>
      <c r="D940" s="414"/>
      <c r="E940" s="50"/>
      <c r="F940" s="403">
        <v>3325</v>
      </c>
      <c r="G940" s="406">
        <v>18911</v>
      </c>
      <c r="H940" s="50"/>
      <c r="I940" s="50"/>
      <c r="J940" s="306"/>
    </row>
    <row r="941" spans="2:10">
      <c r="B941" s="413"/>
      <c r="C941" s="414"/>
      <c r="D941" s="414"/>
      <c r="E941" s="50"/>
      <c r="F941" s="403">
        <v>3328</v>
      </c>
      <c r="G941" s="406">
        <v>19550</v>
      </c>
      <c r="H941" s="50"/>
      <c r="I941" s="50"/>
      <c r="J941" s="306"/>
    </row>
    <row r="942" spans="2:10">
      <c r="B942" s="413"/>
      <c r="C942" s="414"/>
      <c r="D942" s="414"/>
      <c r="E942" s="50"/>
      <c r="F942" s="403">
        <v>3329</v>
      </c>
      <c r="G942" s="406">
        <v>20240</v>
      </c>
      <c r="H942" s="50"/>
      <c r="I942" s="50"/>
      <c r="J942" s="306"/>
    </row>
    <row r="943" spans="2:10">
      <c r="B943" s="413"/>
      <c r="C943" s="414"/>
      <c r="D943" s="414"/>
      <c r="E943" s="50"/>
      <c r="F943" s="403">
        <v>3330</v>
      </c>
      <c r="G943" s="406">
        <v>16641</v>
      </c>
      <c r="H943" s="50"/>
      <c r="I943" s="50"/>
      <c r="J943" s="306"/>
    </row>
    <row r="944" spans="2:10">
      <c r="B944" s="413"/>
      <c r="C944" s="414"/>
      <c r="D944" s="414"/>
      <c r="E944" s="50"/>
      <c r="F944" s="403">
        <v>3331</v>
      </c>
      <c r="G944" s="406">
        <v>17712</v>
      </c>
      <c r="H944" s="50"/>
      <c r="I944" s="50"/>
      <c r="J944" s="306"/>
    </row>
    <row r="945" spans="2:10">
      <c r="B945" s="413"/>
      <c r="C945" s="414"/>
      <c r="D945" s="414"/>
      <c r="E945" s="50"/>
      <c r="F945" s="403">
        <v>3332</v>
      </c>
      <c r="G945" s="406">
        <v>18904</v>
      </c>
      <c r="H945" s="50"/>
      <c r="I945" s="50"/>
      <c r="J945" s="306"/>
    </row>
    <row r="946" spans="2:10">
      <c r="B946" s="413"/>
      <c r="C946" s="414"/>
      <c r="D946" s="414"/>
      <c r="E946" s="50"/>
      <c r="F946" s="403">
        <v>3333</v>
      </c>
      <c r="G946" s="406">
        <v>19240</v>
      </c>
      <c r="H946" s="50"/>
      <c r="I946" s="50"/>
      <c r="J946" s="306"/>
    </row>
    <row r="947" spans="2:10">
      <c r="B947" s="413"/>
      <c r="C947" s="414"/>
      <c r="D947" s="414"/>
      <c r="E947" s="50"/>
      <c r="F947" s="403">
        <v>3334</v>
      </c>
      <c r="G947" s="406">
        <v>17690</v>
      </c>
      <c r="H947" s="50"/>
      <c r="I947" s="50"/>
      <c r="J947" s="306"/>
    </row>
    <row r="948" spans="2:10">
      <c r="B948" s="413"/>
      <c r="C948" s="414"/>
      <c r="D948" s="414"/>
      <c r="E948" s="50"/>
      <c r="F948" s="403">
        <v>3335</v>
      </c>
      <c r="G948" s="406">
        <v>14781</v>
      </c>
      <c r="H948" s="50"/>
      <c r="I948" s="50"/>
      <c r="J948" s="306"/>
    </row>
    <row r="949" spans="2:10">
      <c r="B949" s="413"/>
      <c r="C949" s="414"/>
      <c r="D949" s="414"/>
      <c r="E949" s="50"/>
      <c r="F949" s="403">
        <v>3337</v>
      </c>
      <c r="G949" s="406">
        <v>21379</v>
      </c>
      <c r="H949" s="50"/>
      <c r="I949" s="50"/>
      <c r="J949" s="306"/>
    </row>
    <row r="950" spans="2:10">
      <c r="B950" s="413"/>
      <c r="C950" s="414"/>
      <c r="D950" s="414"/>
      <c r="E950" s="50"/>
      <c r="F950" s="403">
        <v>3338</v>
      </c>
      <c r="G950" s="406">
        <v>16993</v>
      </c>
      <c r="H950" s="50"/>
      <c r="I950" s="50"/>
      <c r="J950" s="306"/>
    </row>
    <row r="951" spans="2:10">
      <c r="B951" s="413"/>
      <c r="C951" s="414"/>
      <c r="D951" s="414"/>
      <c r="E951" s="50"/>
      <c r="F951" s="403">
        <v>3340</v>
      </c>
      <c r="G951" s="406">
        <v>17904</v>
      </c>
      <c r="H951" s="50"/>
      <c r="I951" s="50"/>
      <c r="J951" s="306"/>
    </row>
    <row r="952" spans="2:10">
      <c r="B952" s="413"/>
      <c r="C952" s="414"/>
      <c r="D952" s="414"/>
      <c r="E952" s="50"/>
      <c r="F952" s="403">
        <v>3341</v>
      </c>
      <c r="G952" s="406">
        <v>18654</v>
      </c>
      <c r="H952" s="50"/>
      <c r="I952" s="50"/>
      <c r="J952" s="306"/>
    </row>
    <row r="953" spans="2:10">
      <c r="B953" s="413"/>
      <c r="C953" s="414"/>
      <c r="D953" s="414"/>
      <c r="E953" s="50"/>
      <c r="F953" s="403">
        <v>3342</v>
      </c>
      <c r="G953" s="406">
        <v>18096</v>
      </c>
      <c r="H953" s="50"/>
      <c r="I953" s="50"/>
      <c r="J953" s="306"/>
    </row>
    <row r="954" spans="2:10">
      <c r="B954" s="413"/>
      <c r="C954" s="414"/>
      <c r="D954" s="414"/>
      <c r="E954" s="50"/>
      <c r="F954" s="403">
        <v>3345</v>
      </c>
      <c r="G954" s="406">
        <v>15171</v>
      </c>
      <c r="H954" s="50"/>
      <c r="I954" s="50"/>
      <c r="J954" s="306"/>
    </row>
    <row r="955" spans="2:10">
      <c r="B955" s="413"/>
      <c r="C955" s="414"/>
      <c r="D955" s="414"/>
      <c r="E955" s="50"/>
      <c r="F955" s="403">
        <v>3350</v>
      </c>
      <c r="G955" s="406">
        <v>14500</v>
      </c>
      <c r="H955" s="50"/>
      <c r="I955" s="50"/>
      <c r="J955" s="306"/>
    </row>
    <row r="956" spans="2:10">
      <c r="B956" s="413"/>
      <c r="C956" s="414"/>
      <c r="D956" s="414"/>
      <c r="E956" s="50"/>
      <c r="F956" s="403">
        <v>3351</v>
      </c>
      <c r="G956" s="406">
        <v>14474</v>
      </c>
      <c r="H956" s="50"/>
      <c r="I956" s="50"/>
      <c r="J956" s="306"/>
    </row>
    <row r="957" spans="2:10">
      <c r="B957" s="413"/>
      <c r="C957" s="414"/>
      <c r="D957" s="414"/>
      <c r="E957" s="50"/>
      <c r="F957" s="403">
        <v>3352</v>
      </c>
      <c r="G957" s="406">
        <v>14497</v>
      </c>
      <c r="H957" s="50"/>
      <c r="I957" s="50"/>
      <c r="J957" s="306"/>
    </row>
    <row r="958" spans="2:10">
      <c r="B958" s="413"/>
      <c r="C958" s="414"/>
      <c r="D958" s="414"/>
      <c r="E958" s="50"/>
      <c r="F958" s="403">
        <v>3355</v>
      </c>
      <c r="G958" s="406">
        <v>14497</v>
      </c>
      <c r="H958" s="50"/>
      <c r="I958" s="50"/>
      <c r="J958" s="306"/>
    </row>
    <row r="959" spans="2:10">
      <c r="B959" s="413"/>
      <c r="C959" s="414"/>
      <c r="D959" s="414"/>
      <c r="E959" s="50"/>
      <c r="F959" s="403">
        <v>3356</v>
      </c>
      <c r="G959" s="406">
        <v>14481</v>
      </c>
      <c r="H959" s="50"/>
      <c r="I959" s="50"/>
      <c r="J959" s="306"/>
    </row>
    <row r="960" spans="2:10">
      <c r="B960" s="413"/>
      <c r="C960" s="414"/>
      <c r="D960" s="414"/>
      <c r="E960" s="50"/>
      <c r="F960" s="403">
        <v>3357</v>
      </c>
      <c r="G960" s="406">
        <v>14526</v>
      </c>
      <c r="H960" s="50"/>
      <c r="I960" s="50"/>
      <c r="J960" s="306"/>
    </row>
    <row r="961" spans="2:10">
      <c r="B961" s="413"/>
      <c r="C961" s="414"/>
      <c r="D961" s="414"/>
      <c r="E961" s="50"/>
      <c r="F961" s="403">
        <v>3360</v>
      </c>
      <c r="G961" s="406">
        <v>14456</v>
      </c>
      <c r="H961" s="50"/>
      <c r="I961" s="50"/>
      <c r="J961" s="306"/>
    </row>
    <row r="962" spans="2:10">
      <c r="B962" s="413"/>
      <c r="C962" s="414"/>
      <c r="D962" s="414"/>
      <c r="E962" s="50"/>
      <c r="F962" s="403">
        <v>3361</v>
      </c>
      <c r="G962" s="406">
        <v>14456</v>
      </c>
      <c r="H962" s="50"/>
      <c r="I962" s="50"/>
      <c r="J962" s="306"/>
    </row>
    <row r="963" spans="2:10">
      <c r="B963" s="413"/>
      <c r="C963" s="414"/>
      <c r="D963" s="414"/>
      <c r="E963" s="50"/>
      <c r="F963" s="403">
        <v>3363</v>
      </c>
      <c r="G963" s="406">
        <v>14558</v>
      </c>
      <c r="H963" s="50"/>
      <c r="I963" s="50"/>
      <c r="J963" s="306"/>
    </row>
    <row r="964" spans="2:10">
      <c r="B964" s="413"/>
      <c r="C964" s="414"/>
      <c r="D964" s="414"/>
      <c r="E964" s="50"/>
      <c r="F964" s="403">
        <v>3364</v>
      </c>
      <c r="G964" s="406">
        <v>16159</v>
      </c>
      <c r="H964" s="50"/>
      <c r="I964" s="50"/>
      <c r="J964" s="306"/>
    </row>
    <row r="965" spans="2:10">
      <c r="B965" s="413"/>
      <c r="C965" s="414"/>
      <c r="D965" s="414"/>
      <c r="E965" s="50"/>
      <c r="F965" s="403">
        <v>3370</v>
      </c>
      <c r="G965" s="406">
        <v>14221</v>
      </c>
      <c r="H965" s="50"/>
      <c r="I965" s="50"/>
      <c r="J965" s="306"/>
    </row>
    <row r="966" spans="2:10">
      <c r="B966" s="413"/>
      <c r="C966" s="414"/>
      <c r="D966" s="414"/>
      <c r="E966" s="50"/>
      <c r="F966" s="403">
        <v>3371</v>
      </c>
      <c r="G966" s="406">
        <v>12765</v>
      </c>
      <c r="H966" s="50"/>
      <c r="I966" s="50"/>
      <c r="J966" s="306"/>
    </row>
    <row r="967" spans="2:10">
      <c r="B967" s="413"/>
      <c r="C967" s="414"/>
      <c r="D967" s="414"/>
      <c r="E967" s="50"/>
      <c r="F967" s="403">
        <v>3373</v>
      </c>
      <c r="G967" s="406">
        <v>13100</v>
      </c>
      <c r="H967" s="50"/>
      <c r="I967" s="50"/>
      <c r="J967" s="306"/>
    </row>
    <row r="968" spans="2:10">
      <c r="B968" s="413"/>
      <c r="C968" s="414"/>
      <c r="D968" s="414"/>
      <c r="E968" s="50"/>
      <c r="F968" s="403">
        <v>3375</v>
      </c>
      <c r="G968" s="406">
        <v>12964</v>
      </c>
      <c r="H968" s="50"/>
      <c r="I968" s="50"/>
      <c r="J968" s="306"/>
    </row>
    <row r="969" spans="2:10">
      <c r="B969" s="413"/>
      <c r="C969" s="414"/>
      <c r="D969" s="414"/>
      <c r="E969" s="50"/>
      <c r="F969" s="403">
        <v>3377</v>
      </c>
      <c r="G969" s="406">
        <v>12867</v>
      </c>
      <c r="H969" s="50"/>
      <c r="I969" s="50"/>
      <c r="J969" s="306"/>
    </row>
    <row r="970" spans="2:10">
      <c r="B970" s="413"/>
      <c r="C970" s="414"/>
      <c r="D970" s="414"/>
      <c r="E970" s="50"/>
      <c r="F970" s="403">
        <v>3378</v>
      </c>
      <c r="G970" s="406">
        <v>13100</v>
      </c>
      <c r="H970" s="50"/>
      <c r="I970" s="50"/>
      <c r="J970" s="306"/>
    </row>
    <row r="971" spans="2:10">
      <c r="B971" s="413"/>
      <c r="C971" s="414"/>
      <c r="D971" s="414"/>
      <c r="E971" s="50"/>
      <c r="F971" s="403">
        <v>3379</v>
      </c>
      <c r="G971" s="406">
        <v>13114</v>
      </c>
      <c r="H971" s="50"/>
      <c r="I971" s="50"/>
      <c r="J971" s="306"/>
    </row>
    <row r="972" spans="2:10">
      <c r="B972" s="413"/>
      <c r="C972" s="414"/>
      <c r="D972" s="414"/>
      <c r="E972" s="50"/>
      <c r="F972" s="403">
        <v>3380</v>
      </c>
      <c r="G972" s="406">
        <v>12658</v>
      </c>
      <c r="H972" s="50"/>
      <c r="I972" s="50"/>
      <c r="J972" s="306"/>
    </row>
    <row r="973" spans="2:10">
      <c r="B973" s="413"/>
      <c r="C973" s="414"/>
      <c r="D973" s="414"/>
      <c r="E973" s="50"/>
      <c r="F973" s="403">
        <v>3381</v>
      </c>
      <c r="G973" s="406">
        <v>15273</v>
      </c>
      <c r="H973" s="50"/>
      <c r="I973" s="50"/>
      <c r="J973" s="306"/>
    </row>
    <row r="974" spans="2:10">
      <c r="B974" s="413"/>
      <c r="C974" s="414"/>
      <c r="D974" s="414"/>
      <c r="E974" s="50"/>
      <c r="F974" s="403">
        <v>3384</v>
      </c>
      <c r="G974" s="406">
        <v>12462</v>
      </c>
      <c r="H974" s="50"/>
      <c r="I974" s="50"/>
      <c r="J974" s="306"/>
    </row>
    <row r="975" spans="2:10">
      <c r="B975" s="413"/>
      <c r="C975" s="414"/>
      <c r="D975" s="414"/>
      <c r="E975" s="50"/>
      <c r="F975" s="403">
        <v>3385</v>
      </c>
      <c r="G975" s="406">
        <v>13398</v>
      </c>
      <c r="H975" s="50"/>
      <c r="I975" s="50"/>
      <c r="J975" s="306"/>
    </row>
    <row r="976" spans="2:10">
      <c r="B976" s="413"/>
      <c r="C976" s="414"/>
      <c r="D976" s="414"/>
      <c r="E976" s="50"/>
      <c r="F976" s="403">
        <v>3387</v>
      </c>
      <c r="G976" s="406">
        <v>19861</v>
      </c>
      <c r="H976" s="50"/>
      <c r="I976" s="50"/>
      <c r="J976" s="306"/>
    </row>
    <row r="977" spans="2:10">
      <c r="B977" s="413"/>
      <c r="C977" s="414"/>
      <c r="D977" s="414"/>
      <c r="E977" s="50"/>
      <c r="F977" s="403">
        <v>3388</v>
      </c>
      <c r="G977" s="406">
        <v>22939</v>
      </c>
      <c r="H977" s="50"/>
      <c r="I977" s="50"/>
      <c r="J977" s="306"/>
    </row>
    <row r="978" spans="2:10">
      <c r="B978" s="413"/>
      <c r="C978" s="414"/>
      <c r="D978" s="414"/>
      <c r="E978" s="50"/>
      <c r="F978" s="403">
        <v>3390</v>
      </c>
      <c r="G978" s="406">
        <v>22943</v>
      </c>
      <c r="H978" s="50"/>
      <c r="I978" s="50"/>
      <c r="J978" s="306"/>
    </row>
    <row r="979" spans="2:10">
      <c r="B979" s="413"/>
      <c r="C979" s="414"/>
      <c r="D979" s="414"/>
      <c r="E979" s="50"/>
      <c r="F979" s="403">
        <v>3391</v>
      </c>
      <c r="G979" s="406">
        <v>22368</v>
      </c>
      <c r="H979" s="50"/>
      <c r="I979" s="50"/>
      <c r="J979" s="306"/>
    </row>
    <row r="980" spans="2:10">
      <c r="B980" s="413"/>
      <c r="C980" s="414"/>
      <c r="D980" s="414"/>
      <c r="E980" s="50"/>
      <c r="F980" s="403">
        <v>3392</v>
      </c>
      <c r="G980" s="406">
        <v>22545</v>
      </c>
      <c r="H980" s="50"/>
      <c r="I980" s="50"/>
      <c r="J980" s="306"/>
    </row>
    <row r="981" spans="2:10">
      <c r="B981" s="413"/>
      <c r="C981" s="414"/>
      <c r="D981" s="414"/>
      <c r="E981" s="50"/>
      <c r="F981" s="403">
        <v>3393</v>
      </c>
      <c r="G981" s="406">
        <v>22814</v>
      </c>
      <c r="H981" s="50"/>
      <c r="I981" s="50"/>
      <c r="J981" s="306"/>
    </row>
    <row r="982" spans="2:10">
      <c r="B982" s="413"/>
      <c r="C982" s="414"/>
      <c r="D982" s="414"/>
      <c r="E982" s="50"/>
      <c r="F982" s="403">
        <v>3395</v>
      </c>
      <c r="G982" s="406">
        <v>22080</v>
      </c>
      <c r="H982" s="50"/>
      <c r="I982" s="50"/>
      <c r="J982" s="306"/>
    </row>
    <row r="983" spans="2:10">
      <c r="B983" s="413"/>
      <c r="C983" s="414"/>
      <c r="D983" s="414"/>
      <c r="E983" s="50"/>
      <c r="F983" s="403">
        <v>3396</v>
      </c>
      <c r="G983" s="406">
        <v>20901</v>
      </c>
      <c r="H983" s="50"/>
      <c r="I983" s="50"/>
      <c r="J983" s="306"/>
    </row>
    <row r="984" spans="2:10">
      <c r="B984" s="413"/>
      <c r="C984" s="414"/>
      <c r="D984" s="414"/>
      <c r="E984" s="50"/>
      <c r="F984" s="403">
        <v>3399</v>
      </c>
      <c r="G984" s="406">
        <v>22954</v>
      </c>
      <c r="H984" s="50"/>
      <c r="I984" s="50"/>
      <c r="J984" s="306"/>
    </row>
    <row r="985" spans="2:10">
      <c r="B985" s="413"/>
      <c r="C985" s="414"/>
      <c r="D985" s="414"/>
      <c r="E985" s="50"/>
      <c r="F985" s="403">
        <v>3400</v>
      </c>
      <c r="G985" s="406">
        <v>12531</v>
      </c>
      <c r="H985" s="50"/>
      <c r="I985" s="50"/>
      <c r="J985" s="306"/>
    </row>
    <row r="986" spans="2:10">
      <c r="B986" s="413"/>
      <c r="C986" s="414"/>
      <c r="D986" s="414"/>
      <c r="E986" s="50"/>
      <c r="F986" s="403">
        <v>3401</v>
      </c>
      <c r="G986" s="406">
        <v>12492</v>
      </c>
      <c r="H986" s="50"/>
      <c r="I986" s="50"/>
      <c r="J986" s="306"/>
    </row>
    <row r="987" spans="2:10">
      <c r="B987" s="413"/>
      <c r="C987" s="414"/>
      <c r="D987" s="414"/>
      <c r="E987" s="50"/>
      <c r="F987" s="403">
        <v>3407</v>
      </c>
      <c r="G987" s="406">
        <v>12782</v>
      </c>
      <c r="H987" s="50"/>
      <c r="I987" s="50"/>
      <c r="J987" s="306"/>
    </row>
    <row r="988" spans="2:10">
      <c r="B988" s="413"/>
      <c r="C988" s="414"/>
      <c r="D988" s="414"/>
      <c r="E988" s="50"/>
      <c r="F988" s="403">
        <v>3409</v>
      </c>
      <c r="G988" s="406">
        <v>14099</v>
      </c>
      <c r="H988" s="50"/>
      <c r="I988" s="50"/>
      <c r="J988" s="306"/>
    </row>
    <row r="989" spans="2:10">
      <c r="B989" s="413"/>
      <c r="C989" s="414"/>
      <c r="D989" s="414"/>
      <c r="E989" s="50"/>
      <c r="F989" s="403">
        <v>3412</v>
      </c>
      <c r="G989" s="406">
        <v>17652</v>
      </c>
      <c r="H989" s="50"/>
      <c r="I989" s="50"/>
      <c r="J989" s="306"/>
    </row>
    <row r="990" spans="2:10">
      <c r="B990" s="413"/>
      <c r="C990" s="414"/>
      <c r="D990" s="414"/>
      <c r="E990" s="50"/>
      <c r="F990" s="403">
        <v>3413</v>
      </c>
      <c r="G990" s="406">
        <v>16518</v>
      </c>
      <c r="H990" s="50"/>
      <c r="I990" s="50"/>
      <c r="J990" s="306"/>
    </row>
    <row r="991" spans="2:10">
      <c r="B991" s="413"/>
      <c r="C991" s="414"/>
      <c r="D991" s="414"/>
      <c r="E991" s="50"/>
      <c r="F991" s="403">
        <v>3414</v>
      </c>
      <c r="G991" s="406">
        <v>22989</v>
      </c>
      <c r="H991" s="50"/>
      <c r="I991" s="50"/>
      <c r="J991" s="306"/>
    </row>
    <row r="992" spans="2:10">
      <c r="B992" s="413"/>
      <c r="C992" s="414"/>
      <c r="D992" s="414"/>
      <c r="E992" s="50"/>
      <c r="F992" s="403">
        <v>3415</v>
      </c>
      <c r="G992" s="406">
        <v>19050</v>
      </c>
      <c r="H992" s="50"/>
      <c r="I992" s="50"/>
      <c r="J992" s="306"/>
    </row>
    <row r="993" spans="2:10">
      <c r="B993" s="413"/>
      <c r="C993" s="414"/>
      <c r="D993" s="414"/>
      <c r="E993" s="50"/>
      <c r="F993" s="403">
        <v>3418</v>
      </c>
      <c r="G993" s="406">
        <v>21486</v>
      </c>
      <c r="H993" s="50"/>
      <c r="I993" s="50"/>
      <c r="J993" s="306"/>
    </row>
    <row r="994" spans="2:10">
      <c r="B994" s="413"/>
      <c r="C994" s="414"/>
      <c r="D994" s="414"/>
      <c r="E994" s="50"/>
      <c r="F994" s="403">
        <v>3419</v>
      </c>
      <c r="G994" s="406">
        <v>19864</v>
      </c>
      <c r="H994" s="50"/>
      <c r="I994" s="50"/>
      <c r="J994" s="306"/>
    </row>
    <row r="995" spans="2:10">
      <c r="B995" s="413"/>
      <c r="C995" s="414"/>
      <c r="D995" s="414"/>
      <c r="E995" s="50"/>
      <c r="F995" s="403">
        <v>3420</v>
      </c>
      <c r="G995" s="406">
        <v>20220</v>
      </c>
      <c r="H995" s="50"/>
      <c r="I995" s="50"/>
      <c r="J995" s="306"/>
    </row>
    <row r="996" spans="2:10">
      <c r="B996" s="413"/>
      <c r="C996" s="414"/>
      <c r="D996" s="414"/>
      <c r="E996" s="50"/>
      <c r="F996" s="403">
        <v>3423</v>
      </c>
      <c r="G996" s="406">
        <v>22356</v>
      </c>
      <c r="H996" s="50"/>
      <c r="I996" s="50"/>
      <c r="J996" s="306"/>
    </row>
    <row r="997" spans="2:10">
      <c r="B997" s="413"/>
      <c r="C997" s="414"/>
      <c r="D997" s="414"/>
      <c r="E997" s="50"/>
      <c r="F997" s="403">
        <v>3424</v>
      </c>
      <c r="G997" s="406">
        <v>21335</v>
      </c>
      <c r="H997" s="50"/>
      <c r="I997" s="50"/>
      <c r="J997" s="306"/>
    </row>
    <row r="998" spans="2:10">
      <c r="B998" s="413"/>
      <c r="C998" s="414"/>
      <c r="D998" s="414"/>
      <c r="E998" s="50"/>
      <c r="F998" s="403">
        <v>3427</v>
      </c>
      <c r="G998" s="406">
        <v>20035</v>
      </c>
      <c r="H998" s="50"/>
      <c r="I998" s="50"/>
      <c r="J998" s="306"/>
    </row>
    <row r="999" spans="2:10">
      <c r="B999" s="413"/>
      <c r="C999" s="414"/>
      <c r="D999" s="414"/>
      <c r="E999" s="50"/>
      <c r="F999" s="403">
        <v>3428</v>
      </c>
      <c r="G999" s="406">
        <v>14365</v>
      </c>
      <c r="H999" s="50"/>
      <c r="I999" s="50"/>
      <c r="J999" s="306"/>
    </row>
    <row r="1000" spans="2:10">
      <c r="B1000" s="413"/>
      <c r="C1000" s="414"/>
      <c r="D1000" s="414"/>
      <c r="E1000" s="50"/>
      <c r="F1000" s="403">
        <v>3429</v>
      </c>
      <c r="G1000" s="406">
        <v>22316</v>
      </c>
      <c r="H1000" s="50"/>
      <c r="I1000" s="50"/>
      <c r="J1000" s="306"/>
    </row>
    <row r="1001" spans="2:10">
      <c r="B1001" s="413"/>
      <c r="C1001" s="414"/>
      <c r="D1001" s="414"/>
      <c r="E1001" s="50"/>
      <c r="F1001" s="403">
        <v>3430</v>
      </c>
      <c r="G1001" s="406">
        <v>22423</v>
      </c>
      <c r="H1001" s="50"/>
      <c r="I1001" s="50"/>
      <c r="J1001" s="306"/>
    </row>
    <row r="1002" spans="2:10">
      <c r="B1002" s="413"/>
      <c r="C1002" s="414"/>
      <c r="D1002" s="414"/>
      <c r="E1002" s="50"/>
      <c r="F1002" s="403">
        <v>3431</v>
      </c>
      <c r="G1002" s="406">
        <v>23479</v>
      </c>
      <c r="H1002" s="50"/>
      <c r="I1002" s="50"/>
      <c r="J1002" s="306"/>
    </row>
    <row r="1003" spans="2:10">
      <c r="B1003" s="413"/>
      <c r="C1003" s="414"/>
      <c r="D1003" s="414"/>
      <c r="E1003" s="50"/>
      <c r="F1003" s="403">
        <v>3432</v>
      </c>
      <c r="G1003" s="406">
        <v>22909</v>
      </c>
      <c r="H1003" s="50"/>
      <c r="I1003" s="50"/>
      <c r="J1003" s="306"/>
    </row>
    <row r="1004" spans="2:10">
      <c r="B1004" s="413"/>
      <c r="C1004" s="414"/>
      <c r="D1004" s="414"/>
      <c r="E1004" s="50"/>
      <c r="F1004" s="403">
        <v>3433</v>
      </c>
      <c r="G1004" s="406">
        <v>24151</v>
      </c>
      <c r="H1004" s="50"/>
      <c r="I1004" s="50"/>
      <c r="J1004" s="306"/>
    </row>
    <row r="1005" spans="2:10">
      <c r="B1005" s="413"/>
      <c r="C1005" s="414"/>
      <c r="D1005" s="414"/>
      <c r="E1005" s="50"/>
      <c r="F1005" s="403">
        <v>3434</v>
      </c>
      <c r="G1005" s="406">
        <v>23966</v>
      </c>
      <c r="H1005" s="50"/>
      <c r="I1005" s="50"/>
      <c r="J1005" s="306"/>
    </row>
    <row r="1006" spans="2:10">
      <c r="B1006" s="413"/>
      <c r="C1006" s="414"/>
      <c r="D1006" s="414"/>
      <c r="E1006" s="50"/>
      <c r="F1006" s="403">
        <v>3435</v>
      </c>
      <c r="G1006" s="406">
        <v>23307</v>
      </c>
      <c r="H1006" s="50"/>
      <c r="I1006" s="50"/>
      <c r="J1006" s="306"/>
    </row>
    <row r="1007" spans="2:10">
      <c r="B1007" s="413"/>
      <c r="C1007" s="414"/>
      <c r="D1007" s="414"/>
      <c r="E1007" s="50"/>
      <c r="F1007" s="403">
        <v>3437</v>
      </c>
      <c r="G1007" s="406">
        <v>22571</v>
      </c>
      <c r="H1007" s="50"/>
      <c r="I1007" s="50"/>
      <c r="J1007" s="306"/>
    </row>
    <row r="1008" spans="2:10">
      <c r="B1008" s="413"/>
      <c r="C1008" s="414"/>
      <c r="D1008" s="414"/>
      <c r="E1008" s="50"/>
      <c r="F1008" s="403">
        <v>3438</v>
      </c>
      <c r="G1008" s="406">
        <v>22993</v>
      </c>
      <c r="H1008" s="50"/>
      <c r="I1008" s="50"/>
      <c r="J1008" s="306"/>
    </row>
    <row r="1009" spans="2:10">
      <c r="B1009" s="413"/>
      <c r="C1009" s="414"/>
      <c r="D1009" s="414"/>
      <c r="E1009" s="50"/>
      <c r="F1009" s="403">
        <v>3440</v>
      </c>
      <c r="G1009" s="406">
        <v>22993</v>
      </c>
      <c r="H1009" s="50"/>
      <c r="I1009" s="50"/>
      <c r="J1009" s="306"/>
    </row>
    <row r="1010" spans="2:10">
      <c r="B1010" s="413"/>
      <c r="C1010" s="414"/>
      <c r="D1010" s="414"/>
      <c r="E1010" s="50"/>
      <c r="F1010" s="403">
        <v>3441</v>
      </c>
      <c r="G1010" s="406">
        <v>22993</v>
      </c>
      <c r="H1010" s="50"/>
      <c r="I1010" s="50"/>
      <c r="J1010" s="306"/>
    </row>
    <row r="1011" spans="2:10">
      <c r="B1011" s="413"/>
      <c r="C1011" s="414"/>
      <c r="D1011" s="414"/>
      <c r="E1011" s="50"/>
      <c r="F1011" s="403">
        <v>3442</v>
      </c>
      <c r="G1011" s="406">
        <v>22993</v>
      </c>
      <c r="H1011" s="50"/>
      <c r="I1011" s="50"/>
      <c r="J1011" s="306"/>
    </row>
    <row r="1012" spans="2:10">
      <c r="B1012" s="413"/>
      <c r="C1012" s="414"/>
      <c r="D1012" s="414"/>
      <c r="E1012" s="50"/>
      <c r="F1012" s="403">
        <v>3444</v>
      </c>
      <c r="G1012" s="406">
        <v>22534</v>
      </c>
      <c r="H1012" s="50"/>
      <c r="I1012" s="50"/>
      <c r="J1012" s="306"/>
    </row>
    <row r="1013" spans="2:10">
      <c r="B1013" s="413"/>
      <c r="C1013" s="414"/>
      <c r="D1013" s="414"/>
      <c r="E1013" s="50"/>
      <c r="F1013" s="403">
        <v>3446</v>
      </c>
      <c r="G1013" s="406">
        <v>20345</v>
      </c>
      <c r="H1013" s="50"/>
      <c r="I1013" s="50"/>
      <c r="J1013" s="306"/>
    </row>
    <row r="1014" spans="2:10">
      <c r="B1014" s="413"/>
      <c r="C1014" s="414"/>
      <c r="D1014" s="414"/>
      <c r="E1014" s="50"/>
      <c r="F1014" s="403">
        <v>3447</v>
      </c>
      <c r="G1014" s="406">
        <v>20345</v>
      </c>
      <c r="H1014" s="50"/>
      <c r="I1014" s="50"/>
      <c r="J1014" s="306"/>
    </row>
    <row r="1015" spans="2:10">
      <c r="B1015" s="413"/>
      <c r="C1015" s="414"/>
      <c r="D1015" s="414"/>
      <c r="E1015" s="50"/>
      <c r="F1015" s="403">
        <v>3448</v>
      </c>
      <c r="G1015" s="406">
        <v>20345</v>
      </c>
      <c r="H1015" s="50"/>
      <c r="I1015" s="50"/>
      <c r="J1015" s="306"/>
    </row>
    <row r="1016" spans="2:10">
      <c r="B1016" s="413"/>
      <c r="C1016" s="414"/>
      <c r="D1016" s="414"/>
      <c r="E1016" s="50"/>
      <c r="F1016" s="403">
        <v>3450</v>
      </c>
      <c r="G1016" s="406">
        <v>17794</v>
      </c>
      <c r="H1016" s="50"/>
      <c r="I1016" s="50"/>
      <c r="J1016" s="306"/>
    </row>
    <row r="1017" spans="2:10">
      <c r="B1017" s="413"/>
      <c r="C1017" s="414"/>
      <c r="D1017" s="414"/>
      <c r="E1017" s="50"/>
      <c r="F1017" s="403">
        <v>3451</v>
      </c>
      <c r="G1017" s="406">
        <v>17794</v>
      </c>
      <c r="H1017" s="50"/>
      <c r="I1017" s="50"/>
      <c r="J1017" s="306"/>
    </row>
    <row r="1018" spans="2:10">
      <c r="B1018" s="413"/>
      <c r="C1018" s="414"/>
      <c r="D1018" s="414"/>
      <c r="E1018" s="50"/>
      <c r="F1018" s="403">
        <v>3453</v>
      </c>
      <c r="G1018" s="406">
        <v>14984</v>
      </c>
      <c r="H1018" s="50"/>
      <c r="I1018" s="50"/>
      <c r="J1018" s="306"/>
    </row>
    <row r="1019" spans="2:10">
      <c r="B1019" s="413"/>
      <c r="C1019" s="414"/>
      <c r="D1019" s="414"/>
      <c r="E1019" s="50"/>
      <c r="F1019" s="403">
        <v>3458</v>
      </c>
      <c r="G1019" s="406">
        <v>21454</v>
      </c>
      <c r="H1019" s="50"/>
      <c r="I1019" s="50"/>
      <c r="J1019" s="306"/>
    </row>
    <row r="1020" spans="2:10">
      <c r="B1020" s="413"/>
      <c r="C1020" s="414"/>
      <c r="D1020" s="414"/>
      <c r="E1020" s="50"/>
      <c r="F1020" s="403">
        <v>3460</v>
      </c>
      <c r="G1020" s="406">
        <v>18736</v>
      </c>
      <c r="H1020" s="50"/>
      <c r="I1020" s="50"/>
      <c r="J1020" s="306"/>
    </row>
    <row r="1021" spans="2:10">
      <c r="B1021" s="413"/>
      <c r="C1021" s="414"/>
      <c r="D1021" s="414"/>
      <c r="E1021" s="50"/>
      <c r="F1021" s="403">
        <v>3461</v>
      </c>
      <c r="G1021" s="406">
        <v>18736</v>
      </c>
      <c r="H1021" s="50"/>
      <c r="I1021" s="50"/>
      <c r="J1021" s="306"/>
    </row>
    <row r="1022" spans="2:10">
      <c r="B1022" s="413"/>
      <c r="C1022" s="414"/>
      <c r="D1022" s="414"/>
      <c r="E1022" s="50"/>
      <c r="F1022" s="403">
        <v>3462</v>
      </c>
      <c r="G1022" s="406">
        <v>15451</v>
      </c>
      <c r="H1022" s="50"/>
      <c r="I1022" s="50"/>
      <c r="J1022" s="306"/>
    </row>
    <row r="1023" spans="2:10">
      <c r="B1023" s="413"/>
      <c r="C1023" s="414"/>
      <c r="D1023" s="414"/>
      <c r="E1023" s="50"/>
      <c r="F1023" s="403">
        <v>3463</v>
      </c>
      <c r="G1023" s="406">
        <v>14187</v>
      </c>
      <c r="H1023" s="50"/>
      <c r="I1023" s="50"/>
      <c r="J1023" s="306"/>
    </row>
    <row r="1024" spans="2:10">
      <c r="B1024" s="413"/>
      <c r="C1024" s="414"/>
      <c r="D1024" s="414"/>
      <c r="E1024" s="50"/>
      <c r="F1024" s="403">
        <v>3464</v>
      </c>
      <c r="G1024" s="406">
        <v>12420</v>
      </c>
      <c r="H1024" s="50"/>
      <c r="I1024" s="50"/>
      <c r="J1024" s="306"/>
    </row>
    <row r="1025" spans="2:10">
      <c r="B1025" s="413"/>
      <c r="C1025" s="414"/>
      <c r="D1025" s="414"/>
      <c r="E1025" s="50"/>
      <c r="F1025" s="403">
        <v>3465</v>
      </c>
      <c r="G1025" s="406">
        <v>12182</v>
      </c>
      <c r="H1025" s="50"/>
      <c r="I1025" s="50"/>
      <c r="J1025" s="306"/>
    </row>
    <row r="1026" spans="2:10">
      <c r="B1026" s="413"/>
      <c r="C1026" s="414"/>
      <c r="D1026" s="414"/>
      <c r="E1026" s="50"/>
      <c r="F1026" s="403">
        <v>3467</v>
      </c>
      <c r="G1026" s="406">
        <v>12083</v>
      </c>
      <c r="H1026" s="50"/>
      <c r="I1026" s="50"/>
      <c r="J1026" s="306"/>
    </row>
    <row r="1027" spans="2:10">
      <c r="B1027" s="413"/>
      <c r="C1027" s="414"/>
      <c r="D1027" s="414"/>
      <c r="E1027" s="50"/>
      <c r="F1027" s="403">
        <v>3468</v>
      </c>
      <c r="G1027" s="406">
        <v>12238</v>
      </c>
      <c r="H1027" s="50"/>
      <c r="I1027" s="50"/>
      <c r="J1027" s="306"/>
    </row>
    <row r="1028" spans="2:10">
      <c r="B1028" s="413"/>
      <c r="C1028" s="414"/>
      <c r="D1028" s="414"/>
      <c r="E1028" s="50"/>
      <c r="F1028" s="403">
        <v>3469</v>
      </c>
      <c r="G1028" s="406">
        <v>12964</v>
      </c>
      <c r="H1028" s="50"/>
      <c r="I1028" s="50"/>
      <c r="J1028" s="306"/>
    </row>
    <row r="1029" spans="2:10">
      <c r="B1029" s="413"/>
      <c r="C1029" s="414"/>
      <c r="D1029" s="414"/>
      <c r="E1029" s="50"/>
      <c r="F1029" s="403">
        <v>3472</v>
      </c>
      <c r="G1029" s="406">
        <v>12325</v>
      </c>
      <c r="H1029" s="50"/>
      <c r="I1029" s="50"/>
      <c r="J1029" s="306"/>
    </row>
    <row r="1030" spans="2:10">
      <c r="B1030" s="413"/>
      <c r="C1030" s="414"/>
      <c r="D1030" s="414"/>
      <c r="E1030" s="50"/>
      <c r="F1030" s="403">
        <v>3475</v>
      </c>
      <c r="G1030" s="406">
        <v>12255</v>
      </c>
      <c r="H1030" s="50"/>
      <c r="I1030" s="50"/>
      <c r="J1030" s="306"/>
    </row>
    <row r="1031" spans="2:10">
      <c r="B1031" s="413"/>
      <c r="C1031" s="414"/>
      <c r="D1031" s="414"/>
      <c r="E1031" s="50"/>
      <c r="F1031" s="403">
        <v>3478</v>
      </c>
      <c r="G1031" s="406">
        <v>12054</v>
      </c>
      <c r="H1031" s="50"/>
      <c r="I1031" s="50"/>
      <c r="J1031" s="306"/>
    </row>
    <row r="1032" spans="2:10">
      <c r="B1032" s="413"/>
      <c r="C1032" s="414"/>
      <c r="D1032" s="414"/>
      <c r="E1032" s="50"/>
      <c r="F1032" s="403">
        <v>3480</v>
      </c>
      <c r="G1032" s="406">
        <v>20763</v>
      </c>
      <c r="H1032" s="50"/>
      <c r="I1032" s="50"/>
      <c r="J1032" s="306"/>
    </row>
    <row r="1033" spans="2:10">
      <c r="B1033" s="413"/>
      <c r="C1033" s="414"/>
      <c r="D1033" s="414"/>
      <c r="E1033" s="50"/>
      <c r="F1033" s="403">
        <v>3482</v>
      </c>
      <c r="G1033" s="406">
        <v>21870</v>
      </c>
      <c r="H1033" s="50"/>
      <c r="I1033" s="50"/>
      <c r="J1033" s="306"/>
    </row>
    <row r="1034" spans="2:10">
      <c r="B1034" s="413"/>
      <c r="C1034" s="414"/>
      <c r="D1034" s="414"/>
      <c r="E1034" s="50"/>
      <c r="F1034" s="403">
        <v>3483</v>
      </c>
      <c r="G1034" s="406">
        <v>19584</v>
      </c>
      <c r="H1034" s="50"/>
      <c r="I1034" s="50"/>
      <c r="J1034" s="306"/>
    </row>
    <row r="1035" spans="2:10">
      <c r="B1035" s="413"/>
      <c r="C1035" s="414"/>
      <c r="D1035" s="414"/>
      <c r="E1035" s="50"/>
      <c r="F1035" s="403">
        <v>3485</v>
      </c>
      <c r="G1035" s="406">
        <v>18891</v>
      </c>
      <c r="H1035" s="50"/>
      <c r="I1035" s="50"/>
      <c r="J1035" s="306"/>
    </row>
    <row r="1036" spans="2:10">
      <c r="B1036" s="413"/>
      <c r="C1036" s="414"/>
      <c r="D1036" s="414"/>
      <c r="E1036" s="50"/>
      <c r="F1036" s="403">
        <v>3487</v>
      </c>
      <c r="G1036" s="406">
        <v>18891</v>
      </c>
      <c r="H1036" s="50"/>
      <c r="I1036" s="50"/>
      <c r="J1036" s="306"/>
    </row>
    <row r="1037" spans="2:10">
      <c r="B1037" s="413"/>
      <c r="C1037" s="414"/>
      <c r="D1037" s="414"/>
      <c r="E1037" s="50"/>
      <c r="F1037" s="403">
        <v>3488</v>
      </c>
      <c r="G1037" s="406">
        <v>15539</v>
      </c>
      <c r="H1037" s="50"/>
      <c r="I1037" s="50"/>
      <c r="J1037" s="306"/>
    </row>
    <row r="1038" spans="2:10">
      <c r="B1038" s="413"/>
      <c r="C1038" s="414"/>
      <c r="D1038" s="414"/>
      <c r="E1038" s="50"/>
      <c r="F1038" s="403">
        <v>3489</v>
      </c>
      <c r="G1038" s="406">
        <v>15539</v>
      </c>
      <c r="H1038" s="50"/>
      <c r="I1038" s="50"/>
      <c r="J1038" s="306"/>
    </row>
    <row r="1039" spans="2:10">
      <c r="B1039" s="413"/>
      <c r="C1039" s="414"/>
      <c r="D1039" s="414"/>
      <c r="E1039" s="50"/>
      <c r="F1039" s="403">
        <v>3490</v>
      </c>
      <c r="G1039" s="406">
        <v>13495</v>
      </c>
      <c r="H1039" s="50"/>
      <c r="I1039" s="50"/>
      <c r="J1039" s="306"/>
    </row>
    <row r="1040" spans="2:10">
      <c r="B1040" s="413"/>
      <c r="C1040" s="414"/>
      <c r="D1040" s="414"/>
      <c r="E1040" s="50"/>
      <c r="F1040" s="403">
        <v>3491</v>
      </c>
      <c r="G1040" s="406">
        <v>20113</v>
      </c>
      <c r="H1040" s="50"/>
      <c r="I1040" s="50"/>
      <c r="J1040" s="306"/>
    </row>
    <row r="1041" spans="2:10">
      <c r="B1041" s="413"/>
      <c r="C1041" s="414"/>
      <c r="D1041" s="414"/>
      <c r="E1041" s="50"/>
      <c r="F1041" s="403">
        <v>3494</v>
      </c>
      <c r="G1041" s="406">
        <v>12972</v>
      </c>
      <c r="H1041" s="50"/>
      <c r="I1041" s="50"/>
      <c r="J1041" s="306"/>
    </row>
    <row r="1042" spans="2:10">
      <c r="B1042" s="413"/>
      <c r="C1042" s="414"/>
      <c r="D1042" s="414"/>
      <c r="E1042" s="50"/>
      <c r="F1042" s="403">
        <v>3496</v>
      </c>
      <c r="G1042" s="406">
        <v>12979</v>
      </c>
      <c r="H1042" s="50"/>
      <c r="I1042" s="50"/>
      <c r="J1042" s="306"/>
    </row>
    <row r="1043" spans="2:10">
      <c r="B1043" s="413"/>
      <c r="C1043" s="414"/>
      <c r="D1043" s="414"/>
      <c r="E1043" s="50"/>
      <c r="F1043" s="403">
        <v>3498</v>
      </c>
      <c r="G1043" s="406">
        <v>12900</v>
      </c>
      <c r="H1043" s="50"/>
      <c r="I1043" s="50"/>
      <c r="J1043" s="306"/>
    </row>
    <row r="1044" spans="2:10">
      <c r="B1044" s="413"/>
      <c r="C1044" s="414"/>
      <c r="D1044" s="414"/>
      <c r="E1044" s="50"/>
      <c r="F1044" s="403">
        <v>3500</v>
      </c>
      <c r="G1044" s="406">
        <v>12899</v>
      </c>
      <c r="H1044" s="50"/>
      <c r="I1044" s="50"/>
      <c r="J1044" s="306"/>
    </row>
    <row r="1045" spans="2:10">
      <c r="B1045" s="413"/>
      <c r="C1045" s="414"/>
      <c r="D1045" s="414"/>
      <c r="E1045" s="50"/>
      <c r="F1045" s="403">
        <v>3501</v>
      </c>
      <c r="G1045" s="406">
        <v>13738</v>
      </c>
      <c r="H1045" s="50"/>
      <c r="I1045" s="50"/>
      <c r="J1045" s="306"/>
    </row>
    <row r="1046" spans="2:10">
      <c r="B1046" s="413"/>
      <c r="C1046" s="414"/>
      <c r="D1046" s="414"/>
      <c r="E1046" s="50"/>
      <c r="F1046" s="403">
        <v>3505</v>
      </c>
      <c r="G1046" s="406">
        <v>12915</v>
      </c>
      <c r="H1046" s="50"/>
      <c r="I1046" s="50"/>
      <c r="J1046" s="306"/>
    </row>
    <row r="1047" spans="2:10">
      <c r="B1047" s="413"/>
      <c r="C1047" s="414"/>
      <c r="D1047" s="414"/>
      <c r="E1047" s="50"/>
      <c r="F1047" s="403">
        <v>3506</v>
      </c>
      <c r="G1047" s="406">
        <v>14696</v>
      </c>
      <c r="H1047" s="50"/>
      <c r="I1047" s="50"/>
      <c r="J1047" s="306"/>
    </row>
    <row r="1048" spans="2:10">
      <c r="B1048" s="413"/>
      <c r="C1048" s="414"/>
      <c r="D1048" s="414"/>
      <c r="E1048" s="50"/>
      <c r="F1048" s="403">
        <v>3507</v>
      </c>
      <c r="G1048" s="406">
        <v>13280</v>
      </c>
      <c r="H1048" s="50"/>
      <c r="I1048" s="50"/>
      <c r="J1048" s="306"/>
    </row>
    <row r="1049" spans="2:10">
      <c r="B1049" s="413"/>
      <c r="C1049" s="414"/>
      <c r="D1049" s="414"/>
      <c r="E1049" s="50"/>
      <c r="F1049" s="403">
        <v>3509</v>
      </c>
      <c r="G1049" s="406">
        <v>13150</v>
      </c>
      <c r="H1049" s="50"/>
      <c r="I1049" s="50"/>
      <c r="J1049" s="306"/>
    </row>
    <row r="1050" spans="2:10">
      <c r="B1050" s="413"/>
      <c r="C1050" s="414"/>
      <c r="D1050" s="414"/>
      <c r="E1050" s="50"/>
      <c r="F1050" s="403">
        <v>3512</v>
      </c>
      <c r="G1050" s="406">
        <v>21444</v>
      </c>
      <c r="H1050" s="50"/>
      <c r="I1050" s="50"/>
      <c r="J1050" s="306"/>
    </row>
    <row r="1051" spans="2:10">
      <c r="B1051" s="413"/>
      <c r="C1051" s="414"/>
      <c r="D1051" s="414"/>
      <c r="E1051" s="50"/>
      <c r="F1051" s="403">
        <v>3515</v>
      </c>
      <c r="G1051" s="406">
        <v>14471</v>
      </c>
      <c r="H1051" s="50"/>
      <c r="I1051" s="50"/>
      <c r="J1051" s="306"/>
    </row>
    <row r="1052" spans="2:10">
      <c r="B1052" s="413"/>
      <c r="C1052" s="414"/>
      <c r="D1052" s="414"/>
      <c r="E1052" s="50"/>
      <c r="F1052" s="403">
        <v>3516</v>
      </c>
      <c r="G1052" s="406">
        <v>14622</v>
      </c>
      <c r="H1052" s="50"/>
      <c r="I1052" s="50"/>
      <c r="J1052" s="306"/>
    </row>
    <row r="1053" spans="2:10">
      <c r="B1053" s="413"/>
      <c r="C1053" s="414"/>
      <c r="D1053" s="414"/>
      <c r="E1053" s="50"/>
      <c r="F1053" s="403">
        <v>3517</v>
      </c>
      <c r="G1053" s="406">
        <v>14880</v>
      </c>
      <c r="H1053" s="50"/>
      <c r="I1053" s="50"/>
      <c r="J1053" s="306"/>
    </row>
    <row r="1054" spans="2:10">
      <c r="B1054" s="413"/>
      <c r="C1054" s="414"/>
      <c r="D1054" s="414"/>
      <c r="E1054" s="50"/>
      <c r="F1054" s="403">
        <v>3518</v>
      </c>
      <c r="G1054" s="406">
        <v>15517</v>
      </c>
      <c r="H1054" s="50"/>
      <c r="I1054" s="50"/>
      <c r="J1054" s="306"/>
    </row>
    <row r="1055" spans="2:10">
      <c r="B1055" s="413"/>
      <c r="C1055" s="414"/>
      <c r="D1055" s="414"/>
      <c r="E1055" s="50"/>
      <c r="F1055" s="403">
        <v>3520</v>
      </c>
      <c r="G1055" s="406">
        <v>14880</v>
      </c>
      <c r="H1055" s="50"/>
      <c r="I1055" s="50"/>
      <c r="J1055" s="306"/>
    </row>
    <row r="1056" spans="2:10">
      <c r="B1056" s="413"/>
      <c r="C1056" s="414"/>
      <c r="D1056" s="414"/>
      <c r="E1056" s="50"/>
      <c r="F1056" s="403">
        <v>3521</v>
      </c>
      <c r="G1056" s="406">
        <v>23552</v>
      </c>
      <c r="H1056" s="50"/>
      <c r="I1056" s="50"/>
      <c r="J1056" s="306"/>
    </row>
    <row r="1057" spans="2:10">
      <c r="B1057" s="413"/>
      <c r="C1057" s="414"/>
      <c r="D1057" s="414"/>
      <c r="E1057" s="50"/>
      <c r="F1057" s="403">
        <v>3522</v>
      </c>
      <c r="G1057" s="406">
        <v>22201</v>
      </c>
      <c r="H1057" s="50"/>
      <c r="I1057" s="50"/>
      <c r="J1057" s="306"/>
    </row>
    <row r="1058" spans="2:10">
      <c r="B1058" s="413"/>
      <c r="C1058" s="414"/>
      <c r="D1058" s="414"/>
      <c r="E1058" s="50"/>
      <c r="F1058" s="403">
        <v>3523</v>
      </c>
      <c r="G1058" s="406">
        <v>15942</v>
      </c>
      <c r="H1058" s="50"/>
      <c r="I1058" s="50"/>
      <c r="J1058" s="306"/>
    </row>
    <row r="1059" spans="2:10">
      <c r="B1059" s="413"/>
      <c r="C1059" s="414"/>
      <c r="D1059" s="414"/>
      <c r="E1059" s="50"/>
      <c r="F1059" s="403">
        <v>3525</v>
      </c>
      <c r="G1059" s="406">
        <v>17635</v>
      </c>
      <c r="H1059" s="50"/>
      <c r="I1059" s="50"/>
      <c r="J1059" s="306"/>
    </row>
    <row r="1060" spans="2:10">
      <c r="B1060" s="413"/>
      <c r="C1060" s="414"/>
      <c r="D1060" s="414"/>
      <c r="E1060" s="50"/>
      <c r="F1060" s="403">
        <v>3527</v>
      </c>
      <c r="G1060" s="406">
        <v>18520</v>
      </c>
      <c r="H1060" s="50"/>
      <c r="I1060" s="50"/>
      <c r="J1060" s="306"/>
    </row>
    <row r="1061" spans="2:10">
      <c r="B1061" s="413"/>
      <c r="C1061" s="414"/>
      <c r="D1061" s="414"/>
      <c r="E1061" s="50"/>
      <c r="F1061" s="403">
        <v>3529</v>
      </c>
      <c r="G1061" s="406">
        <v>12788</v>
      </c>
      <c r="H1061" s="50"/>
      <c r="I1061" s="50"/>
      <c r="J1061" s="306"/>
    </row>
    <row r="1062" spans="2:10">
      <c r="B1062" s="413"/>
      <c r="C1062" s="414"/>
      <c r="D1062" s="414"/>
      <c r="E1062" s="50"/>
      <c r="F1062" s="403">
        <v>3530</v>
      </c>
      <c r="G1062" s="406">
        <v>12071</v>
      </c>
      <c r="H1062" s="50"/>
      <c r="I1062" s="50"/>
      <c r="J1062" s="306"/>
    </row>
    <row r="1063" spans="2:10">
      <c r="B1063" s="413"/>
      <c r="C1063" s="414"/>
      <c r="D1063" s="414"/>
      <c r="E1063" s="50"/>
      <c r="F1063" s="403">
        <v>3531</v>
      </c>
      <c r="G1063" s="406">
        <v>12071</v>
      </c>
      <c r="H1063" s="50"/>
      <c r="I1063" s="50"/>
      <c r="J1063" s="306"/>
    </row>
    <row r="1064" spans="2:10">
      <c r="B1064" s="413"/>
      <c r="C1064" s="414"/>
      <c r="D1064" s="414"/>
      <c r="E1064" s="50"/>
      <c r="F1064" s="403">
        <v>3533</v>
      </c>
      <c r="G1064" s="406">
        <v>11860</v>
      </c>
      <c r="H1064" s="50"/>
      <c r="I1064" s="50"/>
      <c r="J1064" s="306"/>
    </row>
    <row r="1065" spans="2:10">
      <c r="B1065" s="413"/>
      <c r="C1065" s="414"/>
      <c r="D1065" s="414"/>
      <c r="E1065" s="50"/>
      <c r="F1065" s="403">
        <v>3537</v>
      </c>
      <c r="G1065" s="406">
        <v>12595</v>
      </c>
      <c r="H1065" s="50"/>
      <c r="I1065" s="50"/>
      <c r="J1065" s="306"/>
    </row>
    <row r="1066" spans="2:10">
      <c r="B1066" s="413"/>
      <c r="C1066" s="414"/>
      <c r="D1066" s="414"/>
      <c r="E1066" s="50"/>
      <c r="F1066" s="403">
        <v>3540</v>
      </c>
      <c r="G1066" s="406">
        <v>13493</v>
      </c>
      <c r="H1066" s="50"/>
      <c r="I1066" s="50"/>
      <c r="J1066" s="306"/>
    </row>
    <row r="1067" spans="2:10">
      <c r="B1067" s="413"/>
      <c r="C1067" s="414"/>
      <c r="D1067" s="414"/>
      <c r="E1067" s="50"/>
      <c r="F1067" s="403">
        <v>3542</v>
      </c>
      <c r="G1067" s="406">
        <v>11070</v>
      </c>
      <c r="H1067" s="50"/>
      <c r="I1067" s="50"/>
      <c r="J1067" s="306"/>
    </row>
    <row r="1068" spans="2:10">
      <c r="B1068" s="413"/>
      <c r="C1068" s="414"/>
      <c r="D1068" s="414"/>
      <c r="E1068" s="50"/>
      <c r="F1068" s="403">
        <v>3544</v>
      </c>
      <c r="G1068" s="406">
        <v>11002</v>
      </c>
      <c r="H1068" s="50"/>
      <c r="I1068" s="50"/>
      <c r="J1068" s="306"/>
    </row>
    <row r="1069" spans="2:10">
      <c r="B1069" s="413"/>
      <c r="C1069" s="414"/>
      <c r="D1069" s="414"/>
      <c r="E1069" s="50"/>
      <c r="F1069" s="403">
        <v>3546</v>
      </c>
      <c r="G1069" s="406">
        <v>11959</v>
      </c>
      <c r="H1069" s="50"/>
      <c r="I1069" s="50"/>
      <c r="J1069" s="306"/>
    </row>
    <row r="1070" spans="2:10">
      <c r="B1070" s="413"/>
      <c r="C1070" s="414"/>
      <c r="D1070" s="414"/>
      <c r="E1070" s="50"/>
      <c r="F1070" s="403">
        <v>3549</v>
      </c>
      <c r="G1070" s="406">
        <v>13533</v>
      </c>
      <c r="H1070" s="50"/>
      <c r="I1070" s="50"/>
      <c r="J1070" s="306"/>
    </row>
    <row r="1071" spans="2:10">
      <c r="B1071" s="413"/>
      <c r="C1071" s="414"/>
      <c r="D1071" s="414"/>
      <c r="E1071" s="50"/>
      <c r="F1071" s="403">
        <v>3550</v>
      </c>
      <c r="G1071" s="406">
        <v>14562</v>
      </c>
      <c r="H1071" s="50"/>
      <c r="I1071" s="50"/>
      <c r="J1071" s="306"/>
    </row>
    <row r="1072" spans="2:10">
      <c r="B1072" s="413"/>
      <c r="C1072" s="414"/>
      <c r="D1072" s="414"/>
      <c r="E1072" s="50"/>
      <c r="F1072" s="403">
        <v>3551</v>
      </c>
      <c r="G1072" s="406">
        <v>14692</v>
      </c>
      <c r="H1072" s="50"/>
      <c r="I1072" s="50"/>
      <c r="J1072" s="306"/>
    </row>
    <row r="1073" spans="2:10">
      <c r="B1073" s="413"/>
      <c r="C1073" s="414"/>
      <c r="D1073" s="414"/>
      <c r="E1073" s="50"/>
      <c r="F1073" s="403">
        <v>3555</v>
      </c>
      <c r="G1073" s="406">
        <v>14471</v>
      </c>
      <c r="H1073" s="50"/>
      <c r="I1073" s="50"/>
      <c r="J1073" s="306"/>
    </row>
    <row r="1074" spans="2:10">
      <c r="B1074" s="413"/>
      <c r="C1074" s="414"/>
      <c r="D1074" s="414"/>
      <c r="E1074" s="50"/>
      <c r="F1074" s="403">
        <v>3556</v>
      </c>
      <c r="G1074" s="406">
        <v>14495</v>
      </c>
      <c r="H1074" s="50"/>
      <c r="I1074" s="50"/>
      <c r="J1074" s="306"/>
    </row>
    <row r="1075" spans="2:10">
      <c r="B1075" s="413"/>
      <c r="C1075" s="414"/>
      <c r="D1075" s="414"/>
      <c r="E1075" s="50"/>
      <c r="F1075" s="403">
        <v>3557</v>
      </c>
      <c r="G1075" s="406">
        <v>14623</v>
      </c>
      <c r="H1075" s="50"/>
      <c r="I1075" s="50"/>
      <c r="J1075" s="306"/>
    </row>
    <row r="1076" spans="2:10">
      <c r="B1076" s="413"/>
      <c r="C1076" s="414"/>
      <c r="D1076" s="414"/>
      <c r="E1076" s="50"/>
      <c r="F1076" s="403">
        <v>3558</v>
      </c>
      <c r="G1076" s="406">
        <v>14823</v>
      </c>
      <c r="H1076" s="50"/>
      <c r="I1076" s="50"/>
      <c r="J1076" s="306"/>
    </row>
    <row r="1077" spans="2:10">
      <c r="B1077" s="413"/>
      <c r="C1077" s="414"/>
      <c r="D1077" s="414"/>
      <c r="E1077" s="50"/>
      <c r="F1077" s="403">
        <v>3559</v>
      </c>
      <c r="G1077" s="406">
        <v>14819</v>
      </c>
      <c r="H1077" s="50"/>
      <c r="I1077" s="50"/>
      <c r="J1077" s="306"/>
    </row>
    <row r="1078" spans="2:10">
      <c r="B1078" s="413"/>
      <c r="C1078" s="414"/>
      <c r="D1078" s="414"/>
      <c r="E1078" s="50"/>
      <c r="F1078" s="403">
        <v>3561</v>
      </c>
      <c r="G1078" s="406">
        <v>15403</v>
      </c>
      <c r="H1078" s="50"/>
      <c r="I1078" s="50"/>
      <c r="J1078" s="306"/>
    </row>
    <row r="1079" spans="2:10">
      <c r="B1079" s="413"/>
      <c r="C1079" s="414"/>
      <c r="D1079" s="414"/>
      <c r="E1079" s="50"/>
      <c r="F1079" s="403">
        <v>3562</v>
      </c>
      <c r="G1079" s="406">
        <v>15158</v>
      </c>
      <c r="H1079" s="50"/>
      <c r="I1079" s="50"/>
      <c r="J1079" s="306"/>
    </row>
    <row r="1080" spans="2:10">
      <c r="B1080" s="413"/>
      <c r="C1080" s="414"/>
      <c r="D1080" s="414"/>
      <c r="E1080" s="50"/>
      <c r="F1080" s="403">
        <v>3563</v>
      </c>
      <c r="G1080" s="406">
        <v>15403</v>
      </c>
      <c r="H1080" s="50"/>
      <c r="I1080" s="50"/>
      <c r="J1080" s="306"/>
    </row>
    <row r="1081" spans="2:10">
      <c r="B1081" s="413"/>
      <c r="C1081" s="414"/>
      <c r="D1081" s="414"/>
      <c r="E1081" s="50"/>
      <c r="F1081" s="403">
        <v>3564</v>
      </c>
      <c r="G1081" s="406">
        <v>15336</v>
      </c>
      <c r="H1081" s="50"/>
      <c r="I1081" s="50"/>
      <c r="J1081" s="306"/>
    </row>
    <row r="1082" spans="2:10">
      <c r="B1082" s="413"/>
      <c r="C1082" s="414"/>
      <c r="D1082" s="414"/>
      <c r="E1082" s="50"/>
      <c r="F1082" s="403">
        <v>3565</v>
      </c>
      <c r="G1082" s="406">
        <v>15403</v>
      </c>
      <c r="H1082" s="50"/>
      <c r="I1082" s="50"/>
      <c r="J1082" s="306"/>
    </row>
    <row r="1083" spans="2:10">
      <c r="B1083" s="413"/>
      <c r="C1083" s="414"/>
      <c r="D1083" s="414"/>
      <c r="E1083" s="50"/>
      <c r="F1083" s="403">
        <v>3566</v>
      </c>
      <c r="G1083" s="406">
        <v>14369</v>
      </c>
      <c r="H1083" s="50"/>
      <c r="I1083" s="50"/>
      <c r="J1083" s="306"/>
    </row>
    <row r="1084" spans="2:10">
      <c r="B1084" s="413"/>
      <c r="C1084" s="414"/>
      <c r="D1084" s="414"/>
      <c r="E1084" s="50"/>
      <c r="F1084" s="403">
        <v>3567</v>
      </c>
      <c r="G1084" s="406">
        <v>13124</v>
      </c>
      <c r="H1084" s="50"/>
      <c r="I1084" s="50"/>
      <c r="J1084" s="306"/>
    </row>
    <row r="1085" spans="2:10">
      <c r="B1085" s="413"/>
      <c r="C1085" s="414"/>
      <c r="D1085" s="414"/>
      <c r="E1085" s="50"/>
      <c r="F1085" s="403">
        <v>3568</v>
      </c>
      <c r="G1085" s="406">
        <v>12239</v>
      </c>
      <c r="H1085" s="50"/>
      <c r="I1085" s="50"/>
      <c r="J1085" s="306"/>
    </row>
    <row r="1086" spans="2:10">
      <c r="B1086" s="413"/>
      <c r="C1086" s="414"/>
      <c r="D1086" s="414"/>
      <c r="E1086" s="50"/>
      <c r="F1086" s="403">
        <v>3570</v>
      </c>
      <c r="G1086" s="406">
        <v>14552</v>
      </c>
      <c r="H1086" s="50"/>
      <c r="I1086" s="50"/>
      <c r="J1086" s="306"/>
    </row>
    <row r="1087" spans="2:10">
      <c r="B1087" s="413"/>
      <c r="C1087" s="414"/>
      <c r="D1087" s="414"/>
      <c r="E1087" s="50"/>
      <c r="F1087" s="403">
        <v>3571</v>
      </c>
      <c r="G1087" s="406">
        <v>14781</v>
      </c>
      <c r="H1087" s="50"/>
      <c r="I1087" s="50"/>
      <c r="J1087" s="306"/>
    </row>
    <row r="1088" spans="2:10">
      <c r="B1088" s="413"/>
      <c r="C1088" s="414"/>
      <c r="D1088" s="414"/>
      <c r="E1088" s="50"/>
      <c r="F1088" s="403">
        <v>3572</v>
      </c>
      <c r="G1088" s="406">
        <v>14358</v>
      </c>
      <c r="H1088" s="50"/>
      <c r="I1088" s="50"/>
      <c r="J1088" s="306"/>
    </row>
    <row r="1089" spans="2:10">
      <c r="B1089" s="413"/>
      <c r="C1089" s="414"/>
      <c r="D1089" s="414"/>
      <c r="E1089" s="50"/>
      <c r="F1089" s="403">
        <v>3573</v>
      </c>
      <c r="G1089" s="406">
        <v>14695</v>
      </c>
      <c r="H1089" s="50"/>
      <c r="I1089" s="50"/>
      <c r="J1089" s="306"/>
    </row>
    <row r="1090" spans="2:10">
      <c r="B1090" s="413"/>
      <c r="C1090" s="414"/>
      <c r="D1090" s="414"/>
      <c r="E1090" s="50"/>
      <c r="F1090" s="403">
        <v>3575</v>
      </c>
      <c r="G1090" s="406">
        <v>13124</v>
      </c>
      <c r="H1090" s="50"/>
      <c r="I1090" s="50"/>
      <c r="J1090" s="306"/>
    </row>
    <row r="1091" spans="2:10">
      <c r="B1091" s="413"/>
      <c r="C1091" s="414"/>
      <c r="D1091" s="414"/>
      <c r="E1091" s="50"/>
      <c r="F1091" s="403">
        <v>3576</v>
      </c>
      <c r="G1091" s="406">
        <v>14199</v>
      </c>
      <c r="H1091" s="50"/>
      <c r="I1091" s="50"/>
      <c r="J1091" s="306"/>
    </row>
    <row r="1092" spans="2:10">
      <c r="B1092" s="413"/>
      <c r="C1092" s="414"/>
      <c r="D1092" s="414"/>
      <c r="E1092" s="50"/>
      <c r="F1092" s="403">
        <v>3579</v>
      </c>
      <c r="G1092" s="406">
        <v>11799</v>
      </c>
      <c r="H1092" s="50"/>
      <c r="I1092" s="50"/>
      <c r="J1092" s="306"/>
    </row>
    <row r="1093" spans="2:10">
      <c r="B1093" s="413"/>
      <c r="C1093" s="414"/>
      <c r="D1093" s="414"/>
      <c r="E1093" s="50"/>
      <c r="F1093" s="403">
        <v>3580</v>
      </c>
      <c r="G1093" s="406">
        <v>11799</v>
      </c>
      <c r="H1093" s="50"/>
      <c r="I1093" s="50"/>
      <c r="J1093" s="306"/>
    </row>
    <row r="1094" spans="2:10">
      <c r="B1094" s="413"/>
      <c r="C1094" s="414"/>
      <c r="D1094" s="414"/>
      <c r="E1094" s="50"/>
      <c r="F1094" s="403">
        <v>3581</v>
      </c>
      <c r="G1094" s="406">
        <v>11477</v>
      </c>
      <c r="H1094" s="50"/>
      <c r="I1094" s="50"/>
      <c r="J1094" s="306"/>
    </row>
    <row r="1095" spans="2:10">
      <c r="B1095" s="413"/>
      <c r="C1095" s="414"/>
      <c r="D1095" s="414"/>
      <c r="E1095" s="50"/>
      <c r="F1095" s="403">
        <v>3583</v>
      </c>
      <c r="G1095" s="406">
        <v>11477</v>
      </c>
      <c r="H1095" s="50"/>
      <c r="I1095" s="50"/>
      <c r="J1095" s="306"/>
    </row>
    <row r="1096" spans="2:10">
      <c r="B1096" s="413"/>
      <c r="C1096" s="414"/>
      <c r="D1096" s="414"/>
      <c r="E1096" s="50"/>
      <c r="F1096" s="403">
        <v>3584</v>
      </c>
      <c r="G1096" s="406">
        <v>11004</v>
      </c>
      <c r="H1096" s="50"/>
      <c r="I1096" s="50"/>
      <c r="J1096" s="306"/>
    </row>
    <row r="1097" spans="2:10">
      <c r="B1097" s="413"/>
      <c r="C1097" s="414"/>
      <c r="D1097" s="414"/>
      <c r="E1097" s="50"/>
      <c r="F1097" s="403">
        <v>3585</v>
      </c>
      <c r="G1097" s="406">
        <v>11003</v>
      </c>
      <c r="H1097" s="50"/>
      <c r="I1097" s="50"/>
      <c r="J1097" s="306"/>
    </row>
    <row r="1098" spans="2:10">
      <c r="B1098" s="413"/>
      <c r="C1098" s="414"/>
      <c r="D1098" s="414"/>
      <c r="E1098" s="50"/>
      <c r="F1098" s="403">
        <v>3586</v>
      </c>
      <c r="G1098" s="406">
        <v>11004</v>
      </c>
      <c r="H1098" s="50"/>
      <c r="I1098" s="50"/>
      <c r="J1098" s="306"/>
    </row>
    <row r="1099" spans="2:10">
      <c r="B1099" s="413"/>
      <c r="C1099" s="414"/>
      <c r="D1099" s="414"/>
      <c r="E1099" s="50"/>
      <c r="F1099" s="403">
        <v>3588</v>
      </c>
      <c r="G1099" s="406">
        <v>11003</v>
      </c>
      <c r="H1099" s="50"/>
      <c r="I1099" s="50"/>
      <c r="J1099" s="306"/>
    </row>
    <row r="1100" spans="2:10">
      <c r="B1100" s="413"/>
      <c r="C1100" s="414"/>
      <c r="D1100" s="414"/>
      <c r="E1100" s="50"/>
      <c r="F1100" s="403">
        <v>3589</v>
      </c>
      <c r="G1100" s="406">
        <v>11004</v>
      </c>
      <c r="H1100" s="50"/>
      <c r="I1100" s="50"/>
      <c r="J1100" s="306"/>
    </row>
    <row r="1101" spans="2:10">
      <c r="B1101" s="413"/>
      <c r="C1101" s="414"/>
      <c r="D1101" s="414"/>
      <c r="E1101" s="50"/>
      <c r="F1101" s="403">
        <v>3590</v>
      </c>
      <c r="G1101" s="406">
        <v>11004</v>
      </c>
      <c r="H1101" s="50"/>
      <c r="I1101" s="50"/>
      <c r="J1101" s="306"/>
    </row>
    <row r="1102" spans="2:10">
      <c r="B1102" s="413"/>
      <c r="C1102" s="414"/>
      <c r="D1102" s="414"/>
      <c r="E1102" s="50"/>
      <c r="F1102" s="403">
        <v>3591</v>
      </c>
      <c r="G1102" s="406">
        <v>11004</v>
      </c>
      <c r="H1102" s="50"/>
      <c r="I1102" s="50"/>
      <c r="J1102" s="306"/>
    </row>
    <row r="1103" spans="2:10">
      <c r="B1103" s="413"/>
      <c r="C1103" s="414"/>
      <c r="D1103" s="414"/>
      <c r="E1103" s="50"/>
      <c r="F1103" s="403">
        <v>3594</v>
      </c>
      <c r="G1103" s="406">
        <v>11004</v>
      </c>
      <c r="H1103" s="50"/>
      <c r="I1103" s="50"/>
      <c r="J1103" s="306"/>
    </row>
    <row r="1104" spans="2:10">
      <c r="B1104" s="413"/>
      <c r="C1104" s="414"/>
      <c r="D1104" s="414"/>
      <c r="E1104" s="50"/>
      <c r="F1104" s="403">
        <v>3595</v>
      </c>
      <c r="G1104" s="406">
        <v>11004</v>
      </c>
      <c r="H1104" s="50"/>
      <c r="I1104" s="50"/>
      <c r="J1104" s="306"/>
    </row>
    <row r="1105" spans="2:10">
      <c r="B1105" s="413"/>
      <c r="C1105" s="414"/>
      <c r="D1105" s="414"/>
      <c r="E1105" s="50"/>
      <c r="F1105" s="403">
        <v>3596</v>
      </c>
      <c r="G1105" s="406">
        <v>11303</v>
      </c>
      <c r="H1105" s="50"/>
      <c r="I1105" s="50"/>
      <c r="J1105" s="306"/>
    </row>
    <row r="1106" spans="2:10">
      <c r="B1106" s="413"/>
      <c r="C1106" s="414"/>
      <c r="D1106" s="414"/>
      <c r="E1106" s="50"/>
      <c r="F1106" s="403">
        <v>3597</v>
      </c>
      <c r="G1106" s="406">
        <v>11941</v>
      </c>
      <c r="H1106" s="50"/>
      <c r="I1106" s="50"/>
      <c r="J1106" s="306"/>
    </row>
    <row r="1107" spans="2:10">
      <c r="B1107" s="413"/>
      <c r="C1107" s="414"/>
      <c r="D1107" s="414"/>
      <c r="E1107" s="50"/>
      <c r="F1107" s="403">
        <v>3599</v>
      </c>
      <c r="G1107" s="406">
        <v>13204</v>
      </c>
      <c r="H1107" s="50"/>
      <c r="I1107" s="50"/>
      <c r="J1107" s="306"/>
    </row>
    <row r="1108" spans="2:10">
      <c r="B1108" s="413"/>
      <c r="C1108" s="414"/>
      <c r="D1108" s="414"/>
      <c r="E1108" s="50"/>
      <c r="F1108" s="403">
        <v>3607</v>
      </c>
      <c r="G1108" s="406">
        <v>22991</v>
      </c>
      <c r="H1108" s="50"/>
      <c r="I1108" s="50"/>
      <c r="J1108" s="306"/>
    </row>
    <row r="1109" spans="2:10">
      <c r="B1109" s="413"/>
      <c r="C1109" s="414"/>
      <c r="D1109" s="414"/>
      <c r="E1109" s="50"/>
      <c r="F1109" s="403">
        <v>3608</v>
      </c>
      <c r="G1109" s="406">
        <v>15523</v>
      </c>
      <c r="H1109" s="50"/>
      <c r="I1109" s="50"/>
      <c r="J1109" s="306"/>
    </row>
    <row r="1110" spans="2:10">
      <c r="B1110" s="413"/>
      <c r="C1110" s="414"/>
      <c r="D1110" s="414"/>
      <c r="E1110" s="50"/>
      <c r="F1110" s="403">
        <v>3610</v>
      </c>
      <c r="G1110" s="406">
        <v>15289</v>
      </c>
      <c r="H1110" s="50"/>
      <c r="I1110" s="50"/>
      <c r="J1110" s="306"/>
    </row>
    <row r="1111" spans="2:10">
      <c r="B1111" s="413"/>
      <c r="C1111" s="414"/>
      <c r="D1111" s="414"/>
      <c r="E1111" s="50"/>
      <c r="F1111" s="403">
        <v>3612</v>
      </c>
      <c r="G1111" s="406">
        <v>15247</v>
      </c>
      <c r="H1111" s="50"/>
      <c r="I1111" s="50"/>
      <c r="J1111" s="306"/>
    </row>
    <row r="1112" spans="2:10">
      <c r="B1112" s="413"/>
      <c r="C1112" s="414"/>
      <c r="D1112" s="414"/>
      <c r="E1112" s="50"/>
      <c r="F1112" s="403">
        <v>3614</v>
      </c>
      <c r="G1112" s="406">
        <v>15416</v>
      </c>
      <c r="H1112" s="50"/>
      <c r="I1112" s="50"/>
      <c r="J1112" s="306"/>
    </row>
    <row r="1113" spans="2:10">
      <c r="B1113" s="413"/>
      <c r="C1113" s="414"/>
      <c r="D1113" s="414"/>
      <c r="E1113" s="50"/>
      <c r="F1113" s="403">
        <v>3616</v>
      </c>
      <c r="G1113" s="406">
        <v>15041</v>
      </c>
      <c r="H1113" s="50"/>
      <c r="I1113" s="50"/>
      <c r="J1113" s="306"/>
    </row>
    <row r="1114" spans="2:10">
      <c r="B1114" s="413"/>
      <c r="C1114" s="414"/>
      <c r="D1114" s="414"/>
      <c r="E1114" s="50"/>
      <c r="F1114" s="403">
        <v>3617</v>
      </c>
      <c r="G1114" s="406">
        <v>15700</v>
      </c>
      <c r="H1114" s="50"/>
      <c r="I1114" s="50"/>
      <c r="J1114" s="306"/>
    </row>
    <row r="1115" spans="2:10">
      <c r="B1115" s="413"/>
      <c r="C1115" s="414"/>
      <c r="D1115" s="414"/>
      <c r="E1115" s="50"/>
      <c r="F1115" s="403">
        <v>3618</v>
      </c>
      <c r="G1115" s="406">
        <v>15727</v>
      </c>
      <c r="H1115" s="50"/>
      <c r="I1115" s="50"/>
      <c r="J1115" s="306"/>
    </row>
    <row r="1116" spans="2:10">
      <c r="B1116" s="413"/>
      <c r="C1116" s="414"/>
      <c r="D1116" s="414"/>
      <c r="E1116" s="50"/>
      <c r="F1116" s="403">
        <v>3620</v>
      </c>
      <c r="G1116" s="406">
        <v>18485</v>
      </c>
      <c r="H1116" s="50"/>
      <c r="I1116" s="50"/>
      <c r="J1116" s="306"/>
    </row>
    <row r="1117" spans="2:10">
      <c r="B1117" s="413"/>
      <c r="C1117" s="414"/>
      <c r="D1117" s="414"/>
      <c r="E1117" s="50"/>
      <c r="F1117" s="403">
        <v>3621</v>
      </c>
      <c r="G1117" s="406">
        <v>17920</v>
      </c>
      <c r="H1117" s="50"/>
      <c r="I1117" s="50"/>
      <c r="J1117" s="306"/>
    </row>
    <row r="1118" spans="2:10">
      <c r="B1118" s="413"/>
      <c r="C1118" s="414"/>
      <c r="D1118" s="414"/>
      <c r="E1118" s="50"/>
      <c r="F1118" s="403">
        <v>3622</v>
      </c>
      <c r="G1118" s="406">
        <v>17920</v>
      </c>
      <c r="H1118" s="50"/>
      <c r="I1118" s="50"/>
      <c r="J1118" s="306"/>
    </row>
    <row r="1119" spans="2:10">
      <c r="B1119" s="413"/>
      <c r="C1119" s="414"/>
      <c r="D1119" s="414"/>
      <c r="E1119" s="50"/>
      <c r="F1119" s="403">
        <v>3623</v>
      </c>
      <c r="G1119" s="406">
        <v>15242</v>
      </c>
      <c r="H1119" s="50"/>
      <c r="I1119" s="50"/>
      <c r="J1119" s="306"/>
    </row>
    <row r="1120" spans="2:10">
      <c r="B1120" s="413"/>
      <c r="C1120" s="414"/>
      <c r="D1120" s="414"/>
      <c r="E1120" s="50"/>
      <c r="F1120" s="403">
        <v>3624</v>
      </c>
      <c r="G1120" s="406">
        <v>18485</v>
      </c>
      <c r="H1120" s="50"/>
      <c r="I1120" s="50"/>
      <c r="J1120" s="306"/>
    </row>
    <row r="1121" spans="2:10">
      <c r="B1121" s="413"/>
      <c r="C1121" s="414"/>
      <c r="D1121" s="414"/>
      <c r="E1121" s="50"/>
      <c r="F1121" s="403">
        <v>3629</v>
      </c>
      <c r="G1121" s="406">
        <v>14978</v>
      </c>
      <c r="H1121" s="50"/>
      <c r="I1121" s="50"/>
      <c r="J1121" s="306"/>
    </row>
    <row r="1122" spans="2:10">
      <c r="B1122" s="413"/>
      <c r="C1122" s="414"/>
      <c r="D1122" s="414"/>
      <c r="E1122" s="50"/>
      <c r="F1122" s="403">
        <v>3630</v>
      </c>
      <c r="G1122" s="406">
        <v>15606</v>
      </c>
      <c r="H1122" s="50"/>
      <c r="I1122" s="50"/>
      <c r="J1122" s="306"/>
    </row>
    <row r="1123" spans="2:10">
      <c r="B1123" s="413"/>
      <c r="C1123" s="414"/>
      <c r="D1123" s="414"/>
      <c r="E1123" s="50"/>
      <c r="F1123" s="403">
        <v>3631</v>
      </c>
      <c r="G1123" s="406">
        <v>15582</v>
      </c>
      <c r="H1123" s="50"/>
      <c r="I1123" s="50"/>
      <c r="J1123" s="306"/>
    </row>
    <row r="1124" spans="2:10">
      <c r="B1124" s="413"/>
      <c r="C1124" s="414"/>
      <c r="D1124" s="414"/>
      <c r="E1124" s="50"/>
      <c r="F1124" s="403">
        <v>3633</v>
      </c>
      <c r="G1124" s="406">
        <v>15281</v>
      </c>
      <c r="H1124" s="50"/>
      <c r="I1124" s="50"/>
      <c r="J1124" s="306"/>
    </row>
    <row r="1125" spans="2:10">
      <c r="B1125" s="413"/>
      <c r="C1125" s="414"/>
      <c r="D1125" s="414"/>
      <c r="E1125" s="50"/>
      <c r="F1125" s="403">
        <v>3634</v>
      </c>
      <c r="G1125" s="406">
        <v>15086</v>
      </c>
      <c r="H1125" s="50"/>
      <c r="I1125" s="50"/>
      <c r="J1125" s="306"/>
    </row>
    <row r="1126" spans="2:10">
      <c r="B1126" s="413"/>
      <c r="C1126" s="414"/>
      <c r="D1126" s="414"/>
      <c r="E1126" s="50"/>
      <c r="F1126" s="403">
        <v>3635</v>
      </c>
      <c r="G1126" s="406">
        <v>15080</v>
      </c>
      <c r="H1126" s="50"/>
      <c r="I1126" s="50"/>
      <c r="J1126" s="306"/>
    </row>
    <row r="1127" spans="2:10">
      <c r="B1127" s="413"/>
      <c r="C1127" s="414"/>
      <c r="D1127" s="414"/>
      <c r="E1127" s="50"/>
      <c r="F1127" s="403">
        <v>3636</v>
      </c>
      <c r="G1127" s="406">
        <v>15890</v>
      </c>
      <c r="H1127" s="50"/>
      <c r="I1127" s="50"/>
      <c r="J1127" s="306"/>
    </row>
    <row r="1128" spans="2:10">
      <c r="B1128" s="413"/>
      <c r="C1128" s="414"/>
      <c r="D1128" s="414"/>
      <c r="E1128" s="50"/>
      <c r="F1128" s="403">
        <v>3637</v>
      </c>
      <c r="G1128" s="406">
        <v>16658</v>
      </c>
      <c r="H1128" s="50"/>
      <c r="I1128" s="50"/>
      <c r="J1128" s="306"/>
    </row>
    <row r="1129" spans="2:10">
      <c r="B1129" s="413"/>
      <c r="C1129" s="414"/>
      <c r="D1129" s="414"/>
      <c r="E1129" s="50"/>
      <c r="F1129" s="403">
        <v>3638</v>
      </c>
      <c r="G1129" s="406">
        <v>16728</v>
      </c>
      <c r="H1129" s="50"/>
      <c r="I1129" s="50"/>
      <c r="J1129" s="306"/>
    </row>
    <row r="1130" spans="2:10">
      <c r="B1130" s="413"/>
      <c r="C1130" s="414"/>
      <c r="D1130" s="414"/>
      <c r="E1130" s="50"/>
      <c r="F1130" s="403">
        <v>3639</v>
      </c>
      <c r="G1130" s="406">
        <v>17034</v>
      </c>
      <c r="H1130" s="50"/>
      <c r="I1130" s="50"/>
      <c r="J1130" s="306"/>
    </row>
    <row r="1131" spans="2:10">
      <c r="B1131" s="413"/>
      <c r="C1131" s="414"/>
      <c r="D1131" s="414"/>
      <c r="E1131" s="50"/>
      <c r="F1131" s="403">
        <v>3640</v>
      </c>
      <c r="G1131" s="406">
        <v>16782</v>
      </c>
      <c r="H1131" s="50"/>
      <c r="I1131" s="50"/>
      <c r="J1131" s="306"/>
    </row>
    <row r="1132" spans="2:10">
      <c r="B1132" s="413"/>
      <c r="C1132" s="414"/>
      <c r="D1132" s="414"/>
      <c r="E1132" s="50"/>
      <c r="F1132" s="403">
        <v>3641</v>
      </c>
      <c r="G1132" s="406">
        <v>17004</v>
      </c>
      <c r="H1132" s="50"/>
      <c r="I1132" s="50"/>
      <c r="J1132" s="306"/>
    </row>
    <row r="1133" spans="2:10">
      <c r="B1133" s="413"/>
      <c r="C1133" s="414"/>
      <c r="D1133" s="414"/>
      <c r="E1133" s="50"/>
      <c r="F1133" s="403">
        <v>3644</v>
      </c>
      <c r="G1133" s="406">
        <v>16972</v>
      </c>
      <c r="H1133" s="50"/>
      <c r="I1133" s="50"/>
      <c r="J1133" s="306"/>
    </row>
    <row r="1134" spans="2:10">
      <c r="B1134" s="413"/>
      <c r="C1134" s="414"/>
      <c r="D1134" s="414"/>
      <c r="E1134" s="50"/>
      <c r="F1134" s="403">
        <v>3646</v>
      </c>
      <c r="G1134" s="406">
        <v>15599</v>
      </c>
      <c r="H1134" s="50"/>
      <c r="I1134" s="50"/>
      <c r="J1134" s="306"/>
    </row>
    <row r="1135" spans="2:10">
      <c r="B1135" s="413"/>
      <c r="C1135" s="414"/>
      <c r="D1135" s="414"/>
      <c r="E1135" s="50"/>
      <c r="F1135" s="403">
        <v>3647</v>
      </c>
      <c r="G1135" s="406">
        <v>15612</v>
      </c>
      <c r="H1135" s="50"/>
      <c r="I1135" s="50"/>
      <c r="J1135" s="306"/>
    </row>
    <row r="1136" spans="2:10">
      <c r="B1136" s="413"/>
      <c r="C1136" s="414"/>
      <c r="D1136" s="414"/>
      <c r="E1136" s="50"/>
      <c r="F1136" s="403">
        <v>3649</v>
      </c>
      <c r="G1136" s="406">
        <v>16675</v>
      </c>
      <c r="H1136" s="50"/>
      <c r="I1136" s="50"/>
      <c r="J1136" s="306"/>
    </row>
    <row r="1137" spans="2:10">
      <c r="B1137" s="413"/>
      <c r="C1137" s="414"/>
      <c r="D1137" s="414"/>
      <c r="E1137" s="50"/>
      <c r="F1137" s="403">
        <v>3658</v>
      </c>
      <c r="G1137" s="406">
        <v>19162</v>
      </c>
      <c r="H1137" s="50"/>
      <c r="I1137" s="50"/>
      <c r="J1137" s="306"/>
    </row>
    <row r="1138" spans="2:10">
      <c r="B1138" s="413"/>
      <c r="C1138" s="414"/>
      <c r="D1138" s="414"/>
      <c r="E1138" s="50"/>
      <c r="F1138" s="403">
        <v>3659</v>
      </c>
      <c r="G1138" s="406">
        <v>22301</v>
      </c>
      <c r="H1138" s="50"/>
      <c r="I1138" s="50"/>
      <c r="J1138" s="306"/>
    </row>
    <row r="1139" spans="2:10">
      <c r="B1139" s="413"/>
      <c r="C1139" s="414"/>
      <c r="D1139" s="414"/>
      <c r="E1139" s="50"/>
      <c r="F1139" s="403">
        <v>3660</v>
      </c>
      <c r="G1139" s="406">
        <v>23389</v>
      </c>
      <c r="H1139" s="50"/>
      <c r="I1139" s="50"/>
      <c r="J1139" s="306"/>
    </row>
    <row r="1140" spans="2:10">
      <c r="B1140" s="413"/>
      <c r="C1140" s="414"/>
      <c r="D1140" s="414"/>
      <c r="E1140" s="50"/>
      <c r="F1140" s="403">
        <v>3662</v>
      </c>
      <c r="G1140" s="406">
        <v>18662</v>
      </c>
      <c r="H1140" s="50"/>
      <c r="I1140" s="50"/>
      <c r="J1140" s="306"/>
    </row>
    <row r="1141" spans="2:10">
      <c r="B1141" s="413"/>
      <c r="C1141" s="414"/>
      <c r="D1141" s="414"/>
      <c r="E1141" s="50"/>
      <c r="F1141" s="403">
        <v>3663</v>
      </c>
      <c r="G1141" s="406">
        <v>23233</v>
      </c>
      <c r="H1141" s="50"/>
      <c r="I1141" s="50"/>
      <c r="J1141" s="306"/>
    </row>
    <row r="1142" spans="2:10">
      <c r="B1142" s="413"/>
      <c r="C1142" s="414"/>
      <c r="D1142" s="414"/>
      <c r="E1142" s="50"/>
      <c r="F1142" s="403">
        <v>3664</v>
      </c>
      <c r="G1142" s="406">
        <v>23389</v>
      </c>
      <c r="H1142" s="50"/>
      <c r="I1142" s="50"/>
      <c r="J1142" s="306"/>
    </row>
    <row r="1143" spans="2:10">
      <c r="B1143" s="413"/>
      <c r="C1143" s="414"/>
      <c r="D1143" s="414"/>
      <c r="E1143" s="50"/>
      <c r="F1143" s="403">
        <v>3665</v>
      </c>
      <c r="G1143" s="406">
        <v>23017</v>
      </c>
      <c r="H1143" s="50"/>
      <c r="I1143" s="50"/>
      <c r="J1143" s="306"/>
    </row>
    <row r="1144" spans="2:10">
      <c r="B1144" s="413"/>
      <c r="C1144" s="414"/>
      <c r="D1144" s="414"/>
      <c r="E1144" s="50"/>
      <c r="F1144" s="403">
        <v>3666</v>
      </c>
      <c r="G1144" s="406">
        <v>22788</v>
      </c>
      <c r="H1144" s="50"/>
      <c r="I1144" s="50"/>
      <c r="J1144" s="306"/>
    </row>
    <row r="1145" spans="2:10">
      <c r="B1145" s="413"/>
      <c r="C1145" s="414"/>
      <c r="D1145" s="414"/>
      <c r="E1145" s="50"/>
      <c r="F1145" s="403">
        <v>3669</v>
      </c>
      <c r="G1145" s="406">
        <v>17957</v>
      </c>
      <c r="H1145" s="50"/>
      <c r="I1145" s="50"/>
      <c r="J1145" s="306"/>
    </row>
    <row r="1146" spans="2:10">
      <c r="B1146" s="413"/>
      <c r="C1146" s="414"/>
      <c r="D1146" s="414"/>
      <c r="E1146" s="50"/>
      <c r="F1146" s="403">
        <v>3670</v>
      </c>
      <c r="G1146" s="406">
        <v>17324</v>
      </c>
      <c r="H1146" s="50"/>
      <c r="I1146" s="50"/>
      <c r="J1146" s="306"/>
    </row>
    <row r="1147" spans="2:10">
      <c r="B1147" s="413"/>
      <c r="C1147" s="414"/>
      <c r="D1147" s="414"/>
      <c r="E1147" s="50"/>
      <c r="F1147" s="403">
        <v>3672</v>
      </c>
      <c r="G1147" s="406">
        <v>21148</v>
      </c>
      <c r="H1147" s="50"/>
      <c r="I1147" s="50"/>
      <c r="J1147" s="306"/>
    </row>
    <row r="1148" spans="2:10">
      <c r="B1148" s="413"/>
      <c r="C1148" s="414"/>
      <c r="D1148" s="414"/>
      <c r="E1148" s="50"/>
      <c r="F1148" s="403">
        <v>3673</v>
      </c>
      <c r="G1148" s="406">
        <v>21148</v>
      </c>
      <c r="H1148" s="50"/>
      <c r="I1148" s="50"/>
      <c r="J1148" s="306"/>
    </row>
    <row r="1149" spans="2:10">
      <c r="B1149" s="413"/>
      <c r="C1149" s="414"/>
      <c r="D1149" s="414"/>
      <c r="E1149" s="50"/>
      <c r="F1149" s="403">
        <v>3675</v>
      </c>
      <c r="G1149" s="406">
        <v>20664</v>
      </c>
      <c r="H1149" s="50"/>
      <c r="I1149" s="50"/>
      <c r="J1149" s="306"/>
    </row>
    <row r="1150" spans="2:10">
      <c r="B1150" s="413"/>
      <c r="C1150" s="414"/>
      <c r="D1150" s="414"/>
      <c r="E1150" s="50"/>
      <c r="F1150" s="403">
        <v>3677</v>
      </c>
      <c r="G1150" s="406">
        <v>20070</v>
      </c>
      <c r="H1150" s="50"/>
      <c r="I1150" s="50"/>
      <c r="J1150" s="306"/>
    </row>
    <row r="1151" spans="2:10">
      <c r="B1151" s="413"/>
      <c r="C1151" s="414"/>
      <c r="D1151" s="414"/>
      <c r="E1151" s="50"/>
      <c r="F1151" s="403">
        <v>3678</v>
      </c>
      <c r="G1151" s="406">
        <v>19764</v>
      </c>
      <c r="H1151" s="50"/>
      <c r="I1151" s="50"/>
      <c r="J1151" s="306"/>
    </row>
    <row r="1152" spans="2:10">
      <c r="B1152" s="413"/>
      <c r="C1152" s="414"/>
      <c r="D1152" s="414"/>
      <c r="E1152" s="50"/>
      <c r="F1152" s="403">
        <v>3682</v>
      </c>
      <c r="G1152" s="406">
        <v>18429</v>
      </c>
      <c r="H1152" s="50"/>
      <c r="I1152" s="50"/>
      <c r="J1152" s="306"/>
    </row>
    <row r="1153" spans="2:10">
      <c r="B1153" s="413"/>
      <c r="C1153" s="414"/>
      <c r="D1153" s="414"/>
      <c r="E1153" s="50"/>
      <c r="F1153" s="403">
        <v>3683</v>
      </c>
      <c r="G1153" s="406">
        <v>14273</v>
      </c>
      <c r="H1153" s="50"/>
      <c r="I1153" s="50"/>
      <c r="J1153" s="306"/>
    </row>
    <row r="1154" spans="2:10">
      <c r="B1154" s="413"/>
      <c r="C1154" s="414"/>
      <c r="D1154" s="414"/>
      <c r="E1154" s="50"/>
      <c r="F1154" s="403">
        <v>3685</v>
      </c>
      <c r="G1154" s="406">
        <v>14272</v>
      </c>
      <c r="H1154" s="50"/>
      <c r="I1154" s="50"/>
      <c r="J1154" s="306"/>
    </row>
    <row r="1155" spans="2:10">
      <c r="B1155" s="413"/>
      <c r="C1155" s="414"/>
      <c r="D1155" s="414"/>
      <c r="E1155" s="50"/>
      <c r="F1155" s="403">
        <v>3687</v>
      </c>
      <c r="G1155" s="406">
        <v>14272</v>
      </c>
      <c r="H1155" s="50"/>
      <c r="I1155" s="50"/>
      <c r="J1155" s="306"/>
    </row>
    <row r="1156" spans="2:10">
      <c r="B1156" s="413"/>
      <c r="C1156" s="414"/>
      <c r="D1156" s="414"/>
      <c r="E1156" s="50"/>
      <c r="F1156" s="403">
        <v>3688</v>
      </c>
      <c r="G1156" s="406">
        <v>14180</v>
      </c>
      <c r="H1156" s="50"/>
      <c r="I1156" s="50"/>
      <c r="J1156" s="306"/>
    </row>
    <row r="1157" spans="2:10">
      <c r="B1157" s="413"/>
      <c r="C1157" s="414"/>
      <c r="D1157" s="414"/>
      <c r="E1157" s="50"/>
      <c r="F1157" s="403">
        <v>3690</v>
      </c>
      <c r="G1157" s="406">
        <v>14174</v>
      </c>
      <c r="H1157" s="50"/>
      <c r="I1157" s="50"/>
      <c r="J1157" s="306"/>
    </row>
    <row r="1158" spans="2:10">
      <c r="B1158" s="413"/>
      <c r="C1158" s="414"/>
      <c r="D1158" s="414"/>
      <c r="E1158" s="50"/>
      <c r="F1158" s="403">
        <v>3691</v>
      </c>
      <c r="G1158" s="406">
        <v>14172</v>
      </c>
      <c r="H1158" s="50"/>
      <c r="I1158" s="50"/>
      <c r="J1158" s="306"/>
    </row>
    <row r="1159" spans="2:10">
      <c r="B1159" s="413"/>
      <c r="C1159" s="414"/>
      <c r="D1159" s="414"/>
      <c r="E1159" s="50"/>
      <c r="F1159" s="403">
        <v>3694</v>
      </c>
      <c r="G1159" s="406">
        <v>14172</v>
      </c>
      <c r="H1159" s="50"/>
      <c r="I1159" s="50"/>
      <c r="J1159" s="306"/>
    </row>
    <row r="1160" spans="2:10">
      <c r="B1160" s="413"/>
      <c r="C1160" s="414"/>
      <c r="D1160" s="414"/>
      <c r="E1160" s="50"/>
      <c r="F1160" s="403">
        <v>3695</v>
      </c>
      <c r="G1160" s="406">
        <v>14696</v>
      </c>
      <c r="H1160" s="50"/>
      <c r="I1160" s="50"/>
      <c r="J1160" s="306"/>
    </row>
    <row r="1161" spans="2:10">
      <c r="B1161" s="413"/>
      <c r="C1161" s="414"/>
      <c r="D1161" s="414"/>
      <c r="E1161" s="50"/>
      <c r="F1161" s="403">
        <v>3697</v>
      </c>
      <c r="G1161" s="406">
        <v>17383</v>
      </c>
      <c r="H1161" s="50"/>
      <c r="I1161" s="50"/>
      <c r="J1161" s="306"/>
    </row>
    <row r="1162" spans="2:10">
      <c r="B1162" s="413"/>
      <c r="C1162" s="414"/>
      <c r="D1162" s="414"/>
      <c r="E1162" s="50"/>
      <c r="F1162" s="403">
        <v>3698</v>
      </c>
      <c r="G1162" s="406">
        <v>18431</v>
      </c>
      <c r="H1162" s="50"/>
      <c r="I1162" s="50"/>
      <c r="J1162" s="306"/>
    </row>
    <row r="1163" spans="2:10">
      <c r="B1163" s="413"/>
      <c r="C1163" s="414"/>
      <c r="D1163" s="414"/>
      <c r="E1163" s="50"/>
      <c r="F1163" s="403">
        <v>3699</v>
      </c>
      <c r="G1163" s="406">
        <v>18187</v>
      </c>
      <c r="H1163" s="50"/>
      <c r="I1163" s="50"/>
      <c r="J1163" s="306"/>
    </row>
    <row r="1164" spans="2:10">
      <c r="B1164" s="413"/>
      <c r="C1164" s="414"/>
      <c r="D1164" s="414"/>
      <c r="E1164" s="50"/>
      <c r="F1164" s="403">
        <v>3700</v>
      </c>
      <c r="G1164" s="406">
        <v>14169</v>
      </c>
      <c r="H1164" s="50"/>
      <c r="I1164" s="50"/>
      <c r="J1164" s="306"/>
    </row>
    <row r="1165" spans="2:10">
      <c r="B1165" s="413"/>
      <c r="C1165" s="414"/>
      <c r="D1165" s="414"/>
      <c r="E1165" s="50"/>
      <c r="F1165" s="403">
        <v>3701</v>
      </c>
      <c r="G1165" s="406">
        <v>14335</v>
      </c>
      <c r="H1165" s="50"/>
      <c r="I1165" s="50"/>
      <c r="J1165" s="306"/>
    </row>
    <row r="1166" spans="2:10">
      <c r="B1166" s="413"/>
      <c r="C1166" s="414"/>
      <c r="D1166" s="414"/>
      <c r="E1166" s="50"/>
      <c r="F1166" s="403">
        <v>3704</v>
      </c>
      <c r="G1166" s="406">
        <v>14072</v>
      </c>
      <c r="H1166" s="50"/>
      <c r="I1166" s="50"/>
      <c r="J1166" s="306"/>
    </row>
    <row r="1167" spans="2:10">
      <c r="B1167" s="413"/>
      <c r="C1167" s="414"/>
      <c r="D1167" s="414"/>
      <c r="E1167" s="50"/>
      <c r="F1167" s="403">
        <v>3705</v>
      </c>
      <c r="G1167" s="406">
        <v>12414</v>
      </c>
      <c r="H1167" s="50"/>
      <c r="I1167" s="50"/>
      <c r="J1167" s="306"/>
    </row>
    <row r="1168" spans="2:10">
      <c r="B1168" s="413"/>
      <c r="C1168" s="414"/>
      <c r="D1168" s="414"/>
      <c r="E1168" s="50"/>
      <c r="F1168" s="403">
        <v>3707</v>
      </c>
      <c r="G1168" s="406">
        <v>12095</v>
      </c>
      <c r="H1168" s="50"/>
      <c r="I1168" s="50"/>
      <c r="J1168" s="306"/>
    </row>
    <row r="1169" spans="2:10">
      <c r="B1169" s="413"/>
      <c r="C1169" s="414"/>
      <c r="D1169" s="414"/>
      <c r="E1169" s="50"/>
      <c r="F1169" s="403">
        <v>3708</v>
      </c>
      <c r="G1169" s="406">
        <v>12352</v>
      </c>
      <c r="H1169" s="50"/>
      <c r="I1169" s="50"/>
      <c r="J1169" s="306"/>
    </row>
    <row r="1170" spans="2:10">
      <c r="B1170" s="413"/>
      <c r="C1170" s="414"/>
      <c r="D1170" s="414"/>
      <c r="E1170" s="50"/>
      <c r="F1170" s="403">
        <v>3709</v>
      </c>
      <c r="G1170" s="406">
        <v>12993</v>
      </c>
      <c r="H1170" s="50"/>
      <c r="I1170" s="50"/>
      <c r="J1170" s="306"/>
    </row>
    <row r="1171" spans="2:10">
      <c r="B1171" s="413"/>
      <c r="C1171" s="414"/>
      <c r="D1171" s="414"/>
      <c r="E1171" s="50"/>
      <c r="F1171" s="403">
        <v>3711</v>
      </c>
      <c r="G1171" s="406">
        <v>15751</v>
      </c>
      <c r="H1171" s="50"/>
      <c r="I1171" s="50"/>
      <c r="J1171" s="306"/>
    </row>
    <row r="1172" spans="2:10">
      <c r="B1172" s="413"/>
      <c r="C1172" s="414"/>
      <c r="D1172" s="414"/>
      <c r="E1172" s="50"/>
      <c r="F1172" s="403">
        <v>3712</v>
      </c>
      <c r="G1172" s="406">
        <v>17417</v>
      </c>
      <c r="H1172" s="50"/>
      <c r="I1172" s="50"/>
      <c r="J1172" s="306"/>
    </row>
    <row r="1173" spans="2:10">
      <c r="B1173" s="413"/>
      <c r="C1173" s="414"/>
      <c r="D1173" s="414"/>
      <c r="E1173" s="50"/>
      <c r="F1173" s="403">
        <v>3713</v>
      </c>
      <c r="G1173" s="406">
        <v>15980</v>
      </c>
      <c r="H1173" s="50"/>
      <c r="I1173" s="50"/>
      <c r="J1173" s="306"/>
    </row>
    <row r="1174" spans="2:10">
      <c r="B1174" s="413"/>
      <c r="C1174" s="414"/>
      <c r="D1174" s="414"/>
      <c r="E1174" s="50"/>
      <c r="F1174" s="403">
        <v>3714</v>
      </c>
      <c r="G1174" s="406">
        <v>17524</v>
      </c>
      <c r="H1174" s="50"/>
      <c r="I1174" s="50"/>
      <c r="J1174" s="306"/>
    </row>
    <row r="1175" spans="2:10">
      <c r="B1175" s="413"/>
      <c r="C1175" s="414"/>
      <c r="D1175" s="414"/>
      <c r="E1175" s="50"/>
      <c r="F1175" s="403">
        <v>3715</v>
      </c>
      <c r="G1175" s="406">
        <v>21289</v>
      </c>
      <c r="H1175" s="50"/>
      <c r="I1175" s="50"/>
      <c r="J1175" s="306"/>
    </row>
    <row r="1176" spans="2:10">
      <c r="B1176" s="413"/>
      <c r="C1176" s="414"/>
      <c r="D1176" s="414"/>
      <c r="E1176" s="50"/>
      <c r="F1176" s="403">
        <v>3717</v>
      </c>
      <c r="G1176" s="406">
        <v>18668</v>
      </c>
      <c r="H1176" s="50"/>
      <c r="I1176" s="50"/>
      <c r="J1176" s="306"/>
    </row>
    <row r="1177" spans="2:10">
      <c r="B1177" s="413"/>
      <c r="C1177" s="414"/>
      <c r="D1177" s="414"/>
      <c r="E1177" s="50"/>
      <c r="F1177" s="403">
        <v>3718</v>
      </c>
      <c r="G1177" s="406">
        <v>22088</v>
      </c>
      <c r="H1177" s="50"/>
      <c r="I1177" s="50"/>
      <c r="J1177" s="306"/>
    </row>
    <row r="1178" spans="2:10">
      <c r="B1178" s="413"/>
      <c r="C1178" s="414"/>
      <c r="D1178" s="414"/>
      <c r="E1178" s="50"/>
      <c r="F1178" s="403">
        <v>3719</v>
      </c>
      <c r="G1178" s="406">
        <v>21289</v>
      </c>
      <c r="H1178" s="50"/>
      <c r="I1178" s="50"/>
      <c r="J1178" s="306"/>
    </row>
    <row r="1179" spans="2:10">
      <c r="B1179" s="413"/>
      <c r="C1179" s="414"/>
      <c r="D1179" s="414"/>
      <c r="E1179" s="50"/>
      <c r="F1179" s="403">
        <v>3720</v>
      </c>
      <c r="G1179" s="406">
        <v>15632</v>
      </c>
      <c r="H1179" s="50"/>
      <c r="I1179" s="50"/>
      <c r="J1179" s="306"/>
    </row>
    <row r="1180" spans="2:10">
      <c r="B1180" s="413"/>
      <c r="C1180" s="414"/>
      <c r="D1180" s="414"/>
      <c r="E1180" s="50"/>
      <c r="F1180" s="403">
        <v>3722</v>
      </c>
      <c r="G1180" s="406">
        <v>15754</v>
      </c>
      <c r="H1180" s="50"/>
      <c r="I1180" s="50"/>
      <c r="J1180" s="306"/>
    </row>
    <row r="1181" spans="2:10">
      <c r="B1181" s="413"/>
      <c r="C1181" s="414"/>
      <c r="D1181" s="414"/>
      <c r="E1181" s="50"/>
      <c r="F1181" s="403">
        <v>3723</v>
      </c>
      <c r="G1181" s="406">
        <v>15594</v>
      </c>
      <c r="H1181" s="50"/>
      <c r="I1181" s="50"/>
      <c r="J1181" s="306"/>
    </row>
    <row r="1182" spans="2:10">
      <c r="B1182" s="413"/>
      <c r="C1182" s="414"/>
      <c r="D1182" s="414"/>
      <c r="E1182" s="50"/>
      <c r="F1182" s="403">
        <v>3725</v>
      </c>
      <c r="G1182" s="406">
        <v>21336</v>
      </c>
      <c r="H1182" s="50"/>
      <c r="I1182" s="50"/>
      <c r="J1182" s="306"/>
    </row>
    <row r="1183" spans="2:10">
      <c r="B1183" s="413"/>
      <c r="C1183" s="414"/>
      <c r="D1183" s="414"/>
      <c r="E1183" s="50"/>
      <c r="F1183" s="403">
        <v>3726</v>
      </c>
      <c r="G1183" s="406">
        <v>21006</v>
      </c>
      <c r="H1183" s="50"/>
      <c r="I1183" s="50"/>
      <c r="J1183" s="306"/>
    </row>
    <row r="1184" spans="2:10">
      <c r="B1184" s="413"/>
      <c r="C1184" s="414"/>
      <c r="D1184" s="414"/>
      <c r="E1184" s="50"/>
      <c r="F1184" s="403">
        <v>3727</v>
      </c>
      <c r="G1184" s="406">
        <v>19602</v>
      </c>
      <c r="H1184" s="50"/>
      <c r="I1184" s="50"/>
      <c r="J1184" s="306"/>
    </row>
    <row r="1185" spans="2:10">
      <c r="B1185" s="413"/>
      <c r="C1185" s="414"/>
      <c r="D1185" s="414"/>
      <c r="E1185" s="50"/>
      <c r="F1185" s="403">
        <v>3728</v>
      </c>
      <c r="G1185" s="406">
        <v>16728</v>
      </c>
      <c r="H1185" s="50"/>
      <c r="I1185" s="50"/>
      <c r="J1185" s="306"/>
    </row>
    <row r="1186" spans="2:10">
      <c r="B1186" s="413"/>
      <c r="C1186" s="414"/>
      <c r="D1186" s="414"/>
      <c r="E1186" s="50"/>
      <c r="F1186" s="403">
        <v>3730</v>
      </c>
      <c r="G1186" s="406">
        <v>16728</v>
      </c>
      <c r="H1186" s="50"/>
      <c r="I1186" s="50"/>
      <c r="J1186" s="306"/>
    </row>
    <row r="1187" spans="2:10">
      <c r="B1187" s="413"/>
      <c r="C1187" s="414"/>
      <c r="D1187" s="414"/>
      <c r="E1187" s="50"/>
      <c r="F1187" s="403">
        <v>3732</v>
      </c>
      <c r="G1187" s="406">
        <v>20272</v>
      </c>
      <c r="H1187" s="50"/>
      <c r="I1187" s="50"/>
      <c r="J1187" s="306"/>
    </row>
    <row r="1188" spans="2:10">
      <c r="B1188" s="413"/>
      <c r="C1188" s="414"/>
      <c r="D1188" s="414"/>
      <c r="E1188" s="50"/>
      <c r="F1188" s="403">
        <v>3733</v>
      </c>
      <c r="G1188" s="406">
        <v>18323</v>
      </c>
      <c r="H1188" s="50"/>
      <c r="I1188" s="50"/>
      <c r="J1188" s="306"/>
    </row>
    <row r="1189" spans="2:10">
      <c r="B1189" s="413"/>
      <c r="C1189" s="414"/>
      <c r="D1189" s="414"/>
      <c r="E1189" s="50"/>
      <c r="F1189" s="403">
        <v>3735</v>
      </c>
      <c r="G1189" s="406">
        <v>17888</v>
      </c>
      <c r="H1189" s="50"/>
      <c r="I1189" s="50"/>
      <c r="J1189" s="306"/>
    </row>
    <row r="1190" spans="2:10">
      <c r="B1190" s="413"/>
      <c r="C1190" s="414"/>
      <c r="D1190" s="414"/>
      <c r="E1190" s="50"/>
      <c r="F1190" s="403">
        <v>3737</v>
      </c>
      <c r="G1190" s="406">
        <v>19610</v>
      </c>
      <c r="H1190" s="50"/>
      <c r="I1190" s="50"/>
      <c r="J1190" s="306"/>
    </row>
    <row r="1191" spans="2:10">
      <c r="B1191" s="413"/>
      <c r="C1191" s="414"/>
      <c r="D1191" s="414"/>
      <c r="E1191" s="50"/>
      <c r="F1191" s="403">
        <v>3738</v>
      </c>
      <c r="G1191" s="406">
        <v>19117</v>
      </c>
      <c r="H1191" s="50"/>
      <c r="I1191" s="50"/>
      <c r="J1191" s="306"/>
    </row>
    <row r="1192" spans="2:10">
      <c r="B1192" s="413"/>
      <c r="C1192" s="414"/>
      <c r="D1192" s="414"/>
      <c r="E1192" s="50"/>
      <c r="F1192" s="403">
        <v>3739</v>
      </c>
      <c r="G1192" s="406">
        <v>19117</v>
      </c>
      <c r="H1192" s="50"/>
      <c r="I1192" s="50"/>
      <c r="J1192" s="306"/>
    </row>
    <row r="1193" spans="2:10">
      <c r="B1193" s="413"/>
      <c r="C1193" s="414"/>
      <c r="D1193" s="414"/>
      <c r="E1193" s="50"/>
      <c r="F1193" s="403">
        <v>3740</v>
      </c>
      <c r="G1193" s="406">
        <v>19176</v>
      </c>
      <c r="H1193" s="50"/>
      <c r="I1193" s="50"/>
      <c r="J1193" s="306"/>
    </row>
    <row r="1194" spans="2:10">
      <c r="B1194" s="413"/>
      <c r="C1194" s="414"/>
      <c r="D1194" s="414"/>
      <c r="E1194" s="50"/>
      <c r="F1194" s="403">
        <v>3741</v>
      </c>
      <c r="G1194" s="406">
        <v>18966</v>
      </c>
      <c r="H1194" s="50"/>
      <c r="I1194" s="50"/>
      <c r="J1194" s="306"/>
    </row>
    <row r="1195" spans="2:10">
      <c r="B1195" s="413"/>
      <c r="C1195" s="414"/>
      <c r="D1195" s="414"/>
      <c r="E1195" s="50"/>
      <c r="F1195" s="403">
        <v>3744</v>
      </c>
      <c r="G1195" s="406">
        <v>18431</v>
      </c>
      <c r="H1195" s="50"/>
      <c r="I1195" s="50"/>
      <c r="J1195" s="306"/>
    </row>
    <row r="1196" spans="2:10">
      <c r="B1196" s="413"/>
      <c r="C1196" s="414"/>
      <c r="D1196" s="414"/>
      <c r="E1196" s="50"/>
      <c r="F1196" s="403">
        <v>3746</v>
      </c>
      <c r="G1196" s="406">
        <v>18081</v>
      </c>
      <c r="H1196" s="50"/>
      <c r="I1196" s="50"/>
      <c r="J1196" s="306"/>
    </row>
    <row r="1197" spans="2:10">
      <c r="B1197" s="413"/>
      <c r="C1197" s="414"/>
      <c r="D1197" s="414"/>
      <c r="E1197" s="50"/>
      <c r="F1197" s="403">
        <v>3747</v>
      </c>
      <c r="G1197" s="406">
        <v>15473</v>
      </c>
      <c r="H1197" s="50"/>
      <c r="I1197" s="50"/>
      <c r="J1197" s="306"/>
    </row>
    <row r="1198" spans="2:10">
      <c r="B1198" s="413"/>
      <c r="C1198" s="414"/>
      <c r="D1198" s="414"/>
      <c r="E1198" s="50"/>
      <c r="F1198" s="403">
        <v>3749</v>
      </c>
      <c r="G1198" s="406">
        <v>14272</v>
      </c>
      <c r="H1198" s="50"/>
      <c r="I1198" s="50"/>
      <c r="J1198" s="306"/>
    </row>
    <row r="1199" spans="2:10">
      <c r="B1199" s="413"/>
      <c r="C1199" s="414"/>
      <c r="D1199" s="414"/>
      <c r="E1199" s="50"/>
      <c r="F1199" s="403">
        <v>3750</v>
      </c>
      <c r="G1199" s="406">
        <v>15389</v>
      </c>
      <c r="H1199" s="50"/>
      <c r="I1199" s="50"/>
      <c r="J1199" s="306"/>
    </row>
    <row r="1200" spans="2:10">
      <c r="B1200" s="413"/>
      <c r="C1200" s="414"/>
      <c r="D1200" s="414"/>
      <c r="E1200" s="50"/>
      <c r="F1200" s="403">
        <v>3751</v>
      </c>
      <c r="G1200" s="406">
        <v>16150</v>
      </c>
      <c r="H1200" s="50"/>
      <c r="I1200" s="50"/>
      <c r="J1200" s="306"/>
    </row>
    <row r="1201" spans="2:10">
      <c r="B1201" s="413"/>
      <c r="C1201" s="414"/>
      <c r="D1201" s="414"/>
      <c r="E1201" s="50"/>
      <c r="F1201" s="403">
        <v>3752</v>
      </c>
      <c r="G1201" s="406">
        <v>15975</v>
      </c>
      <c r="H1201" s="50"/>
      <c r="I1201" s="50"/>
      <c r="J1201" s="306"/>
    </row>
    <row r="1202" spans="2:10">
      <c r="B1202" s="413"/>
      <c r="C1202" s="414"/>
      <c r="D1202" s="414"/>
      <c r="E1202" s="50"/>
      <c r="F1202" s="403">
        <v>3753</v>
      </c>
      <c r="G1202" s="406">
        <v>17764</v>
      </c>
      <c r="H1202" s="50"/>
      <c r="I1202" s="50"/>
      <c r="J1202" s="306"/>
    </row>
    <row r="1203" spans="2:10">
      <c r="B1203" s="413"/>
      <c r="C1203" s="414"/>
      <c r="D1203" s="414"/>
      <c r="E1203" s="50"/>
      <c r="F1203" s="403">
        <v>3754</v>
      </c>
      <c r="G1203" s="406">
        <v>16410</v>
      </c>
      <c r="H1203" s="50"/>
      <c r="I1203" s="50"/>
      <c r="J1203" s="306"/>
    </row>
    <row r="1204" spans="2:10">
      <c r="B1204" s="413"/>
      <c r="C1204" s="414"/>
      <c r="D1204" s="414"/>
      <c r="E1204" s="50"/>
      <c r="F1204" s="403">
        <v>3755</v>
      </c>
      <c r="G1204" s="406">
        <v>16487</v>
      </c>
      <c r="H1204" s="50"/>
      <c r="I1204" s="50"/>
      <c r="J1204" s="306"/>
    </row>
    <row r="1205" spans="2:10">
      <c r="B1205" s="413"/>
      <c r="C1205" s="414"/>
      <c r="D1205" s="414"/>
      <c r="E1205" s="50"/>
      <c r="F1205" s="403">
        <v>3756</v>
      </c>
      <c r="G1205" s="406">
        <v>20294</v>
      </c>
      <c r="H1205" s="50"/>
      <c r="I1205" s="50"/>
      <c r="J1205" s="306"/>
    </row>
    <row r="1206" spans="2:10">
      <c r="B1206" s="413"/>
      <c r="C1206" s="414"/>
      <c r="D1206" s="414"/>
      <c r="E1206" s="50"/>
      <c r="F1206" s="403">
        <v>3757</v>
      </c>
      <c r="G1206" s="406">
        <v>16435</v>
      </c>
      <c r="H1206" s="50"/>
      <c r="I1206" s="50"/>
      <c r="J1206" s="306"/>
    </row>
    <row r="1207" spans="2:10">
      <c r="B1207" s="413"/>
      <c r="C1207" s="414"/>
      <c r="D1207" s="414"/>
      <c r="E1207" s="50"/>
      <c r="F1207" s="403">
        <v>3758</v>
      </c>
      <c r="G1207" s="406">
        <v>19162</v>
      </c>
      <c r="H1207" s="50"/>
      <c r="I1207" s="50"/>
      <c r="J1207" s="306"/>
    </row>
    <row r="1208" spans="2:10">
      <c r="B1208" s="413"/>
      <c r="C1208" s="414"/>
      <c r="D1208" s="414"/>
      <c r="E1208" s="50"/>
      <c r="F1208" s="403">
        <v>3759</v>
      </c>
      <c r="G1208" s="406">
        <v>16635</v>
      </c>
      <c r="H1208" s="50"/>
      <c r="I1208" s="50"/>
      <c r="J1208" s="306"/>
    </row>
    <row r="1209" spans="2:10">
      <c r="B1209" s="413"/>
      <c r="C1209" s="414"/>
      <c r="D1209" s="414"/>
      <c r="E1209" s="50"/>
      <c r="F1209" s="403">
        <v>3760</v>
      </c>
      <c r="G1209" s="406">
        <v>16565</v>
      </c>
      <c r="H1209" s="50"/>
      <c r="I1209" s="50"/>
      <c r="J1209" s="306"/>
    </row>
    <row r="1210" spans="2:10">
      <c r="B1210" s="413"/>
      <c r="C1210" s="414"/>
      <c r="D1210" s="414"/>
      <c r="E1210" s="50"/>
      <c r="F1210" s="403">
        <v>3761</v>
      </c>
      <c r="G1210" s="406">
        <v>16449</v>
      </c>
      <c r="H1210" s="50"/>
      <c r="I1210" s="50"/>
      <c r="J1210" s="306"/>
    </row>
    <row r="1211" spans="2:10">
      <c r="B1211" s="413"/>
      <c r="C1211" s="414"/>
      <c r="D1211" s="414"/>
      <c r="E1211" s="50"/>
      <c r="F1211" s="403">
        <v>3762</v>
      </c>
      <c r="G1211" s="406">
        <v>21911</v>
      </c>
      <c r="H1211" s="50"/>
      <c r="I1211" s="50"/>
      <c r="J1211" s="306"/>
    </row>
    <row r="1212" spans="2:10">
      <c r="B1212" s="413"/>
      <c r="C1212" s="414"/>
      <c r="D1212" s="414"/>
      <c r="E1212" s="50"/>
      <c r="F1212" s="403">
        <v>3763</v>
      </c>
      <c r="G1212" s="406">
        <v>16375</v>
      </c>
      <c r="H1212" s="50"/>
      <c r="I1212" s="50"/>
      <c r="J1212" s="306"/>
    </row>
    <row r="1213" spans="2:10">
      <c r="B1213" s="413"/>
      <c r="C1213" s="414"/>
      <c r="D1213" s="414"/>
      <c r="E1213" s="50"/>
      <c r="F1213" s="403">
        <v>3764</v>
      </c>
      <c r="G1213" s="406">
        <v>23682</v>
      </c>
      <c r="H1213" s="50"/>
      <c r="I1213" s="50"/>
      <c r="J1213" s="306"/>
    </row>
    <row r="1214" spans="2:10">
      <c r="B1214" s="413"/>
      <c r="C1214" s="414"/>
      <c r="D1214" s="414"/>
      <c r="E1214" s="50"/>
      <c r="F1214" s="403">
        <v>3765</v>
      </c>
      <c r="G1214" s="406">
        <v>12496</v>
      </c>
      <c r="H1214" s="50"/>
      <c r="I1214" s="50"/>
      <c r="J1214" s="306"/>
    </row>
    <row r="1215" spans="2:10">
      <c r="B1215" s="413"/>
      <c r="C1215" s="414"/>
      <c r="D1215" s="414"/>
      <c r="E1215" s="50"/>
      <c r="F1215" s="403">
        <v>3766</v>
      </c>
      <c r="G1215" s="406">
        <v>13014</v>
      </c>
      <c r="H1215" s="50"/>
      <c r="I1215" s="50"/>
      <c r="J1215" s="306"/>
    </row>
    <row r="1216" spans="2:10">
      <c r="B1216" s="413"/>
      <c r="C1216" s="414"/>
      <c r="D1216" s="414"/>
      <c r="E1216" s="50"/>
      <c r="F1216" s="403">
        <v>3767</v>
      </c>
      <c r="G1216" s="406">
        <v>12343</v>
      </c>
      <c r="H1216" s="50"/>
      <c r="I1216" s="50"/>
      <c r="J1216" s="306"/>
    </row>
    <row r="1217" spans="2:10">
      <c r="B1217" s="413"/>
      <c r="C1217" s="414"/>
      <c r="D1217" s="414"/>
      <c r="E1217" s="50"/>
      <c r="F1217" s="403">
        <v>3770</v>
      </c>
      <c r="G1217" s="406">
        <v>13275</v>
      </c>
      <c r="H1217" s="50"/>
      <c r="I1217" s="50"/>
      <c r="J1217" s="306"/>
    </row>
    <row r="1218" spans="2:10">
      <c r="B1218" s="413"/>
      <c r="C1218" s="414"/>
      <c r="D1218" s="414"/>
      <c r="E1218" s="50"/>
      <c r="F1218" s="403">
        <v>3775</v>
      </c>
      <c r="G1218" s="406">
        <v>14835</v>
      </c>
      <c r="H1218" s="50"/>
      <c r="I1218" s="50"/>
      <c r="J1218" s="306"/>
    </row>
    <row r="1219" spans="2:10">
      <c r="B1219" s="413"/>
      <c r="C1219" s="414"/>
      <c r="D1219" s="414"/>
      <c r="E1219" s="50"/>
      <c r="F1219" s="403">
        <v>3777</v>
      </c>
      <c r="G1219" s="406">
        <v>15069</v>
      </c>
      <c r="H1219" s="50"/>
      <c r="I1219" s="50"/>
      <c r="J1219" s="306"/>
    </row>
    <row r="1220" spans="2:10">
      <c r="B1220" s="413"/>
      <c r="C1220" s="414"/>
      <c r="D1220" s="414"/>
      <c r="E1220" s="50"/>
      <c r="F1220" s="403">
        <v>3778</v>
      </c>
      <c r="G1220" s="406">
        <v>15982</v>
      </c>
      <c r="H1220" s="50"/>
      <c r="I1220" s="50"/>
      <c r="J1220" s="306"/>
    </row>
    <row r="1221" spans="2:10">
      <c r="B1221" s="413"/>
      <c r="C1221" s="414"/>
      <c r="D1221" s="414"/>
      <c r="E1221" s="50"/>
      <c r="F1221" s="403">
        <v>3779</v>
      </c>
      <c r="G1221" s="406">
        <v>16542</v>
      </c>
      <c r="H1221" s="50"/>
      <c r="I1221" s="50"/>
      <c r="J1221" s="306"/>
    </row>
    <row r="1222" spans="2:10">
      <c r="B1222" s="413"/>
      <c r="C1222" s="414"/>
      <c r="D1222" s="414"/>
      <c r="E1222" s="50"/>
      <c r="F1222" s="403">
        <v>3781</v>
      </c>
      <c r="G1222" s="406">
        <v>15902</v>
      </c>
      <c r="H1222" s="50"/>
      <c r="I1222" s="50"/>
      <c r="J1222" s="306"/>
    </row>
    <row r="1223" spans="2:10">
      <c r="B1223" s="413"/>
      <c r="C1223" s="414"/>
      <c r="D1223" s="414"/>
      <c r="E1223" s="50"/>
      <c r="F1223" s="403">
        <v>3782</v>
      </c>
      <c r="G1223" s="406">
        <v>14115</v>
      </c>
      <c r="H1223" s="50"/>
      <c r="I1223" s="50"/>
      <c r="J1223" s="306"/>
    </row>
    <row r="1224" spans="2:10">
      <c r="B1224" s="413"/>
      <c r="C1224" s="414"/>
      <c r="D1224" s="414"/>
      <c r="E1224" s="50"/>
      <c r="F1224" s="403">
        <v>3783</v>
      </c>
      <c r="G1224" s="406">
        <v>17653</v>
      </c>
      <c r="H1224" s="50"/>
      <c r="I1224" s="50"/>
      <c r="J1224" s="306"/>
    </row>
    <row r="1225" spans="2:10">
      <c r="B1225" s="413"/>
      <c r="C1225" s="414"/>
      <c r="D1225" s="414"/>
      <c r="E1225" s="50"/>
      <c r="F1225" s="403">
        <v>3785</v>
      </c>
      <c r="G1225" s="406">
        <v>13142</v>
      </c>
      <c r="H1225" s="50"/>
      <c r="I1225" s="50"/>
      <c r="J1225" s="306"/>
    </row>
    <row r="1226" spans="2:10">
      <c r="B1226" s="413"/>
      <c r="C1226" s="414"/>
      <c r="D1226" s="414"/>
      <c r="E1226" s="50"/>
      <c r="F1226" s="403">
        <v>3786</v>
      </c>
      <c r="G1226" s="406">
        <v>13142</v>
      </c>
      <c r="H1226" s="50"/>
      <c r="I1226" s="50"/>
      <c r="J1226" s="306"/>
    </row>
    <row r="1227" spans="2:10">
      <c r="B1227" s="413"/>
      <c r="C1227" s="414"/>
      <c r="D1227" s="414"/>
      <c r="E1227" s="50"/>
      <c r="F1227" s="403">
        <v>3787</v>
      </c>
      <c r="G1227" s="406">
        <v>12776</v>
      </c>
      <c r="H1227" s="50"/>
      <c r="I1227" s="50"/>
      <c r="J1227" s="306"/>
    </row>
    <row r="1228" spans="2:10">
      <c r="B1228" s="413"/>
      <c r="C1228" s="414"/>
      <c r="D1228" s="414"/>
      <c r="E1228" s="50"/>
      <c r="F1228" s="403">
        <v>3788</v>
      </c>
      <c r="G1228" s="406">
        <v>12720</v>
      </c>
      <c r="H1228" s="50"/>
      <c r="I1228" s="50"/>
      <c r="J1228" s="306"/>
    </row>
    <row r="1229" spans="2:10">
      <c r="B1229" s="413"/>
      <c r="C1229" s="414"/>
      <c r="D1229" s="414"/>
      <c r="E1229" s="50"/>
      <c r="F1229" s="403">
        <v>3789</v>
      </c>
      <c r="G1229" s="406">
        <v>14115</v>
      </c>
      <c r="H1229" s="50"/>
      <c r="I1229" s="50"/>
      <c r="J1229" s="306"/>
    </row>
    <row r="1230" spans="2:10">
      <c r="B1230" s="413"/>
      <c r="C1230" s="414"/>
      <c r="D1230" s="414"/>
      <c r="E1230" s="50"/>
      <c r="F1230" s="403">
        <v>3791</v>
      </c>
      <c r="G1230" s="406">
        <v>14115</v>
      </c>
      <c r="H1230" s="50"/>
      <c r="I1230" s="50"/>
      <c r="J1230" s="306"/>
    </row>
    <row r="1231" spans="2:10">
      <c r="B1231" s="413"/>
      <c r="C1231" s="414"/>
      <c r="D1231" s="414"/>
      <c r="E1231" s="50"/>
      <c r="F1231" s="403">
        <v>3792</v>
      </c>
      <c r="G1231" s="406">
        <v>14115</v>
      </c>
      <c r="H1231" s="50"/>
      <c r="I1231" s="50"/>
      <c r="J1231" s="306"/>
    </row>
    <row r="1232" spans="2:10">
      <c r="B1232" s="413"/>
      <c r="C1232" s="414"/>
      <c r="D1232" s="414"/>
      <c r="E1232" s="50"/>
      <c r="F1232" s="403">
        <v>3793</v>
      </c>
      <c r="G1232" s="406">
        <v>14051</v>
      </c>
      <c r="H1232" s="50"/>
      <c r="I1232" s="50"/>
      <c r="J1232" s="306"/>
    </row>
    <row r="1233" spans="2:10">
      <c r="B1233" s="413"/>
      <c r="C1233" s="414"/>
      <c r="D1233" s="414"/>
      <c r="E1233" s="50"/>
      <c r="F1233" s="403">
        <v>3795</v>
      </c>
      <c r="G1233" s="406">
        <v>13805</v>
      </c>
      <c r="H1233" s="50"/>
      <c r="I1233" s="50"/>
      <c r="J1233" s="306"/>
    </row>
    <row r="1234" spans="2:10">
      <c r="B1234" s="413"/>
      <c r="C1234" s="414"/>
      <c r="D1234" s="414"/>
      <c r="E1234" s="50"/>
      <c r="F1234" s="403">
        <v>3796</v>
      </c>
      <c r="G1234" s="406">
        <v>13346</v>
      </c>
      <c r="H1234" s="50"/>
      <c r="I1234" s="50"/>
      <c r="J1234" s="306"/>
    </row>
    <row r="1235" spans="2:10">
      <c r="B1235" s="413"/>
      <c r="C1235" s="414"/>
      <c r="D1235" s="414"/>
      <c r="E1235" s="50"/>
      <c r="F1235" s="403">
        <v>3797</v>
      </c>
      <c r="G1235" s="406">
        <v>17104</v>
      </c>
      <c r="H1235" s="50"/>
      <c r="I1235" s="50"/>
      <c r="J1235" s="306"/>
    </row>
    <row r="1236" spans="2:10">
      <c r="B1236" s="413"/>
      <c r="C1236" s="414"/>
      <c r="D1236" s="414"/>
      <c r="E1236" s="50"/>
      <c r="F1236" s="403">
        <v>3799</v>
      </c>
      <c r="G1236" s="406">
        <v>16397</v>
      </c>
      <c r="H1236" s="50"/>
      <c r="I1236" s="50"/>
      <c r="J1236" s="306"/>
    </row>
    <row r="1237" spans="2:10">
      <c r="B1237" s="413"/>
      <c r="C1237" s="414"/>
      <c r="D1237" s="414"/>
      <c r="E1237" s="50"/>
      <c r="F1237" s="403">
        <v>3800</v>
      </c>
      <c r="G1237" s="406">
        <v>13113</v>
      </c>
      <c r="H1237" s="50"/>
      <c r="I1237" s="50"/>
      <c r="J1237" s="306"/>
    </row>
    <row r="1238" spans="2:10">
      <c r="B1238" s="413"/>
      <c r="C1238" s="414"/>
      <c r="D1238" s="414"/>
      <c r="E1238" s="50"/>
      <c r="F1238" s="403">
        <v>3802</v>
      </c>
      <c r="G1238" s="406">
        <v>15031</v>
      </c>
      <c r="H1238" s="50"/>
      <c r="I1238" s="50"/>
      <c r="J1238" s="306"/>
    </row>
    <row r="1239" spans="2:10">
      <c r="B1239" s="413"/>
      <c r="C1239" s="414"/>
      <c r="D1239" s="414"/>
      <c r="E1239" s="50"/>
      <c r="F1239" s="403">
        <v>3803</v>
      </c>
      <c r="G1239" s="406">
        <v>16536</v>
      </c>
      <c r="H1239" s="50"/>
      <c r="I1239" s="50"/>
      <c r="J1239" s="306"/>
    </row>
    <row r="1240" spans="2:10">
      <c r="B1240" s="413"/>
      <c r="C1240" s="414"/>
      <c r="D1240" s="414"/>
      <c r="E1240" s="50"/>
      <c r="F1240" s="403">
        <v>3804</v>
      </c>
      <c r="G1240" s="406">
        <v>16545</v>
      </c>
      <c r="H1240" s="50"/>
      <c r="I1240" s="50"/>
      <c r="J1240" s="306"/>
    </row>
    <row r="1241" spans="2:10">
      <c r="B1241" s="413"/>
      <c r="C1241" s="414"/>
      <c r="D1241" s="414"/>
      <c r="E1241" s="50"/>
      <c r="F1241" s="403">
        <v>3805</v>
      </c>
      <c r="G1241" s="406">
        <v>16796</v>
      </c>
      <c r="H1241" s="50"/>
      <c r="I1241" s="50"/>
      <c r="J1241" s="306"/>
    </row>
    <row r="1242" spans="2:10">
      <c r="B1242" s="413"/>
      <c r="C1242" s="414"/>
      <c r="D1242" s="414"/>
      <c r="E1242" s="50"/>
      <c r="F1242" s="403">
        <v>3806</v>
      </c>
      <c r="G1242" s="406">
        <v>16796</v>
      </c>
      <c r="H1242" s="50"/>
      <c r="I1242" s="50"/>
      <c r="J1242" s="306"/>
    </row>
    <row r="1243" spans="2:10">
      <c r="B1243" s="413"/>
      <c r="C1243" s="414"/>
      <c r="D1243" s="414"/>
      <c r="E1243" s="50"/>
      <c r="F1243" s="403">
        <v>3807</v>
      </c>
      <c r="G1243" s="406">
        <v>16937</v>
      </c>
      <c r="H1243" s="50"/>
      <c r="I1243" s="50"/>
      <c r="J1243" s="306"/>
    </row>
    <row r="1244" spans="2:10">
      <c r="B1244" s="413"/>
      <c r="C1244" s="414"/>
      <c r="D1244" s="414"/>
      <c r="E1244" s="50"/>
      <c r="F1244" s="403">
        <v>3808</v>
      </c>
      <c r="G1244" s="406">
        <v>16826</v>
      </c>
      <c r="H1244" s="50"/>
      <c r="I1244" s="50"/>
      <c r="J1244" s="306"/>
    </row>
    <row r="1245" spans="2:10">
      <c r="B1245" s="413"/>
      <c r="C1245" s="414"/>
      <c r="D1245" s="414"/>
      <c r="E1245" s="50"/>
      <c r="F1245" s="403">
        <v>3809</v>
      </c>
      <c r="G1245" s="406">
        <v>19357</v>
      </c>
      <c r="H1245" s="50"/>
      <c r="I1245" s="50"/>
      <c r="J1245" s="306"/>
    </row>
    <row r="1246" spans="2:10">
      <c r="B1246" s="413"/>
      <c r="C1246" s="414"/>
      <c r="D1246" s="414"/>
      <c r="E1246" s="50"/>
      <c r="F1246" s="403">
        <v>3810</v>
      </c>
      <c r="G1246" s="406">
        <v>21557</v>
      </c>
      <c r="H1246" s="50"/>
      <c r="I1246" s="50"/>
      <c r="J1246" s="306"/>
    </row>
    <row r="1247" spans="2:10">
      <c r="B1247" s="413"/>
      <c r="C1247" s="414"/>
      <c r="D1247" s="414"/>
      <c r="E1247" s="50"/>
      <c r="F1247" s="403">
        <v>3812</v>
      </c>
      <c r="G1247" s="406">
        <v>21739</v>
      </c>
      <c r="H1247" s="50"/>
      <c r="I1247" s="50"/>
      <c r="J1247" s="306"/>
    </row>
    <row r="1248" spans="2:10">
      <c r="B1248" s="413"/>
      <c r="C1248" s="414"/>
      <c r="D1248" s="414"/>
      <c r="E1248" s="50"/>
      <c r="F1248" s="403">
        <v>3813</v>
      </c>
      <c r="G1248" s="406">
        <v>21917</v>
      </c>
      <c r="H1248" s="50"/>
      <c r="I1248" s="50"/>
      <c r="J1248" s="306"/>
    </row>
    <row r="1249" spans="2:10">
      <c r="B1249" s="413"/>
      <c r="C1249" s="414"/>
      <c r="D1249" s="414"/>
      <c r="E1249" s="50"/>
      <c r="F1249" s="403">
        <v>3814</v>
      </c>
      <c r="G1249" s="406">
        <v>21869</v>
      </c>
      <c r="H1249" s="50"/>
      <c r="I1249" s="50"/>
      <c r="J1249" s="306"/>
    </row>
    <row r="1250" spans="2:10">
      <c r="B1250" s="413"/>
      <c r="C1250" s="414"/>
      <c r="D1250" s="414"/>
      <c r="E1250" s="50"/>
      <c r="F1250" s="403">
        <v>3815</v>
      </c>
      <c r="G1250" s="406">
        <v>20512</v>
      </c>
      <c r="H1250" s="50"/>
      <c r="I1250" s="50"/>
      <c r="J1250" s="306"/>
    </row>
    <row r="1251" spans="2:10">
      <c r="B1251" s="413"/>
      <c r="C1251" s="414"/>
      <c r="D1251" s="414"/>
      <c r="E1251" s="50"/>
      <c r="F1251" s="403">
        <v>3816</v>
      </c>
      <c r="G1251" s="406">
        <v>20469</v>
      </c>
      <c r="H1251" s="50"/>
      <c r="I1251" s="50"/>
      <c r="J1251" s="306"/>
    </row>
    <row r="1252" spans="2:10">
      <c r="B1252" s="413"/>
      <c r="C1252" s="414"/>
      <c r="D1252" s="414"/>
      <c r="E1252" s="50"/>
      <c r="F1252" s="403">
        <v>3818</v>
      </c>
      <c r="G1252" s="406">
        <v>20260</v>
      </c>
      <c r="H1252" s="50"/>
      <c r="I1252" s="50"/>
      <c r="J1252" s="306"/>
    </row>
    <row r="1253" spans="2:10">
      <c r="B1253" s="413"/>
      <c r="C1253" s="414"/>
      <c r="D1253" s="414"/>
      <c r="E1253" s="50"/>
      <c r="F1253" s="403">
        <v>3820</v>
      </c>
      <c r="G1253" s="406">
        <v>20242</v>
      </c>
      <c r="H1253" s="50"/>
      <c r="I1253" s="50"/>
      <c r="J1253" s="306"/>
    </row>
    <row r="1254" spans="2:10">
      <c r="B1254" s="413"/>
      <c r="C1254" s="414"/>
      <c r="D1254" s="414"/>
      <c r="E1254" s="50"/>
      <c r="F1254" s="403">
        <v>3821</v>
      </c>
      <c r="G1254" s="406">
        <v>20242</v>
      </c>
      <c r="H1254" s="50"/>
      <c r="I1254" s="50"/>
      <c r="J1254" s="306"/>
    </row>
    <row r="1255" spans="2:10">
      <c r="B1255" s="413"/>
      <c r="C1255" s="414"/>
      <c r="D1255" s="414"/>
      <c r="E1255" s="50"/>
      <c r="F1255" s="403">
        <v>3822</v>
      </c>
      <c r="G1255" s="406">
        <v>20163</v>
      </c>
      <c r="H1255" s="50"/>
      <c r="I1255" s="50"/>
      <c r="J1255" s="306"/>
    </row>
    <row r="1256" spans="2:10">
      <c r="B1256" s="413"/>
      <c r="C1256" s="414"/>
      <c r="D1256" s="414"/>
      <c r="E1256" s="50"/>
      <c r="F1256" s="403">
        <v>3823</v>
      </c>
      <c r="G1256" s="406">
        <v>20107</v>
      </c>
      <c r="H1256" s="50"/>
      <c r="I1256" s="50"/>
      <c r="J1256" s="306"/>
    </row>
    <row r="1257" spans="2:10">
      <c r="B1257" s="413"/>
      <c r="C1257" s="414"/>
      <c r="D1257" s="414"/>
      <c r="E1257" s="50"/>
      <c r="F1257" s="403">
        <v>3824</v>
      </c>
      <c r="G1257" s="406">
        <v>17458</v>
      </c>
      <c r="H1257" s="50"/>
      <c r="I1257" s="50"/>
      <c r="J1257" s="306"/>
    </row>
    <row r="1258" spans="2:10">
      <c r="B1258" s="413"/>
      <c r="C1258" s="414"/>
      <c r="D1258" s="414"/>
      <c r="E1258" s="50"/>
      <c r="F1258" s="403">
        <v>3825</v>
      </c>
      <c r="G1258" s="406">
        <v>13453</v>
      </c>
      <c r="H1258" s="50"/>
      <c r="I1258" s="50"/>
      <c r="J1258" s="306"/>
    </row>
    <row r="1259" spans="2:10">
      <c r="B1259" s="413"/>
      <c r="C1259" s="414"/>
      <c r="D1259" s="414"/>
      <c r="E1259" s="50"/>
      <c r="F1259" s="403">
        <v>3831</v>
      </c>
      <c r="G1259" s="406">
        <v>20251</v>
      </c>
      <c r="H1259" s="50"/>
      <c r="I1259" s="50"/>
      <c r="J1259" s="306"/>
    </row>
    <row r="1260" spans="2:10">
      <c r="B1260" s="413"/>
      <c r="C1260" s="414"/>
      <c r="D1260" s="414"/>
      <c r="E1260" s="50"/>
      <c r="F1260" s="403">
        <v>3833</v>
      </c>
      <c r="G1260" s="406">
        <v>14808</v>
      </c>
      <c r="H1260" s="50"/>
      <c r="I1260" s="50"/>
      <c r="J1260" s="306"/>
    </row>
    <row r="1261" spans="2:10">
      <c r="B1261" s="413"/>
      <c r="C1261" s="414"/>
      <c r="D1261" s="414"/>
      <c r="E1261" s="50"/>
      <c r="F1261" s="403">
        <v>3835</v>
      </c>
      <c r="G1261" s="406">
        <v>17061</v>
      </c>
      <c r="H1261" s="50"/>
      <c r="I1261" s="50"/>
      <c r="J1261" s="306"/>
    </row>
    <row r="1262" spans="2:10">
      <c r="B1262" s="413"/>
      <c r="C1262" s="414"/>
      <c r="D1262" s="414"/>
      <c r="E1262" s="50"/>
      <c r="F1262" s="403">
        <v>3840</v>
      </c>
      <c r="G1262" s="406">
        <v>16273</v>
      </c>
      <c r="H1262" s="50"/>
      <c r="I1262" s="50"/>
      <c r="J1262" s="306"/>
    </row>
    <row r="1263" spans="2:10">
      <c r="B1263" s="413"/>
      <c r="C1263" s="414"/>
      <c r="D1263" s="414"/>
      <c r="E1263" s="50"/>
      <c r="F1263" s="403">
        <v>3842</v>
      </c>
      <c r="G1263" s="406">
        <v>16273</v>
      </c>
      <c r="H1263" s="50"/>
      <c r="I1263" s="50"/>
      <c r="J1263" s="306"/>
    </row>
    <row r="1264" spans="2:10">
      <c r="B1264" s="413"/>
      <c r="C1264" s="414"/>
      <c r="D1264" s="414"/>
      <c r="E1264" s="50"/>
      <c r="F1264" s="403">
        <v>3844</v>
      </c>
      <c r="G1264" s="406">
        <v>16305</v>
      </c>
      <c r="H1264" s="50"/>
      <c r="I1264" s="50"/>
      <c r="J1264" s="306"/>
    </row>
    <row r="1265" spans="2:10">
      <c r="B1265" s="413"/>
      <c r="C1265" s="414"/>
      <c r="D1265" s="414"/>
      <c r="E1265" s="50"/>
      <c r="F1265" s="403">
        <v>3847</v>
      </c>
      <c r="G1265" s="406">
        <v>16324</v>
      </c>
      <c r="H1265" s="50"/>
      <c r="I1265" s="50"/>
      <c r="J1265" s="306"/>
    </row>
    <row r="1266" spans="2:10">
      <c r="B1266" s="413"/>
      <c r="C1266" s="414"/>
      <c r="D1266" s="414"/>
      <c r="E1266" s="50"/>
      <c r="F1266" s="403">
        <v>3850</v>
      </c>
      <c r="G1266" s="406">
        <v>16250</v>
      </c>
      <c r="H1266" s="50"/>
      <c r="I1266" s="50"/>
      <c r="J1266" s="306"/>
    </row>
    <row r="1267" spans="2:10">
      <c r="B1267" s="413"/>
      <c r="C1267" s="414"/>
      <c r="D1267" s="414"/>
      <c r="E1267" s="50"/>
      <c r="F1267" s="403">
        <v>3851</v>
      </c>
      <c r="G1267" s="406">
        <v>16250</v>
      </c>
      <c r="H1267" s="50"/>
      <c r="I1267" s="50"/>
      <c r="J1267" s="306"/>
    </row>
    <row r="1268" spans="2:10">
      <c r="B1268" s="413"/>
      <c r="C1268" s="414"/>
      <c r="D1268" s="414"/>
      <c r="E1268" s="50"/>
      <c r="F1268" s="403">
        <v>3852</v>
      </c>
      <c r="G1268" s="406">
        <v>16250</v>
      </c>
      <c r="H1268" s="50"/>
      <c r="I1268" s="50"/>
      <c r="J1268" s="306"/>
    </row>
    <row r="1269" spans="2:10">
      <c r="B1269" s="413"/>
      <c r="C1269" s="414"/>
      <c r="D1269" s="414"/>
      <c r="E1269" s="50"/>
      <c r="F1269" s="403">
        <v>3854</v>
      </c>
      <c r="G1269" s="406">
        <v>16297</v>
      </c>
      <c r="H1269" s="50"/>
      <c r="I1269" s="50"/>
      <c r="J1269" s="306"/>
    </row>
    <row r="1270" spans="2:10">
      <c r="B1270" s="413"/>
      <c r="C1270" s="414"/>
      <c r="D1270" s="414"/>
      <c r="E1270" s="50"/>
      <c r="F1270" s="403">
        <v>3856</v>
      </c>
      <c r="G1270" s="406">
        <v>15109</v>
      </c>
      <c r="H1270" s="50"/>
      <c r="I1270" s="50"/>
      <c r="J1270" s="306"/>
    </row>
    <row r="1271" spans="2:10">
      <c r="B1271" s="413"/>
      <c r="C1271" s="414"/>
      <c r="D1271" s="414"/>
      <c r="E1271" s="50"/>
      <c r="F1271" s="403">
        <v>3857</v>
      </c>
      <c r="G1271" s="406">
        <v>16164</v>
      </c>
      <c r="H1271" s="50"/>
      <c r="I1271" s="50"/>
      <c r="J1271" s="306"/>
    </row>
    <row r="1272" spans="2:10">
      <c r="B1272" s="413"/>
      <c r="C1272" s="414"/>
      <c r="D1272" s="414"/>
      <c r="E1272" s="50"/>
      <c r="F1272" s="403">
        <v>3858</v>
      </c>
      <c r="G1272" s="406">
        <v>14260</v>
      </c>
      <c r="H1272" s="50"/>
      <c r="I1272" s="50"/>
      <c r="J1272" s="306"/>
    </row>
    <row r="1273" spans="2:10">
      <c r="B1273" s="413"/>
      <c r="C1273" s="414"/>
      <c r="D1273" s="414"/>
      <c r="E1273" s="50"/>
      <c r="F1273" s="403">
        <v>3859</v>
      </c>
      <c r="G1273" s="406">
        <v>15728</v>
      </c>
      <c r="H1273" s="50"/>
      <c r="I1273" s="50"/>
      <c r="J1273" s="306"/>
    </row>
    <row r="1274" spans="2:10">
      <c r="B1274" s="413"/>
      <c r="C1274" s="414"/>
      <c r="D1274" s="414"/>
      <c r="E1274" s="50"/>
      <c r="F1274" s="403">
        <v>3860</v>
      </c>
      <c r="G1274" s="406">
        <v>15071</v>
      </c>
      <c r="H1274" s="50"/>
      <c r="I1274" s="50"/>
      <c r="J1274" s="306"/>
    </row>
    <row r="1275" spans="2:10">
      <c r="B1275" s="413"/>
      <c r="C1275" s="414"/>
      <c r="D1275" s="414"/>
      <c r="E1275" s="50"/>
      <c r="F1275" s="403">
        <v>3862</v>
      </c>
      <c r="G1275" s="406">
        <v>13347</v>
      </c>
      <c r="H1275" s="50"/>
      <c r="I1275" s="50"/>
      <c r="J1275" s="306"/>
    </row>
    <row r="1276" spans="2:10">
      <c r="B1276" s="413"/>
      <c r="C1276" s="414"/>
      <c r="D1276" s="414"/>
      <c r="E1276" s="50"/>
      <c r="F1276" s="403">
        <v>3864</v>
      </c>
      <c r="G1276" s="406">
        <v>12169</v>
      </c>
      <c r="H1276" s="50"/>
      <c r="I1276" s="50"/>
      <c r="J1276" s="306"/>
    </row>
    <row r="1277" spans="2:10">
      <c r="B1277" s="413"/>
      <c r="C1277" s="414"/>
      <c r="D1277" s="414"/>
      <c r="E1277" s="50"/>
      <c r="F1277" s="403">
        <v>3865</v>
      </c>
      <c r="G1277" s="406">
        <v>12221</v>
      </c>
      <c r="H1277" s="50"/>
      <c r="I1277" s="50"/>
      <c r="J1277" s="306"/>
    </row>
    <row r="1278" spans="2:10">
      <c r="B1278" s="413"/>
      <c r="C1278" s="414"/>
      <c r="D1278" s="414"/>
      <c r="E1278" s="50"/>
      <c r="F1278" s="403">
        <v>3869</v>
      </c>
      <c r="G1278" s="406">
        <v>15840</v>
      </c>
      <c r="H1278" s="50"/>
      <c r="I1278" s="50"/>
      <c r="J1278" s="306"/>
    </row>
    <row r="1279" spans="2:10">
      <c r="B1279" s="413"/>
      <c r="C1279" s="414"/>
      <c r="D1279" s="414"/>
      <c r="E1279" s="50"/>
      <c r="F1279" s="403">
        <v>3870</v>
      </c>
      <c r="G1279" s="406">
        <v>15840</v>
      </c>
      <c r="H1279" s="50"/>
      <c r="I1279" s="50"/>
      <c r="J1279" s="306"/>
    </row>
    <row r="1280" spans="2:10">
      <c r="B1280" s="413"/>
      <c r="C1280" s="414"/>
      <c r="D1280" s="414"/>
      <c r="E1280" s="50"/>
      <c r="F1280" s="403">
        <v>3871</v>
      </c>
      <c r="G1280" s="406">
        <v>14075</v>
      </c>
      <c r="H1280" s="50"/>
      <c r="I1280" s="50"/>
      <c r="J1280" s="306"/>
    </row>
    <row r="1281" spans="2:10">
      <c r="B1281" s="413"/>
      <c r="C1281" s="414"/>
      <c r="D1281" s="414"/>
      <c r="E1281" s="50"/>
      <c r="F1281" s="403">
        <v>3873</v>
      </c>
      <c r="G1281" s="406">
        <v>16320</v>
      </c>
      <c r="H1281" s="50"/>
      <c r="I1281" s="50"/>
      <c r="J1281" s="306"/>
    </row>
    <row r="1282" spans="2:10">
      <c r="B1282" s="413"/>
      <c r="C1282" s="414"/>
      <c r="D1282" s="414"/>
      <c r="E1282" s="50"/>
      <c r="F1282" s="403">
        <v>3874</v>
      </c>
      <c r="G1282" s="406">
        <v>17609</v>
      </c>
      <c r="H1282" s="50"/>
      <c r="I1282" s="50"/>
      <c r="J1282" s="306"/>
    </row>
    <row r="1283" spans="2:10">
      <c r="B1283" s="413"/>
      <c r="C1283" s="414"/>
      <c r="D1283" s="414"/>
      <c r="E1283" s="50"/>
      <c r="F1283" s="403">
        <v>3875</v>
      </c>
      <c r="G1283" s="406">
        <v>12286</v>
      </c>
      <c r="H1283" s="50"/>
      <c r="I1283" s="50"/>
      <c r="J1283" s="306"/>
    </row>
    <row r="1284" spans="2:10">
      <c r="B1284" s="413"/>
      <c r="C1284" s="414"/>
      <c r="D1284" s="414"/>
      <c r="E1284" s="50"/>
      <c r="F1284" s="403">
        <v>3878</v>
      </c>
      <c r="G1284" s="406">
        <v>14307</v>
      </c>
      <c r="H1284" s="50"/>
      <c r="I1284" s="50"/>
      <c r="J1284" s="306"/>
    </row>
    <row r="1285" spans="2:10">
      <c r="B1285" s="413"/>
      <c r="C1285" s="414"/>
      <c r="D1285" s="414"/>
      <c r="E1285" s="50"/>
      <c r="F1285" s="403">
        <v>3880</v>
      </c>
      <c r="G1285" s="406">
        <v>14307</v>
      </c>
      <c r="H1285" s="50"/>
      <c r="I1285" s="50"/>
      <c r="J1285" s="306"/>
    </row>
    <row r="1286" spans="2:10">
      <c r="B1286" s="413"/>
      <c r="C1286" s="414"/>
      <c r="D1286" s="414"/>
      <c r="E1286" s="50"/>
      <c r="F1286" s="403">
        <v>3882</v>
      </c>
      <c r="G1286" s="406">
        <v>14307</v>
      </c>
      <c r="H1286" s="50"/>
      <c r="I1286" s="50"/>
      <c r="J1286" s="306"/>
    </row>
    <row r="1287" spans="2:10">
      <c r="B1287" s="413"/>
      <c r="C1287" s="414"/>
      <c r="D1287" s="414"/>
      <c r="E1287" s="50"/>
      <c r="F1287" s="403">
        <v>3885</v>
      </c>
      <c r="G1287" s="406">
        <v>16497</v>
      </c>
      <c r="H1287" s="50"/>
      <c r="I1287" s="50"/>
      <c r="J1287" s="306"/>
    </row>
    <row r="1288" spans="2:10">
      <c r="B1288" s="413"/>
      <c r="C1288" s="414"/>
      <c r="D1288" s="414"/>
      <c r="E1288" s="50"/>
      <c r="F1288" s="403">
        <v>3886</v>
      </c>
      <c r="G1288" s="406">
        <v>16213</v>
      </c>
      <c r="H1288" s="50"/>
      <c r="I1288" s="50"/>
      <c r="J1288" s="306"/>
    </row>
    <row r="1289" spans="2:10">
      <c r="B1289" s="413"/>
      <c r="C1289" s="414"/>
      <c r="D1289" s="414"/>
      <c r="E1289" s="50"/>
      <c r="F1289" s="403">
        <v>3887</v>
      </c>
      <c r="G1289" s="406">
        <v>15437</v>
      </c>
      <c r="H1289" s="50"/>
      <c r="I1289" s="50"/>
      <c r="J1289" s="306"/>
    </row>
    <row r="1290" spans="2:10">
      <c r="B1290" s="413"/>
      <c r="C1290" s="414"/>
      <c r="D1290" s="414"/>
      <c r="E1290" s="50"/>
      <c r="F1290" s="403">
        <v>3888</v>
      </c>
      <c r="G1290" s="406">
        <v>16305</v>
      </c>
      <c r="H1290" s="50"/>
      <c r="I1290" s="50"/>
      <c r="J1290" s="306"/>
    </row>
    <row r="1291" spans="2:10">
      <c r="B1291" s="413"/>
      <c r="C1291" s="414"/>
      <c r="D1291" s="414"/>
      <c r="E1291" s="50"/>
      <c r="F1291" s="403">
        <v>3889</v>
      </c>
      <c r="G1291" s="406">
        <v>17250</v>
      </c>
      <c r="H1291" s="50"/>
      <c r="I1291" s="50"/>
      <c r="J1291" s="306"/>
    </row>
    <row r="1292" spans="2:10">
      <c r="B1292" s="413"/>
      <c r="C1292" s="414"/>
      <c r="D1292" s="414"/>
      <c r="E1292" s="50"/>
      <c r="F1292" s="403">
        <v>3890</v>
      </c>
      <c r="G1292" s="406">
        <v>17292</v>
      </c>
      <c r="H1292" s="50"/>
      <c r="I1292" s="50"/>
      <c r="J1292" s="306"/>
    </row>
    <row r="1293" spans="2:10">
      <c r="B1293" s="413"/>
      <c r="C1293" s="414"/>
      <c r="D1293" s="414"/>
      <c r="E1293" s="50"/>
      <c r="F1293" s="403">
        <v>3891</v>
      </c>
      <c r="G1293" s="406">
        <v>17292</v>
      </c>
      <c r="H1293" s="50"/>
      <c r="I1293" s="50"/>
      <c r="J1293" s="306"/>
    </row>
    <row r="1294" spans="2:10">
      <c r="B1294" s="413"/>
      <c r="C1294" s="414"/>
      <c r="D1294" s="414"/>
      <c r="E1294" s="50"/>
      <c r="F1294" s="403">
        <v>3892</v>
      </c>
      <c r="G1294" s="406">
        <v>17780</v>
      </c>
      <c r="H1294" s="50"/>
      <c r="I1294" s="50"/>
      <c r="J1294" s="306"/>
    </row>
    <row r="1295" spans="2:10">
      <c r="B1295" s="413"/>
      <c r="C1295" s="414"/>
      <c r="D1295" s="414"/>
      <c r="E1295" s="50"/>
      <c r="F1295" s="403">
        <v>3893</v>
      </c>
      <c r="G1295" s="406">
        <v>12322</v>
      </c>
      <c r="H1295" s="50"/>
      <c r="I1295" s="50"/>
      <c r="J1295" s="306"/>
    </row>
    <row r="1296" spans="2:10">
      <c r="B1296" s="413"/>
      <c r="C1296" s="414"/>
      <c r="D1296" s="414"/>
      <c r="E1296" s="50"/>
      <c r="F1296" s="403">
        <v>3895</v>
      </c>
      <c r="G1296" s="406">
        <v>12837</v>
      </c>
      <c r="H1296" s="50"/>
      <c r="I1296" s="50"/>
      <c r="J1296" s="306"/>
    </row>
    <row r="1297" spans="2:10">
      <c r="B1297" s="413"/>
      <c r="C1297" s="414"/>
      <c r="D1297" s="414"/>
      <c r="E1297" s="50"/>
      <c r="F1297" s="403">
        <v>3896</v>
      </c>
      <c r="G1297" s="406">
        <v>12837</v>
      </c>
      <c r="H1297" s="50"/>
      <c r="I1297" s="50"/>
      <c r="J1297" s="306"/>
    </row>
    <row r="1298" spans="2:10">
      <c r="B1298" s="413"/>
      <c r="C1298" s="414"/>
      <c r="D1298" s="414"/>
      <c r="E1298" s="50"/>
      <c r="F1298" s="403">
        <v>3898</v>
      </c>
      <c r="G1298" s="406">
        <v>18356</v>
      </c>
      <c r="H1298" s="50"/>
      <c r="I1298" s="50"/>
      <c r="J1298" s="306"/>
    </row>
    <row r="1299" spans="2:10">
      <c r="B1299" s="413"/>
      <c r="C1299" s="414"/>
      <c r="D1299" s="414"/>
      <c r="E1299" s="50"/>
      <c r="F1299" s="403">
        <v>3900</v>
      </c>
      <c r="G1299" s="406">
        <v>14718</v>
      </c>
      <c r="H1299" s="50"/>
      <c r="I1299" s="50"/>
      <c r="J1299" s="306"/>
    </row>
    <row r="1300" spans="2:10">
      <c r="B1300" s="413"/>
      <c r="C1300" s="414"/>
      <c r="D1300" s="414"/>
      <c r="E1300" s="50"/>
      <c r="F1300" s="403">
        <v>3902</v>
      </c>
      <c r="G1300" s="406">
        <v>14307</v>
      </c>
      <c r="H1300" s="50"/>
      <c r="I1300" s="50"/>
      <c r="J1300" s="306"/>
    </row>
    <row r="1301" spans="2:10">
      <c r="B1301" s="413"/>
      <c r="C1301" s="414"/>
      <c r="D1301" s="414"/>
      <c r="E1301" s="50"/>
      <c r="F1301" s="403">
        <v>3903</v>
      </c>
      <c r="G1301" s="406">
        <v>15393</v>
      </c>
      <c r="H1301" s="50"/>
      <c r="I1301" s="50"/>
      <c r="J1301" s="306"/>
    </row>
    <row r="1302" spans="2:10">
      <c r="B1302" s="413"/>
      <c r="C1302" s="414"/>
      <c r="D1302" s="414"/>
      <c r="E1302" s="50"/>
      <c r="F1302" s="403">
        <v>3904</v>
      </c>
      <c r="G1302" s="406">
        <v>14307</v>
      </c>
      <c r="H1302" s="50"/>
      <c r="I1302" s="50"/>
      <c r="J1302" s="306"/>
    </row>
    <row r="1303" spans="2:10">
      <c r="B1303" s="413"/>
      <c r="C1303" s="414"/>
      <c r="D1303" s="414"/>
      <c r="E1303" s="50"/>
      <c r="F1303" s="403">
        <v>3909</v>
      </c>
      <c r="G1303" s="406">
        <v>15393</v>
      </c>
      <c r="H1303" s="50"/>
      <c r="I1303" s="50"/>
      <c r="J1303" s="306"/>
    </row>
    <row r="1304" spans="2:10">
      <c r="B1304" s="413"/>
      <c r="C1304" s="414"/>
      <c r="D1304" s="414"/>
      <c r="E1304" s="50"/>
      <c r="F1304" s="403">
        <v>3910</v>
      </c>
      <c r="G1304" s="406">
        <v>17584</v>
      </c>
      <c r="H1304" s="50"/>
      <c r="I1304" s="50"/>
      <c r="J1304" s="306"/>
    </row>
    <row r="1305" spans="2:10">
      <c r="B1305" s="413"/>
      <c r="C1305" s="414"/>
      <c r="D1305" s="414"/>
      <c r="E1305" s="50"/>
      <c r="F1305" s="403">
        <v>3911</v>
      </c>
      <c r="G1305" s="406">
        <v>17510</v>
      </c>
      <c r="H1305" s="50"/>
      <c r="I1305" s="50"/>
      <c r="J1305" s="306"/>
    </row>
    <row r="1306" spans="2:10">
      <c r="B1306" s="413"/>
      <c r="C1306" s="414"/>
      <c r="D1306" s="414"/>
      <c r="E1306" s="50"/>
      <c r="F1306" s="403">
        <v>3912</v>
      </c>
      <c r="G1306" s="406">
        <v>17559</v>
      </c>
      <c r="H1306" s="50"/>
      <c r="I1306" s="50"/>
      <c r="J1306" s="306"/>
    </row>
    <row r="1307" spans="2:10">
      <c r="B1307" s="413"/>
      <c r="C1307" s="414"/>
      <c r="D1307" s="414"/>
      <c r="E1307" s="50"/>
      <c r="F1307" s="403">
        <v>3913</v>
      </c>
      <c r="G1307" s="406">
        <v>17724</v>
      </c>
      <c r="H1307" s="50"/>
      <c r="I1307" s="50"/>
      <c r="J1307" s="306"/>
    </row>
    <row r="1308" spans="2:10">
      <c r="B1308" s="413"/>
      <c r="C1308" s="414"/>
      <c r="D1308" s="414"/>
      <c r="E1308" s="50"/>
      <c r="F1308" s="403">
        <v>3915</v>
      </c>
      <c r="G1308" s="406">
        <v>17916</v>
      </c>
      <c r="H1308" s="50"/>
      <c r="I1308" s="50"/>
      <c r="J1308" s="306"/>
    </row>
    <row r="1309" spans="2:10">
      <c r="B1309" s="413"/>
      <c r="C1309" s="414"/>
      <c r="D1309" s="414"/>
      <c r="E1309" s="50"/>
      <c r="F1309" s="403">
        <v>3916</v>
      </c>
      <c r="G1309" s="406">
        <v>18149</v>
      </c>
      <c r="H1309" s="50"/>
      <c r="I1309" s="50"/>
      <c r="J1309" s="306"/>
    </row>
    <row r="1310" spans="2:10">
      <c r="B1310" s="413"/>
      <c r="C1310" s="414"/>
      <c r="D1310" s="414"/>
      <c r="E1310" s="50"/>
      <c r="F1310" s="403">
        <v>3918</v>
      </c>
      <c r="G1310" s="406">
        <v>18096</v>
      </c>
      <c r="H1310" s="50"/>
      <c r="I1310" s="50"/>
      <c r="J1310" s="306"/>
    </row>
    <row r="1311" spans="2:10">
      <c r="B1311" s="413"/>
      <c r="C1311" s="414"/>
      <c r="D1311" s="414"/>
      <c r="E1311" s="50"/>
      <c r="F1311" s="403">
        <v>3919</v>
      </c>
      <c r="G1311" s="406">
        <v>18096</v>
      </c>
      <c r="H1311" s="50"/>
      <c r="I1311" s="50"/>
      <c r="J1311" s="306"/>
    </row>
    <row r="1312" spans="2:10">
      <c r="B1312" s="413"/>
      <c r="C1312" s="414"/>
      <c r="D1312" s="414"/>
      <c r="E1312" s="50"/>
      <c r="F1312" s="403">
        <v>3920</v>
      </c>
      <c r="G1312" s="406">
        <v>18096</v>
      </c>
      <c r="H1312" s="50"/>
      <c r="I1312" s="50"/>
      <c r="J1312" s="306"/>
    </row>
    <row r="1313" spans="2:10">
      <c r="B1313" s="413"/>
      <c r="C1313" s="414"/>
      <c r="D1313" s="414"/>
      <c r="E1313" s="50"/>
      <c r="F1313" s="403">
        <v>3922</v>
      </c>
      <c r="G1313" s="406">
        <v>25246</v>
      </c>
      <c r="H1313" s="50"/>
      <c r="I1313" s="50"/>
      <c r="J1313" s="306"/>
    </row>
    <row r="1314" spans="2:10">
      <c r="B1314" s="413"/>
      <c r="C1314" s="414"/>
      <c r="D1314" s="414"/>
      <c r="E1314" s="50"/>
      <c r="F1314" s="403">
        <v>3923</v>
      </c>
      <c r="G1314" s="406">
        <v>25677</v>
      </c>
      <c r="H1314" s="50"/>
      <c r="I1314" s="50"/>
      <c r="J1314" s="306"/>
    </row>
    <row r="1315" spans="2:10">
      <c r="B1315" s="413"/>
      <c r="C1315" s="414"/>
      <c r="D1315" s="414"/>
      <c r="E1315" s="50"/>
      <c r="F1315" s="403">
        <v>3925</v>
      </c>
      <c r="G1315" s="406">
        <v>26146</v>
      </c>
      <c r="H1315" s="50"/>
      <c r="I1315" s="50"/>
      <c r="J1315" s="306"/>
    </row>
    <row r="1316" spans="2:10">
      <c r="B1316" s="413"/>
      <c r="C1316" s="414"/>
      <c r="D1316" s="414"/>
      <c r="E1316" s="50"/>
      <c r="F1316" s="403">
        <v>3926</v>
      </c>
      <c r="G1316" s="406">
        <v>18043</v>
      </c>
      <c r="H1316" s="50"/>
      <c r="I1316" s="50"/>
      <c r="J1316" s="306"/>
    </row>
    <row r="1317" spans="2:10">
      <c r="B1317" s="413"/>
      <c r="C1317" s="414"/>
      <c r="D1317" s="414"/>
      <c r="E1317" s="50"/>
      <c r="F1317" s="403">
        <v>3927</v>
      </c>
      <c r="G1317" s="406">
        <v>18096</v>
      </c>
      <c r="H1317" s="50"/>
      <c r="I1317" s="50"/>
      <c r="J1317" s="306"/>
    </row>
    <row r="1318" spans="2:10">
      <c r="B1318" s="413"/>
      <c r="C1318" s="414"/>
      <c r="D1318" s="414"/>
      <c r="E1318" s="50"/>
      <c r="F1318" s="403">
        <v>3928</v>
      </c>
      <c r="G1318" s="406">
        <v>18033</v>
      </c>
      <c r="H1318" s="50"/>
      <c r="I1318" s="50"/>
      <c r="J1318" s="306"/>
    </row>
    <row r="1319" spans="2:10">
      <c r="B1319" s="413"/>
      <c r="C1319" s="414"/>
      <c r="D1319" s="414"/>
      <c r="E1319" s="50"/>
      <c r="F1319" s="403">
        <v>3929</v>
      </c>
      <c r="G1319" s="406">
        <v>18019</v>
      </c>
      <c r="H1319" s="50"/>
      <c r="I1319" s="50"/>
      <c r="J1319" s="306"/>
    </row>
    <row r="1320" spans="2:10">
      <c r="B1320" s="413"/>
      <c r="C1320" s="414"/>
      <c r="D1320" s="414"/>
      <c r="E1320" s="50"/>
      <c r="F1320" s="403">
        <v>3930</v>
      </c>
      <c r="G1320" s="406">
        <v>17510</v>
      </c>
      <c r="H1320" s="50"/>
      <c r="I1320" s="50"/>
      <c r="J1320" s="306"/>
    </row>
    <row r="1321" spans="2:10">
      <c r="B1321" s="413"/>
      <c r="C1321" s="414"/>
      <c r="D1321" s="414"/>
      <c r="E1321" s="50"/>
      <c r="F1321" s="403">
        <v>3931</v>
      </c>
      <c r="G1321" s="406">
        <v>17725</v>
      </c>
      <c r="H1321" s="50"/>
      <c r="I1321" s="50"/>
      <c r="J1321" s="306"/>
    </row>
    <row r="1322" spans="2:10">
      <c r="B1322" s="413"/>
      <c r="C1322" s="414"/>
      <c r="D1322" s="414"/>
      <c r="E1322" s="50"/>
      <c r="F1322" s="403">
        <v>3933</v>
      </c>
      <c r="G1322" s="406">
        <v>17730</v>
      </c>
      <c r="H1322" s="50"/>
      <c r="I1322" s="50"/>
      <c r="J1322" s="306"/>
    </row>
    <row r="1323" spans="2:10">
      <c r="B1323" s="413"/>
      <c r="C1323" s="414"/>
      <c r="D1323" s="414"/>
      <c r="E1323" s="50"/>
      <c r="F1323" s="403">
        <v>3934</v>
      </c>
      <c r="G1323" s="406">
        <v>17755</v>
      </c>
      <c r="H1323" s="50"/>
      <c r="I1323" s="50"/>
      <c r="J1323" s="306"/>
    </row>
    <row r="1324" spans="2:10">
      <c r="B1324" s="413"/>
      <c r="C1324" s="414"/>
      <c r="D1324" s="414"/>
      <c r="E1324" s="50"/>
      <c r="F1324" s="403">
        <v>3936</v>
      </c>
      <c r="G1324" s="406">
        <v>17908</v>
      </c>
      <c r="H1324" s="50"/>
      <c r="I1324" s="50"/>
      <c r="J1324" s="306"/>
    </row>
    <row r="1325" spans="2:10">
      <c r="B1325" s="413"/>
      <c r="C1325" s="414"/>
      <c r="D1325" s="414"/>
      <c r="E1325" s="50"/>
      <c r="F1325" s="403">
        <v>3937</v>
      </c>
      <c r="G1325" s="406">
        <v>17933</v>
      </c>
      <c r="H1325" s="50"/>
      <c r="I1325" s="50"/>
      <c r="J1325" s="306"/>
    </row>
    <row r="1326" spans="2:10">
      <c r="B1326" s="413"/>
      <c r="C1326" s="414"/>
      <c r="D1326" s="414"/>
      <c r="E1326" s="50"/>
      <c r="F1326" s="403">
        <v>3938</v>
      </c>
      <c r="G1326" s="406">
        <v>18021</v>
      </c>
      <c r="H1326" s="50"/>
      <c r="I1326" s="50"/>
      <c r="J1326" s="306"/>
    </row>
    <row r="1327" spans="2:10">
      <c r="B1327" s="413"/>
      <c r="C1327" s="414"/>
      <c r="D1327" s="414"/>
      <c r="E1327" s="50"/>
      <c r="F1327" s="403">
        <v>3939</v>
      </c>
      <c r="G1327" s="406">
        <v>17991</v>
      </c>
      <c r="H1327" s="50"/>
      <c r="I1327" s="50"/>
      <c r="J1327" s="306"/>
    </row>
    <row r="1328" spans="2:10">
      <c r="B1328" s="413"/>
      <c r="C1328" s="414"/>
      <c r="D1328" s="414"/>
      <c r="E1328" s="50"/>
      <c r="F1328" s="403">
        <v>3940</v>
      </c>
      <c r="G1328" s="406">
        <v>17979</v>
      </c>
      <c r="H1328" s="50"/>
      <c r="I1328" s="50"/>
      <c r="J1328" s="306"/>
    </row>
    <row r="1329" spans="2:10">
      <c r="B1329" s="413"/>
      <c r="C1329" s="414"/>
      <c r="D1329" s="414"/>
      <c r="E1329" s="50"/>
      <c r="F1329" s="403">
        <v>3941</v>
      </c>
      <c r="G1329" s="406">
        <v>17979</v>
      </c>
      <c r="H1329" s="50"/>
      <c r="I1329" s="50"/>
      <c r="J1329" s="306"/>
    </row>
    <row r="1330" spans="2:10">
      <c r="B1330" s="413"/>
      <c r="C1330" s="414"/>
      <c r="D1330" s="414"/>
      <c r="E1330" s="50"/>
      <c r="F1330" s="403">
        <v>3942</v>
      </c>
      <c r="G1330" s="406">
        <v>17964</v>
      </c>
      <c r="H1330" s="50"/>
      <c r="I1330" s="50"/>
      <c r="J1330" s="306"/>
    </row>
    <row r="1331" spans="2:10">
      <c r="B1331" s="413"/>
      <c r="C1331" s="414"/>
      <c r="D1331" s="414"/>
      <c r="E1331" s="50"/>
      <c r="F1331" s="403">
        <v>3943</v>
      </c>
      <c r="G1331" s="406">
        <v>17949</v>
      </c>
      <c r="H1331" s="50"/>
      <c r="I1331" s="50"/>
      <c r="J1331" s="306"/>
    </row>
    <row r="1332" spans="2:10">
      <c r="B1332" s="413"/>
      <c r="C1332" s="414"/>
      <c r="D1332" s="414"/>
      <c r="E1332" s="50"/>
      <c r="F1332" s="403">
        <v>3944</v>
      </c>
      <c r="G1332" s="406">
        <v>17976</v>
      </c>
      <c r="H1332" s="50"/>
      <c r="I1332" s="50"/>
      <c r="J1332" s="306"/>
    </row>
    <row r="1333" spans="2:10">
      <c r="B1333" s="413"/>
      <c r="C1333" s="414"/>
      <c r="D1333" s="414"/>
      <c r="E1333" s="50"/>
      <c r="F1333" s="403">
        <v>3945</v>
      </c>
      <c r="G1333" s="406">
        <v>16893</v>
      </c>
      <c r="H1333" s="50"/>
      <c r="I1333" s="50"/>
      <c r="J1333" s="306"/>
    </row>
    <row r="1334" spans="2:10">
      <c r="B1334" s="413"/>
      <c r="C1334" s="414"/>
      <c r="D1334" s="414"/>
      <c r="E1334" s="50"/>
      <c r="F1334" s="403">
        <v>3946</v>
      </c>
      <c r="G1334" s="406">
        <v>16932</v>
      </c>
      <c r="H1334" s="50"/>
      <c r="I1334" s="50"/>
      <c r="J1334" s="306"/>
    </row>
    <row r="1335" spans="2:10">
      <c r="B1335" s="413"/>
      <c r="C1335" s="414"/>
      <c r="D1335" s="414"/>
      <c r="E1335" s="50"/>
      <c r="F1335" s="403">
        <v>3950</v>
      </c>
      <c r="G1335" s="406">
        <v>14327</v>
      </c>
      <c r="H1335" s="50"/>
      <c r="I1335" s="50"/>
      <c r="J1335" s="306"/>
    </row>
    <row r="1336" spans="2:10">
      <c r="B1336" s="413"/>
      <c r="C1336" s="414"/>
      <c r="D1336" s="414"/>
      <c r="E1336" s="50"/>
      <c r="F1336" s="403">
        <v>3951</v>
      </c>
      <c r="G1336" s="406">
        <v>14473</v>
      </c>
      <c r="H1336" s="50"/>
      <c r="I1336" s="50"/>
      <c r="J1336" s="306"/>
    </row>
    <row r="1337" spans="2:10">
      <c r="B1337" s="413"/>
      <c r="C1337" s="414"/>
      <c r="D1337" s="414"/>
      <c r="E1337" s="50"/>
      <c r="F1337" s="403">
        <v>3953</v>
      </c>
      <c r="G1337" s="406">
        <v>13734</v>
      </c>
      <c r="H1337" s="50"/>
      <c r="I1337" s="50"/>
      <c r="J1337" s="306"/>
    </row>
    <row r="1338" spans="2:10">
      <c r="B1338" s="413"/>
      <c r="C1338" s="414"/>
      <c r="D1338" s="414"/>
      <c r="E1338" s="50"/>
      <c r="F1338" s="403">
        <v>3954</v>
      </c>
      <c r="G1338" s="406">
        <v>13688</v>
      </c>
      <c r="H1338" s="50"/>
      <c r="I1338" s="50"/>
      <c r="J1338" s="306"/>
    </row>
    <row r="1339" spans="2:10">
      <c r="B1339" s="413"/>
      <c r="C1339" s="414"/>
      <c r="D1339" s="414"/>
      <c r="E1339" s="50"/>
      <c r="F1339" s="403">
        <v>3956</v>
      </c>
      <c r="G1339" s="406">
        <v>13729</v>
      </c>
      <c r="H1339" s="50"/>
      <c r="I1339" s="50"/>
      <c r="J1339" s="306"/>
    </row>
    <row r="1340" spans="2:10">
      <c r="B1340" s="413"/>
      <c r="C1340" s="414"/>
      <c r="D1340" s="414"/>
      <c r="E1340" s="50"/>
      <c r="F1340" s="403">
        <v>3957</v>
      </c>
      <c r="G1340" s="406">
        <v>13735</v>
      </c>
      <c r="H1340" s="50"/>
      <c r="I1340" s="50"/>
      <c r="J1340" s="306"/>
    </row>
    <row r="1341" spans="2:10">
      <c r="B1341" s="413"/>
      <c r="C1341" s="414"/>
      <c r="D1341" s="414"/>
      <c r="E1341" s="50"/>
      <c r="F1341" s="403">
        <v>3958</v>
      </c>
      <c r="G1341" s="406">
        <v>13729</v>
      </c>
      <c r="H1341" s="50"/>
      <c r="I1341" s="50"/>
      <c r="J1341" s="306"/>
    </row>
    <row r="1342" spans="2:10">
      <c r="B1342" s="413"/>
      <c r="C1342" s="414"/>
      <c r="D1342" s="414"/>
      <c r="E1342" s="50"/>
      <c r="F1342" s="403">
        <v>3959</v>
      </c>
      <c r="G1342" s="406">
        <v>15596</v>
      </c>
      <c r="H1342" s="50"/>
      <c r="I1342" s="50"/>
      <c r="J1342" s="306"/>
    </row>
    <row r="1343" spans="2:10">
      <c r="B1343" s="413"/>
      <c r="C1343" s="414"/>
      <c r="D1343" s="414"/>
      <c r="E1343" s="50"/>
      <c r="F1343" s="403">
        <v>3960</v>
      </c>
      <c r="G1343" s="406">
        <v>20250</v>
      </c>
      <c r="H1343" s="50"/>
      <c r="I1343" s="50"/>
      <c r="J1343" s="306"/>
    </row>
    <row r="1344" spans="2:10">
      <c r="B1344" s="413"/>
      <c r="C1344" s="414"/>
      <c r="D1344" s="414"/>
      <c r="E1344" s="50"/>
      <c r="F1344" s="403">
        <v>3962</v>
      </c>
      <c r="G1344" s="406">
        <v>19592</v>
      </c>
      <c r="H1344" s="50"/>
      <c r="I1344" s="50"/>
      <c r="J1344" s="306"/>
    </row>
    <row r="1345" spans="2:10">
      <c r="B1345" s="413"/>
      <c r="C1345" s="414"/>
      <c r="D1345" s="414"/>
      <c r="E1345" s="50"/>
      <c r="F1345" s="403">
        <v>3964</v>
      </c>
      <c r="G1345" s="406">
        <v>17921</v>
      </c>
      <c r="H1345" s="50"/>
      <c r="I1345" s="50"/>
      <c r="J1345" s="306"/>
    </row>
    <row r="1346" spans="2:10">
      <c r="B1346" s="413"/>
      <c r="C1346" s="414"/>
      <c r="D1346" s="414"/>
      <c r="E1346" s="50"/>
      <c r="F1346" s="403">
        <v>3965</v>
      </c>
      <c r="G1346" s="406">
        <v>20698</v>
      </c>
      <c r="H1346" s="50"/>
      <c r="I1346" s="50"/>
      <c r="J1346" s="306"/>
    </row>
    <row r="1347" spans="2:10">
      <c r="B1347" s="413"/>
      <c r="C1347" s="414"/>
      <c r="D1347" s="414"/>
      <c r="E1347" s="50"/>
      <c r="F1347" s="403">
        <v>3966</v>
      </c>
      <c r="G1347" s="406">
        <v>20772</v>
      </c>
      <c r="H1347" s="50"/>
      <c r="I1347" s="50"/>
      <c r="J1347" s="306"/>
    </row>
    <row r="1348" spans="2:10">
      <c r="B1348" s="413"/>
      <c r="C1348" s="414"/>
      <c r="D1348" s="414"/>
      <c r="E1348" s="50"/>
      <c r="F1348" s="403">
        <v>3967</v>
      </c>
      <c r="G1348" s="406">
        <v>20698</v>
      </c>
      <c r="H1348" s="50"/>
      <c r="I1348" s="50"/>
      <c r="J1348" s="306"/>
    </row>
    <row r="1349" spans="2:10">
      <c r="B1349" s="413"/>
      <c r="C1349" s="414"/>
      <c r="D1349" s="414"/>
      <c r="E1349" s="50"/>
      <c r="F1349" s="403">
        <v>3971</v>
      </c>
      <c r="G1349" s="406">
        <v>20772</v>
      </c>
      <c r="H1349" s="50"/>
      <c r="I1349" s="50"/>
      <c r="J1349" s="306"/>
    </row>
    <row r="1350" spans="2:10">
      <c r="B1350" s="413"/>
      <c r="C1350" s="414"/>
      <c r="D1350" s="414"/>
      <c r="E1350" s="50"/>
      <c r="F1350" s="403">
        <v>3975</v>
      </c>
      <c r="G1350" s="406">
        <v>16602</v>
      </c>
      <c r="H1350" s="50"/>
      <c r="I1350" s="50"/>
      <c r="J1350" s="306"/>
    </row>
    <row r="1351" spans="2:10">
      <c r="B1351" s="413"/>
      <c r="C1351" s="414"/>
      <c r="D1351" s="414"/>
      <c r="E1351" s="50"/>
      <c r="F1351" s="403">
        <v>3976</v>
      </c>
      <c r="G1351" s="406">
        <v>16773</v>
      </c>
      <c r="H1351" s="50"/>
      <c r="I1351" s="50"/>
      <c r="J1351" s="306"/>
    </row>
    <row r="1352" spans="2:10">
      <c r="B1352" s="413"/>
      <c r="C1352" s="414"/>
      <c r="D1352" s="414"/>
      <c r="E1352" s="50"/>
      <c r="F1352" s="403">
        <v>3977</v>
      </c>
      <c r="G1352" s="406">
        <v>17638</v>
      </c>
      <c r="H1352" s="50"/>
      <c r="I1352" s="50"/>
      <c r="J1352" s="306"/>
    </row>
    <row r="1353" spans="2:10">
      <c r="B1353" s="413"/>
      <c r="C1353" s="414"/>
      <c r="D1353" s="414"/>
      <c r="E1353" s="50"/>
      <c r="F1353" s="403">
        <v>3978</v>
      </c>
      <c r="G1353" s="406">
        <v>17471</v>
      </c>
      <c r="H1353" s="50"/>
      <c r="I1353" s="50"/>
      <c r="J1353" s="306"/>
    </row>
    <row r="1354" spans="2:10">
      <c r="B1354" s="413"/>
      <c r="C1354" s="414"/>
      <c r="D1354" s="414"/>
      <c r="E1354" s="50"/>
      <c r="F1354" s="403">
        <v>3979</v>
      </c>
      <c r="G1354" s="406">
        <v>14111</v>
      </c>
      <c r="H1354" s="50"/>
      <c r="I1354" s="50"/>
      <c r="J1354" s="306"/>
    </row>
    <row r="1355" spans="2:10">
      <c r="B1355" s="413"/>
      <c r="C1355" s="414"/>
      <c r="D1355" s="414"/>
      <c r="E1355" s="50"/>
      <c r="F1355" s="403">
        <v>3980</v>
      </c>
      <c r="G1355" s="406">
        <v>17685</v>
      </c>
      <c r="H1355" s="50"/>
      <c r="I1355" s="50"/>
      <c r="J1355" s="306"/>
    </row>
    <row r="1356" spans="2:10">
      <c r="B1356" s="413"/>
      <c r="C1356" s="414"/>
      <c r="D1356" s="414"/>
      <c r="E1356" s="50"/>
      <c r="F1356" s="403">
        <v>3981</v>
      </c>
      <c r="G1356" s="406">
        <v>20495</v>
      </c>
      <c r="H1356" s="50"/>
      <c r="I1356" s="50"/>
      <c r="J1356" s="306"/>
    </row>
    <row r="1357" spans="2:10">
      <c r="B1357" s="413"/>
      <c r="C1357" s="414"/>
      <c r="D1357" s="414"/>
      <c r="E1357" s="50"/>
      <c r="F1357" s="403">
        <v>3984</v>
      </c>
      <c r="G1357" s="406">
        <v>20022</v>
      </c>
      <c r="H1357" s="50"/>
      <c r="I1357" s="50"/>
      <c r="J1357" s="306"/>
    </row>
    <row r="1358" spans="2:10">
      <c r="B1358" s="413"/>
      <c r="C1358" s="414"/>
      <c r="D1358" s="414"/>
      <c r="E1358" s="50"/>
      <c r="F1358" s="403">
        <v>3987</v>
      </c>
      <c r="G1358" s="406">
        <v>19399</v>
      </c>
      <c r="H1358" s="50"/>
      <c r="I1358" s="50"/>
      <c r="J1358" s="306"/>
    </row>
    <row r="1359" spans="2:10">
      <c r="B1359" s="413"/>
      <c r="C1359" s="414"/>
      <c r="D1359" s="414"/>
      <c r="E1359" s="50"/>
      <c r="F1359" s="403">
        <v>3988</v>
      </c>
      <c r="G1359" s="406">
        <v>17155</v>
      </c>
      <c r="H1359" s="50"/>
      <c r="I1359" s="50"/>
      <c r="J1359" s="306"/>
    </row>
    <row r="1360" spans="2:10">
      <c r="B1360" s="413"/>
      <c r="C1360" s="414"/>
      <c r="D1360" s="414"/>
      <c r="E1360" s="50"/>
      <c r="F1360" s="403">
        <v>3989</v>
      </c>
      <c r="G1360" s="406">
        <v>19590</v>
      </c>
      <c r="H1360" s="50"/>
      <c r="I1360" s="50"/>
      <c r="J1360" s="306"/>
    </row>
    <row r="1361" spans="2:10">
      <c r="B1361" s="413"/>
      <c r="C1361" s="414"/>
      <c r="D1361" s="414"/>
      <c r="E1361" s="50"/>
      <c r="F1361" s="403">
        <v>3990</v>
      </c>
      <c r="G1361" s="406">
        <v>26192</v>
      </c>
      <c r="H1361" s="50"/>
      <c r="I1361" s="50"/>
      <c r="J1361" s="306"/>
    </row>
    <row r="1362" spans="2:10">
      <c r="B1362" s="413"/>
      <c r="C1362" s="414"/>
      <c r="D1362" s="414"/>
      <c r="E1362" s="50"/>
      <c r="F1362" s="403">
        <v>3991</v>
      </c>
      <c r="G1362" s="406">
        <v>26192</v>
      </c>
      <c r="H1362" s="50"/>
      <c r="I1362" s="50"/>
      <c r="J1362" s="306"/>
    </row>
    <row r="1363" spans="2:10">
      <c r="B1363" s="413"/>
      <c r="C1363" s="414"/>
      <c r="D1363" s="414"/>
      <c r="E1363" s="50"/>
      <c r="F1363" s="403">
        <v>3992</v>
      </c>
      <c r="G1363" s="406">
        <v>19976</v>
      </c>
      <c r="H1363" s="50"/>
      <c r="I1363" s="50"/>
      <c r="J1363" s="306"/>
    </row>
    <row r="1364" spans="2:10">
      <c r="B1364" s="413"/>
      <c r="C1364" s="414"/>
      <c r="D1364" s="414"/>
      <c r="E1364" s="50"/>
      <c r="F1364" s="403">
        <v>3995</v>
      </c>
      <c r="G1364" s="406">
        <v>13748</v>
      </c>
      <c r="H1364" s="50"/>
      <c r="I1364" s="50"/>
      <c r="J1364" s="306"/>
    </row>
    <row r="1365" spans="2:10">
      <c r="B1365" s="413"/>
      <c r="C1365" s="414"/>
      <c r="D1365" s="414"/>
      <c r="E1365" s="50"/>
      <c r="F1365" s="403">
        <v>3996</v>
      </c>
      <c r="G1365" s="406">
        <v>13716</v>
      </c>
      <c r="H1365" s="50"/>
      <c r="I1365" s="50"/>
      <c r="J1365" s="306"/>
    </row>
    <row r="1366" spans="2:10">
      <c r="B1366" s="413"/>
      <c r="C1366" s="414"/>
      <c r="D1366" s="414"/>
      <c r="E1366" s="50"/>
      <c r="F1366" s="403">
        <v>4000</v>
      </c>
      <c r="G1366" s="406">
        <v>11965</v>
      </c>
      <c r="H1366" s="50"/>
      <c r="I1366" s="50"/>
      <c r="J1366" s="306"/>
    </row>
    <row r="1367" spans="2:10">
      <c r="B1367" s="413"/>
      <c r="C1367" s="414"/>
      <c r="D1367" s="414"/>
      <c r="E1367" s="50"/>
      <c r="F1367" s="403">
        <v>4005</v>
      </c>
      <c r="G1367" s="406">
        <v>12185</v>
      </c>
      <c r="H1367" s="50"/>
      <c r="I1367" s="50"/>
      <c r="J1367" s="306"/>
    </row>
    <row r="1368" spans="2:10">
      <c r="B1368" s="413"/>
      <c r="C1368" s="414"/>
      <c r="D1368" s="414"/>
      <c r="E1368" s="50"/>
      <c r="F1368" s="403">
        <v>4006</v>
      </c>
      <c r="G1368" s="406">
        <v>11895</v>
      </c>
      <c r="H1368" s="50"/>
      <c r="I1368" s="50"/>
      <c r="J1368" s="306"/>
    </row>
    <row r="1369" spans="2:10">
      <c r="B1369" s="413"/>
      <c r="C1369" s="414"/>
      <c r="D1369" s="414"/>
      <c r="E1369" s="50"/>
      <c r="F1369" s="403">
        <v>4007</v>
      </c>
      <c r="G1369" s="406">
        <v>12133</v>
      </c>
      <c r="H1369" s="50"/>
      <c r="I1369" s="50"/>
      <c r="J1369" s="306"/>
    </row>
    <row r="1370" spans="2:10">
      <c r="B1370" s="413"/>
      <c r="C1370" s="414"/>
      <c r="D1370" s="414"/>
      <c r="E1370" s="50"/>
      <c r="F1370" s="403">
        <v>4008</v>
      </c>
      <c r="G1370" s="406">
        <v>14135</v>
      </c>
      <c r="H1370" s="50"/>
      <c r="I1370" s="50"/>
      <c r="J1370" s="306"/>
    </row>
    <row r="1371" spans="2:10">
      <c r="B1371" s="413"/>
      <c r="C1371" s="414"/>
      <c r="D1371" s="414"/>
      <c r="E1371" s="50"/>
      <c r="F1371" s="403">
        <v>4009</v>
      </c>
      <c r="G1371" s="406">
        <v>12837</v>
      </c>
      <c r="H1371" s="50"/>
      <c r="I1371" s="50"/>
      <c r="J1371" s="306"/>
    </row>
    <row r="1372" spans="2:10">
      <c r="B1372" s="413"/>
      <c r="C1372" s="414"/>
      <c r="D1372" s="414"/>
      <c r="E1372" s="50"/>
      <c r="F1372" s="403">
        <v>4010</v>
      </c>
      <c r="G1372" s="406">
        <v>11791</v>
      </c>
      <c r="H1372" s="50"/>
      <c r="I1372" s="50"/>
      <c r="J1372" s="306"/>
    </row>
    <row r="1373" spans="2:10">
      <c r="B1373" s="413"/>
      <c r="C1373" s="414"/>
      <c r="D1373" s="414"/>
      <c r="E1373" s="50"/>
      <c r="F1373" s="403">
        <v>4011</v>
      </c>
      <c r="G1373" s="406">
        <v>11783</v>
      </c>
      <c r="H1373" s="50"/>
      <c r="I1373" s="50"/>
      <c r="J1373" s="306"/>
    </row>
    <row r="1374" spans="2:10">
      <c r="B1374" s="413"/>
      <c r="C1374" s="414"/>
      <c r="D1374" s="414"/>
      <c r="E1374" s="50"/>
      <c r="F1374" s="403">
        <v>4012</v>
      </c>
      <c r="G1374" s="406">
        <v>11828</v>
      </c>
      <c r="H1374" s="50"/>
      <c r="I1374" s="50"/>
      <c r="J1374" s="306"/>
    </row>
    <row r="1375" spans="2:10">
      <c r="B1375" s="413"/>
      <c r="C1375" s="414"/>
      <c r="D1375" s="414"/>
      <c r="E1375" s="50"/>
      <c r="F1375" s="403">
        <v>4013</v>
      </c>
      <c r="G1375" s="406">
        <v>12057</v>
      </c>
      <c r="H1375" s="50"/>
      <c r="I1375" s="50"/>
      <c r="J1375" s="306"/>
    </row>
    <row r="1376" spans="2:10">
      <c r="B1376" s="413"/>
      <c r="C1376" s="414"/>
      <c r="D1376" s="414"/>
      <c r="E1376" s="50"/>
      <c r="F1376" s="403">
        <v>4014</v>
      </c>
      <c r="G1376" s="406">
        <v>12506</v>
      </c>
      <c r="H1376" s="50"/>
      <c r="I1376" s="50"/>
      <c r="J1376" s="306"/>
    </row>
    <row r="1377" spans="2:10">
      <c r="B1377" s="413"/>
      <c r="C1377" s="414"/>
      <c r="D1377" s="414"/>
      <c r="E1377" s="50"/>
      <c r="F1377" s="403">
        <v>4017</v>
      </c>
      <c r="G1377" s="406">
        <v>12726</v>
      </c>
      <c r="H1377" s="50"/>
      <c r="I1377" s="50"/>
      <c r="J1377" s="306"/>
    </row>
    <row r="1378" spans="2:10">
      <c r="B1378" s="413"/>
      <c r="C1378" s="414"/>
      <c r="D1378" s="414"/>
      <c r="E1378" s="50"/>
      <c r="F1378" s="403">
        <v>4018</v>
      </c>
      <c r="G1378" s="406">
        <v>12641</v>
      </c>
      <c r="H1378" s="50"/>
      <c r="I1378" s="50"/>
      <c r="J1378" s="306"/>
    </row>
    <row r="1379" spans="2:10">
      <c r="B1379" s="413"/>
      <c r="C1379" s="414"/>
      <c r="D1379" s="414"/>
      <c r="E1379" s="50"/>
      <c r="F1379" s="403">
        <v>4019</v>
      </c>
      <c r="G1379" s="406">
        <v>13539</v>
      </c>
      <c r="H1379" s="50"/>
      <c r="I1379" s="50"/>
      <c r="J1379" s="306"/>
    </row>
    <row r="1380" spans="2:10">
      <c r="B1380" s="413"/>
      <c r="C1380" s="414"/>
      <c r="D1380" s="414"/>
      <c r="E1380" s="50"/>
      <c r="F1380" s="403">
        <v>4020</v>
      </c>
      <c r="G1380" s="406">
        <v>13778</v>
      </c>
      <c r="H1380" s="50"/>
      <c r="I1380" s="50"/>
      <c r="J1380" s="306"/>
    </row>
    <row r="1381" spans="2:10">
      <c r="B1381" s="413"/>
      <c r="C1381" s="414"/>
      <c r="D1381" s="414"/>
      <c r="E1381" s="50"/>
      <c r="F1381" s="403">
        <v>4021</v>
      </c>
      <c r="G1381" s="406">
        <v>13778</v>
      </c>
      <c r="H1381" s="50"/>
      <c r="I1381" s="50"/>
      <c r="J1381" s="306"/>
    </row>
    <row r="1382" spans="2:10">
      <c r="B1382" s="413"/>
      <c r="C1382" s="414"/>
      <c r="D1382" s="414"/>
      <c r="E1382" s="50"/>
      <c r="F1382" s="403">
        <v>4022</v>
      </c>
      <c r="G1382" s="406">
        <v>13778</v>
      </c>
      <c r="H1382" s="50"/>
      <c r="I1382" s="50"/>
      <c r="J1382" s="306"/>
    </row>
    <row r="1383" spans="2:10">
      <c r="B1383" s="413"/>
      <c r="C1383" s="414"/>
      <c r="D1383" s="414"/>
      <c r="E1383" s="50"/>
      <c r="F1383" s="403">
        <v>4029</v>
      </c>
      <c r="G1383" s="406">
        <v>11881</v>
      </c>
      <c r="H1383" s="50"/>
      <c r="I1383" s="50"/>
      <c r="J1383" s="306"/>
    </row>
    <row r="1384" spans="2:10">
      <c r="B1384" s="413"/>
      <c r="C1384" s="414"/>
      <c r="D1384" s="414"/>
      <c r="E1384" s="50"/>
      <c r="F1384" s="403">
        <v>4030</v>
      </c>
      <c r="G1384" s="406">
        <v>11791</v>
      </c>
      <c r="H1384" s="50"/>
      <c r="I1384" s="50"/>
      <c r="J1384" s="306"/>
    </row>
    <row r="1385" spans="2:10">
      <c r="B1385" s="413"/>
      <c r="C1385" s="414"/>
      <c r="D1385" s="414"/>
      <c r="E1385" s="50"/>
      <c r="F1385" s="403">
        <v>4031</v>
      </c>
      <c r="G1385" s="406">
        <v>11820</v>
      </c>
      <c r="H1385" s="50"/>
      <c r="I1385" s="50"/>
      <c r="J1385" s="306"/>
    </row>
    <row r="1386" spans="2:10">
      <c r="B1386" s="413"/>
      <c r="C1386" s="414"/>
      <c r="D1386" s="414"/>
      <c r="E1386" s="50"/>
      <c r="F1386" s="403">
        <v>4032</v>
      </c>
      <c r="G1386" s="406">
        <v>12045</v>
      </c>
      <c r="H1386" s="50"/>
      <c r="I1386" s="50"/>
      <c r="J1386" s="306"/>
    </row>
    <row r="1387" spans="2:10">
      <c r="B1387" s="413"/>
      <c r="C1387" s="414"/>
      <c r="D1387" s="414"/>
      <c r="E1387" s="50"/>
      <c r="F1387" s="403">
        <v>4034</v>
      </c>
      <c r="G1387" s="406">
        <v>12469</v>
      </c>
      <c r="H1387" s="50"/>
      <c r="I1387" s="50"/>
      <c r="J1387" s="306"/>
    </row>
    <row r="1388" spans="2:10">
      <c r="B1388" s="413"/>
      <c r="C1388" s="414"/>
      <c r="D1388" s="414"/>
      <c r="E1388" s="50"/>
      <c r="F1388" s="403">
        <v>4035</v>
      </c>
      <c r="G1388" s="406">
        <v>12087</v>
      </c>
      <c r="H1388" s="50"/>
      <c r="I1388" s="50"/>
      <c r="J1388" s="306"/>
    </row>
    <row r="1389" spans="2:10">
      <c r="B1389" s="413"/>
      <c r="C1389" s="414"/>
      <c r="D1389" s="414"/>
      <c r="E1389" s="50"/>
      <c r="F1389" s="403">
        <v>4036</v>
      </c>
      <c r="G1389" s="406">
        <v>12569</v>
      </c>
      <c r="H1389" s="50"/>
      <c r="I1389" s="50"/>
      <c r="J1389" s="306"/>
    </row>
    <row r="1390" spans="2:10">
      <c r="B1390" s="413"/>
      <c r="C1390" s="414"/>
      <c r="D1390" s="414"/>
      <c r="E1390" s="50"/>
      <c r="F1390" s="403">
        <v>4037</v>
      </c>
      <c r="G1390" s="406">
        <v>12292</v>
      </c>
      <c r="H1390" s="50"/>
      <c r="I1390" s="50"/>
      <c r="J1390" s="306"/>
    </row>
    <row r="1391" spans="2:10">
      <c r="B1391" s="413"/>
      <c r="C1391" s="414"/>
      <c r="D1391" s="414"/>
      <c r="E1391" s="50"/>
      <c r="F1391" s="403">
        <v>4051</v>
      </c>
      <c r="G1391" s="406">
        <v>11562</v>
      </c>
      <c r="H1391" s="50"/>
      <c r="I1391" s="50"/>
      <c r="J1391" s="306"/>
    </row>
    <row r="1392" spans="2:10">
      <c r="B1392" s="413"/>
      <c r="C1392" s="414"/>
      <c r="D1392" s="414"/>
      <c r="E1392" s="50"/>
      <c r="F1392" s="403">
        <v>4053</v>
      </c>
      <c r="G1392" s="406">
        <v>11637</v>
      </c>
      <c r="H1392" s="50"/>
      <c r="I1392" s="50"/>
      <c r="J1392" s="306"/>
    </row>
    <row r="1393" spans="2:10">
      <c r="B1393" s="413"/>
      <c r="C1393" s="414"/>
      <c r="D1393" s="414"/>
      <c r="E1393" s="50"/>
      <c r="F1393" s="403">
        <v>4054</v>
      </c>
      <c r="G1393" s="406">
        <v>11588</v>
      </c>
      <c r="H1393" s="50"/>
      <c r="I1393" s="50"/>
      <c r="J1393" s="306"/>
    </row>
    <row r="1394" spans="2:10">
      <c r="B1394" s="413"/>
      <c r="C1394" s="414"/>
      <c r="D1394" s="414"/>
      <c r="E1394" s="50"/>
      <c r="F1394" s="403">
        <v>4055</v>
      </c>
      <c r="G1394" s="406">
        <v>11901</v>
      </c>
      <c r="H1394" s="50"/>
      <c r="I1394" s="50"/>
      <c r="J1394" s="306"/>
    </row>
    <row r="1395" spans="2:10">
      <c r="B1395" s="413"/>
      <c r="C1395" s="414"/>
      <c r="D1395" s="414"/>
      <c r="E1395" s="50"/>
      <c r="F1395" s="403">
        <v>4059</v>
      </c>
      <c r="G1395" s="406">
        <v>11773</v>
      </c>
      <c r="H1395" s="50"/>
      <c r="I1395" s="50"/>
      <c r="J1395" s="306"/>
    </row>
    <row r="1396" spans="2:10">
      <c r="B1396" s="413"/>
      <c r="C1396" s="414"/>
      <c r="D1396" s="414"/>
      <c r="E1396" s="50"/>
      <c r="F1396" s="403">
        <v>4060</v>
      </c>
      <c r="G1396" s="406">
        <v>11572</v>
      </c>
      <c r="H1396" s="50"/>
      <c r="I1396" s="50"/>
      <c r="J1396" s="306"/>
    </row>
    <row r="1397" spans="2:10">
      <c r="B1397" s="413"/>
      <c r="C1397" s="414"/>
      <c r="D1397" s="414"/>
      <c r="E1397" s="50"/>
      <c r="F1397" s="403">
        <v>4061</v>
      </c>
      <c r="G1397" s="406">
        <v>11499</v>
      </c>
      <c r="H1397" s="50"/>
      <c r="I1397" s="50"/>
      <c r="J1397" s="306"/>
    </row>
    <row r="1398" spans="2:10">
      <c r="B1398" s="413"/>
      <c r="C1398" s="414"/>
      <c r="D1398" s="414"/>
      <c r="E1398" s="50"/>
      <c r="F1398" s="403">
        <v>4064</v>
      </c>
      <c r="G1398" s="406">
        <v>11802</v>
      </c>
      <c r="H1398" s="50"/>
      <c r="I1398" s="50"/>
      <c r="J1398" s="306"/>
    </row>
    <row r="1399" spans="2:10">
      <c r="B1399" s="413"/>
      <c r="C1399" s="414"/>
      <c r="D1399" s="414"/>
      <c r="E1399" s="50"/>
      <c r="F1399" s="403">
        <v>4065</v>
      </c>
      <c r="G1399" s="406">
        <v>11601</v>
      </c>
      <c r="H1399" s="50"/>
      <c r="I1399" s="50"/>
      <c r="J1399" s="306"/>
    </row>
    <row r="1400" spans="2:10">
      <c r="B1400" s="413"/>
      <c r="C1400" s="414"/>
      <c r="D1400" s="414"/>
      <c r="E1400" s="50"/>
      <c r="F1400" s="403">
        <v>4066</v>
      </c>
      <c r="G1400" s="406">
        <v>11628</v>
      </c>
      <c r="H1400" s="50"/>
      <c r="I1400" s="50"/>
      <c r="J1400" s="306"/>
    </row>
    <row r="1401" spans="2:10">
      <c r="B1401" s="413"/>
      <c r="C1401" s="414"/>
      <c r="D1401" s="414"/>
      <c r="E1401" s="50"/>
      <c r="F1401" s="403">
        <v>4067</v>
      </c>
      <c r="G1401" s="406">
        <v>12354</v>
      </c>
      <c r="H1401" s="50"/>
      <c r="I1401" s="50"/>
      <c r="J1401" s="306"/>
    </row>
    <row r="1402" spans="2:10">
      <c r="B1402" s="413"/>
      <c r="C1402" s="414"/>
      <c r="D1402" s="414"/>
      <c r="E1402" s="50"/>
      <c r="F1402" s="403">
        <v>4068</v>
      </c>
      <c r="G1402" s="406">
        <v>12114</v>
      </c>
      <c r="H1402" s="50"/>
      <c r="I1402" s="50"/>
      <c r="J1402" s="306"/>
    </row>
    <row r="1403" spans="2:10">
      <c r="B1403" s="413"/>
      <c r="C1403" s="414"/>
      <c r="D1403" s="414"/>
      <c r="E1403" s="50"/>
      <c r="F1403" s="403">
        <v>4069</v>
      </c>
      <c r="G1403" s="406">
        <v>11871</v>
      </c>
      <c r="H1403" s="50"/>
      <c r="I1403" s="50"/>
      <c r="J1403" s="306"/>
    </row>
    <row r="1404" spans="2:10">
      <c r="B1404" s="413"/>
      <c r="C1404" s="414"/>
      <c r="D1404" s="414"/>
      <c r="E1404" s="50"/>
      <c r="F1404" s="403">
        <v>4070</v>
      </c>
      <c r="G1404" s="406">
        <v>13422</v>
      </c>
      <c r="H1404" s="50"/>
      <c r="I1404" s="50"/>
      <c r="J1404" s="306"/>
    </row>
    <row r="1405" spans="2:10">
      <c r="B1405" s="413"/>
      <c r="C1405" s="414"/>
      <c r="D1405" s="414"/>
      <c r="E1405" s="50"/>
      <c r="F1405" s="403">
        <v>4072</v>
      </c>
      <c r="G1405" s="406">
        <v>12899</v>
      </c>
      <c r="H1405" s="50"/>
      <c r="I1405" s="50"/>
      <c r="J1405" s="306"/>
    </row>
    <row r="1406" spans="2:10">
      <c r="B1406" s="413"/>
      <c r="C1406" s="414"/>
      <c r="D1406" s="414"/>
      <c r="E1406" s="50"/>
      <c r="F1406" s="403">
        <v>4073</v>
      </c>
      <c r="G1406" s="406">
        <v>12553</v>
      </c>
      <c r="H1406" s="50"/>
      <c r="I1406" s="50"/>
      <c r="J1406" s="306"/>
    </row>
    <row r="1407" spans="2:10">
      <c r="B1407" s="413"/>
      <c r="C1407" s="414"/>
      <c r="D1407" s="414"/>
      <c r="E1407" s="50"/>
      <c r="F1407" s="403">
        <v>4074</v>
      </c>
      <c r="G1407" s="406">
        <v>12507</v>
      </c>
      <c r="H1407" s="50"/>
      <c r="I1407" s="50"/>
      <c r="J1407" s="306"/>
    </row>
    <row r="1408" spans="2:10">
      <c r="B1408" s="413"/>
      <c r="C1408" s="414"/>
      <c r="D1408" s="414"/>
      <c r="E1408" s="50"/>
      <c r="F1408" s="403">
        <v>4075</v>
      </c>
      <c r="G1408" s="406">
        <v>12962</v>
      </c>
      <c r="H1408" s="50"/>
      <c r="I1408" s="50"/>
      <c r="J1408" s="306"/>
    </row>
    <row r="1409" spans="2:10">
      <c r="B1409" s="413"/>
      <c r="C1409" s="414"/>
      <c r="D1409" s="414"/>
      <c r="E1409" s="50"/>
      <c r="F1409" s="403">
        <v>4076</v>
      </c>
      <c r="G1409" s="406">
        <v>12781</v>
      </c>
      <c r="H1409" s="50"/>
      <c r="I1409" s="50"/>
      <c r="J1409" s="306"/>
    </row>
    <row r="1410" spans="2:10">
      <c r="B1410" s="413"/>
      <c r="C1410" s="414"/>
      <c r="D1410" s="414"/>
      <c r="E1410" s="50"/>
      <c r="F1410" s="403">
        <v>4077</v>
      </c>
      <c r="G1410" s="406">
        <v>12965</v>
      </c>
      <c r="H1410" s="50"/>
      <c r="I1410" s="50"/>
      <c r="J1410" s="306"/>
    </row>
    <row r="1411" spans="2:10">
      <c r="B1411" s="413"/>
      <c r="C1411" s="414"/>
      <c r="D1411" s="414"/>
      <c r="E1411" s="50"/>
      <c r="F1411" s="403">
        <v>4078</v>
      </c>
      <c r="G1411" s="406">
        <v>13346</v>
      </c>
      <c r="H1411" s="50"/>
      <c r="I1411" s="50"/>
      <c r="J1411" s="306"/>
    </row>
    <row r="1412" spans="2:10">
      <c r="B1412" s="413"/>
      <c r="C1412" s="414"/>
      <c r="D1412" s="414"/>
      <c r="E1412" s="50"/>
      <c r="F1412" s="403">
        <v>4101</v>
      </c>
      <c r="G1412" s="406">
        <v>12060</v>
      </c>
      <c r="H1412" s="50"/>
      <c r="I1412" s="50"/>
      <c r="J1412" s="306"/>
    </row>
    <row r="1413" spans="2:10">
      <c r="B1413" s="413"/>
      <c r="C1413" s="414"/>
      <c r="D1413" s="414"/>
      <c r="E1413" s="50"/>
      <c r="F1413" s="403">
        <v>4102</v>
      </c>
      <c r="G1413" s="406">
        <v>13088</v>
      </c>
      <c r="H1413" s="50"/>
      <c r="I1413" s="50"/>
      <c r="J1413" s="306"/>
    </row>
    <row r="1414" spans="2:10">
      <c r="B1414" s="413"/>
      <c r="C1414" s="414"/>
      <c r="D1414" s="414"/>
      <c r="E1414" s="50"/>
      <c r="F1414" s="403">
        <v>4103</v>
      </c>
      <c r="G1414" s="406">
        <v>13800</v>
      </c>
      <c r="H1414" s="50"/>
      <c r="I1414" s="50"/>
      <c r="J1414" s="306"/>
    </row>
    <row r="1415" spans="2:10">
      <c r="B1415" s="413"/>
      <c r="C1415" s="414"/>
      <c r="D1415" s="414"/>
      <c r="E1415" s="50"/>
      <c r="F1415" s="403">
        <v>4104</v>
      </c>
      <c r="G1415" s="406">
        <v>13579</v>
      </c>
      <c r="H1415" s="50"/>
      <c r="I1415" s="50"/>
      <c r="J1415" s="306"/>
    </row>
    <row r="1416" spans="2:10">
      <c r="B1416" s="413"/>
      <c r="C1416" s="414"/>
      <c r="D1416" s="414"/>
      <c r="E1416" s="50"/>
      <c r="F1416" s="403">
        <v>4105</v>
      </c>
      <c r="G1416" s="406">
        <v>13770</v>
      </c>
      <c r="H1416" s="50"/>
      <c r="I1416" s="50"/>
      <c r="J1416" s="306"/>
    </row>
    <row r="1417" spans="2:10">
      <c r="B1417" s="413"/>
      <c r="C1417" s="414"/>
      <c r="D1417" s="414"/>
      <c r="E1417" s="50"/>
      <c r="F1417" s="403">
        <v>4106</v>
      </c>
      <c r="G1417" s="406">
        <v>13350</v>
      </c>
      <c r="H1417" s="50"/>
      <c r="I1417" s="50"/>
      <c r="J1417" s="306"/>
    </row>
    <row r="1418" spans="2:10">
      <c r="B1418" s="413"/>
      <c r="C1418" s="414"/>
      <c r="D1418" s="414"/>
      <c r="E1418" s="50"/>
      <c r="F1418" s="403">
        <v>4107</v>
      </c>
      <c r="G1418" s="406">
        <v>14166</v>
      </c>
      <c r="H1418" s="50"/>
      <c r="I1418" s="50"/>
      <c r="J1418" s="306"/>
    </row>
    <row r="1419" spans="2:10">
      <c r="B1419" s="413"/>
      <c r="C1419" s="414"/>
      <c r="D1419" s="414"/>
      <c r="E1419" s="50"/>
      <c r="F1419" s="403">
        <v>4108</v>
      </c>
      <c r="G1419" s="406">
        <v>13333</v>
      </c>
      <c r="H1419" s="50"/>
      <c r="I1419" s="50"/>
      <c r="J1419" s="306"/>
    </row>
    <row r="1420" spans="2:10">
      <c r="B1420" s="413"/>
      <c r="C1420" s="414"/>
      <c r="D1420" s="414"/>
      <c r="E1420" s="50"/>
      <c r="F1420" s="403">
        <v>4109</v>
      </c>
      <c r="G1420" s="406">
        <v>14834</v>
      </c>
      <c r="H1420" s="50"/>
      <c r="I1420" s="50"/>
      <c r="J1420" s="306"/>
    </row>
    <row r="1421" spans="2:10">
      <c r="B1421" s="413"/>
      <c r="C1421" s="414"/>
      <c r="D1421" s="414"/>
      <c r="E1421" s="50"/>
      <c r="F1421" s="403">
        <v>4110</v>
      </c>
      <c r="G1421" s="406">
        <v>14111</v>
      </c>
      <c r="H1421" s="50"/>
      <c r="I1421" s="50"/>
      <c r="J1421" s="306"/>
    </row>
    <row r="1422" spans="2:10">
      <c r="B1422" s="413"/>
      <c r="C1422" s="414"/>
      <c r="D1422" s="414"/>
      <c r="E1422" s="50"/>
      <c r="F1422" s="403">
        <v>4111</v>
      </c>
      <c r="G1422" s="406">
        <v>14819</v>
      </c>
      <c r="H1422" s="50"/>
      <c r="I1422" s="50"/>
      <c r="J1422" s="306"/>
    </row>
    <row r="1423" spans="2:10">
      <c r="B1423" s="413"/>
      <c r="C1423" s="414"/>
      <c r="D1423" s="414"/>
      <c r="E1423" s="50"/>
      <c r="F1423" s="403">
        <v>4112</v>
      </c>
      <c r="G1423" s="406">
        <v>15452</v>
      </c>
      <c r="H1423" s="50"/>
      <c r="I1423" s="50"/>
      <c r="J1423" s="306"/>
    </row>
    <row r="1424" spans="2:10">
      <c r="B1424" s="413"/>
      <c r="C1424" s="414"/>
      <c r="D1424" s="414"/>
      <c r="E1424" s="50"/>
      <c r="F1424" s="403">
        <v>4113</v>
      </c>
      <c r="G1424" s="406">
        <v>15493</v>
      </c>
      <c r="H1424" s="50"/>
      <c r="I1424" s="50"/>
      <c r="J1424" s="306"/>
    </row>
    <row r="1425" spans="2:10">
      <c r="B1425" s="413"/>
      <c r="C1425" s="414"/>
      <c r="D1425" s="414"/>
      <c r="E1425" s="50"/>
      <c r="F1425" s="403">
        <v>4114</v>
      </c>
      <c r="G1425" s="406">
        <v>15772</v>
      </c>
      <c r="H1425" s="50"/>
      <c r="I1425" s="50"/>
      <c r="J1425" s="306"/>
    </row>
    <row r="1426" spans="2:10">
      <c r="B1426" s="413"/>
      <c r="C1426" s="414"/>
      <c r="D1426" s="414"/>
      <c r="E1426" s="50"/>
      <c r="F1426" s="403">
        <v>4115</v>
      </c>
      <c r="G1426" s="406">
        <v>15468</v>
      </c>
      <c r="H1426" s="50"/>
      <c r="I1426" s="50"/>
      <c r="J1426" s="306"/>
    </row>
    <row r="1427" spans="2:10">
      <c r="B1427" s="413"/>
      <c r="C1427" s="414"/>
      <c r="D1427" s="414"/>
      <c r="E1427" s="50"/>
      <c r="F1427" s="403">
        <v>4116</v>
      </c>
      <c r="G1427" s="406">
        <v>15711</v>
      </c>
      <c r="H1427" s="50"/>
      <c r="I1427" s="50"/>
      <c r="J1427" s="306"/>
    </row>
    <row r="1428" spans="2:10">
      <c r="B1428" s="413"/>
      <c r="C1428" s="414"/>
      <c r="D1428" s="414"/>
      <c r="E1428" s="50"/>
      <c r="F1428" s="403">
        <v>4117</v>
      </c>
      <c r="G1428" s="406">
        <v>15784</v>
      </c>
      <c r="H1428" s="50"/>
      <c r="I1428" s="50"/>
      <c r="J1428" s="306"/>
    </row>
    <row r="1429" spans="2:10">
      <c r="B1429" s="413"/>
      <c r="C1429" s="414"/>
      <c r="D1429" s="414"/>
      <c r="E1429" s="50"/>
      <c r="F1429" s="403">
        <v>4118</v>
      </c>
      <c r="G1429" s="406">
        <v>15842</v>
      </c>
      <c r="H1429" s="50"/>
      <c r="I1429" s="50"/>
      <c r="J1429" s="306"/>
    </row>
    <row r="1430" spans="2:10">
      <c r="B1430" s="413"/>
      <c r="C1430" s="414"/>
      <c r="D1430" s="414"/>
      <c r="E1430" s="50"/>
      <c r="F1430" s="403">
        <v>4119</v>
      </c>
      <c r="G1430" s="406">
        <v>15794</v>
      </c>
      <c r="H1430" s="50"/>
      <c r="I1430" s="50"/>
      <c r="J1430" s="306"/>
    </row>
    <row r="1431" spans="2:10">
      <c r="B1431" s="413"/>
      <c r="C1431" s="414"/>
      <c r="D1431" s="414"/>
      <c r="E1431" s="50"/>
      <c r="F1431" s="403">
        <v>4120</v>
      </c>
      <c r="G1431" s="406">
        <v>14087</v>
      </c>
      <c r="H1431" s="50"/>
      <c r="I1431" s="50"/>
      <c r="J1431" s="306"/>
    </row>
    <row r="1432" spans="2:10">
      <c r="B1432" s="413"/>
      <c r="C1432" s="414"/>
      <c r="D1432" s="414"/>
      <c r="E1432" s="50"/>
      <c r="F1432" s="403">
        <v>4121</v>
      </c>
      <c r="G1432" s="406">
        <v>14333</v>
      </c>
      <c r="H1432" s="50"/>
      <c r="I1432" s="50"/>
      <c r="J1432" s="306"/>
    </row>
    <row r="1433" spans="2:10">
      <c r="B1433" s="413"/>
      <c r="C1433" s="414"/>
      <c r="D1433" s="414"/>
      <c r="E1433" s="50"/>
      <c r="F1433" s="403">
        <v>4122</v>
      </c>
      <c r="G1433" s="406">
        <v>15247</v>
      </c>
      <c r="H1433" s="50"/>
      <c r="I1433" s="50"/>
      <c r="J1433" s="306"/>
    </row>
    <row r="1434" spans="2:10">
      <c r="B1434" s="413"/>
      <c r="C1434" s="414"/>
      <c r="D1434" s="414"/>
      <c r="E1434" s="50"/>
      <c r="F1434" s="403">
        <v>4123</v>
      </c>
      <c r="G1434" s="406">
        <v>15704</v>
      </c>
      <c r="H1434" s="50"/>
      <c r="I1434" s="50"/>
      <c r="J1434" s="306"/>
    </row>
    <row r="1435" spans="2:10">
      <c r="B1435" s="413"/>
      <c r="C1435" s="414"/>
      <c r="D1435" s="414"/>
      <c r="E1435" s="50"/>
      <c r="F1435" s="403">
        <v>4124</v>
      </c>
      <c r="G1435" s="406">
        <v>16206</v>
      </c>
      <c r="H1435" s="50"/>
      <c r="I1435" s="50"/>
      <c r="J1435" s="306"/>
    </row>
    <row r="1436" spans="2:10">
      <c r="B1436" s="413"/>
      <c r="C1436" s="414"/>
      <c r="D1436" s="414"/>
      <c r="E1436" s="50"/>
      <c r="F1436" s="403">
        <v>4125</v>
      </c>
      <c r="G1436" s="406">
        <v>15861</v>
      </c>
      <c r="H1436" s="50"/>
      <c r="I1436" s="50"/>
      <c r="J1436" s="306"/>
    </row>
    <row r="1437" spans="2:10">
      <c r="B1437" s="413"/>
      <c r="C1437" s="414"/>
      <c r="D1437" s="414"/>
      <c r="E1437" s="50"/>
      <c r="F1437" s="403">
        <v>4127</v>
      </c>
      <c r="G1437" s="406">
        <v>15746</v>
      </c>
      <c r="H1437" s="50"/>
      <c r="I1437" s="50"/>
      <c r="J1437" s="306"/>
    </row>
    <row r="1438" spans="2:10">
      <c r="B1438" s="413"/>
      <c r="C1438" s="414"/>
      <c r="D1438" s="414"/>
      <c r="E1438" s="50"/>
      <c r="F1438" s="403">
        <v>4128</v>
      </c>
      <c r="G1438" s="406">
        <v>15648</v>
      </c>
      <c r="H1438" s="50"/>
      <c r="I1438" s="50"/>
      <c r="J1438" s="306"/>
    </row>
    <row r="1439" spans="2:10">
      <c r="B1439" s="413"/>
      <c r="C1439" s="414"/>
      <c r="D1439" s="414"/>
      <c r="E1439" s="50"/>
      <c r="F1439" s="403">
        <v>4129</v>
      </c>
      <c r="G1439" s="406">
        <v>15431</v>
      </c>
      <c r="H1439" s="50"/>
      <c r="I1439" s="50"/>
      <c r="J1439" s="306"/>
    </row>
    <row r="1440" spans="2:10">
      <c r="B1440" s="413"/>
      <c r="C1440" s="414"/>
      <c r="D1440" s="414"/>
      <c r="E1440" s="50"/>
      <c r="F1440" s="403">
        <v>4130</v>
      </c>
      <c r="G1440" s="406">
        <v>15431</v>
      </c>
      <c r="H1440" s="50"/>
      <c r="I1440" s="50"/>
      <c r="J1440" s="306"/>
    </row>
    <row r="1441" spans="2:10">
      <c r="B1441" s="413"/>
      <c r="C1441" s="414"/>
      <c r="D1441" s="414"/>
      <c r="E1441" s="50"/>
      <c r="F1441" s="403">
        <v>4131</v>
      </c>
      <c r="G1441" s="406">
        <v>15692</v>
      </c>
      <c r="H1441" s="50"/>
      <c r="I1441" s="50"/>
      <c r="J1441" s="306"/>
    </row>
    <row r="1442" spans="2:10">
      <c r="B1442" s="413"/>
      <c r="C1442" s="414"/>
      <c r="D1442" s="414"/>
      <c r="E1442" s="50"/>
      <c r="F1442" s="403">
        <v>4132</v>
      </c>
      <c r="G1442" s="406">
        <v>15824</v>
      </c>
      <c r="H1442" s="50"/>
      <c r="I1442" s="50"/>
      <c r="J1442" s="306"/>
    </row>
    <row r="1443" spans="2:10">
      <c r="B1443" s="413"/>
      <c r="C1443" s="414"/>
      <c r="D1443" s="414"/>
      <c r="E1443" s="50"/>
      <c r="F1443" s="403">
        <v>4133</v>
      </c>
      <c r="G1443" s="406">
        <v>15794</v>
      </c>
      <c r="H1443" s="50"/>
      <c r="I1443" s="50"/>
      <c r="J1443" s="306"/>
    </row>
    <row r="1444" spans="2:10">
      <c r="B1444" s="413"/>
      <c r="C1444" s="414"/>
      <c r="D1444" s="414"/>
      <c r="E1444" s="50"/>
      <c r="F1444" s="403">
        <v>4151</v>
      </c>
      <c r="G1444" s="406">
        <v>14784</v>
      </c>
      <c r="H1444" s="50"/>
      <c r="I1444" s="50"/>
      <c r="J1444" s="306"/>
    </row>
    <row r="1445" spans="2:10">
      <c r="B1445" s="413"/>
      <c r="C1445" s="414"/>
      <c r="D1445" s="414"/>
      <c r="E1445" s="50"/>
      <c r="F1445" s="403">
        <v>4152</v>
      </c>
      <c r="G1445" s="406">
        <v>15204</v>
      </c>
      <c r="H1445" s="50"/>
      <c r="I1445" s="50"/>
      <c r="J1445" s="306"/>
    </row>
    <row r="1446" spans="2:10">
      <c r="B1446" s="413"/>
      <c r="C1446" s="414"/>
      <c r="D1446" s="414"/>
      <c r="E1446" s="50"/>
      <c r="F1446" s="403">
        <v>4153</v>
      </c>
      <c r="G1446" s="406">
        <v>15552</v>
      </c>
      <c r="H1446" s="50"/>
      <c r="I1446" s="50"/>
      <c r="J1446" s="306"/>
    </row>
    <row r="1447" spans="2:10">
      <c r="B1447" s="413"/>
      <c r="C1447" s="414"/>
      <c r="D1447" s="414"/>
      <c r="E1447" s="50"/>
      <c r="F1447" s="403">
        <v>4154</v>
      </c>
      <c r="G1447" s="406">
        <v>15311</v>
      </c>
      <c r="H1447" s="50"/>
      <c r="I1447" s="50"/>
      <c r="J1447" s="306"/>
    </row>
    <row r="1448" spans="2:10">
      <c r="B1448" s="413"/>
      <c r="C1448" s="414"/>
      <c r="D1448" s="414"/>
      <c r="E1448" s="50"/>
      <c r="F1448" s="403">
        <v>4155</v>
      </c>
      <c r="G1448" s="406">
        <v>15424</v>
      </c>
      <c r="H1448" s="50"/>
      <c r="I1448" s="50"/>
      <c r="J1448" s="306"/>
    </row>
    <row r="1449" spans="2:10">
      <c r="B1449" s="413"/>
      <c r="C1449" s="414"/>
      <c r="D1449" s="414"/>
      <c r="E1449" s="50"/>
      <c r="F1449" s="403">
        <v>4156</v>
      </c>
      <c r="G1449" s="406">
        <v>15198</v>
      </c>
      <c r="H1449" s="50"/>
      <c r="I1449" s="50"/>
      <c r="J1449" s="306"/>
    </row>
    <row r="1450" spans="2:10">
      <c r="B1450" s="413"/>
      <c r="C1450" s="414"/>
      <c r="D1450" s="414"/>
      <c r="E1450" s="50"/>
      <c r="F1450" s="403">
        <v>4157</v>
      </c>
      <c r="G1450" s="406">
        <v>14900</v>
      </c>
      <c r="H1450" s="50"/>
      <c r="I1450" s="50"/>
      <c r="J1450" s="306"/>
    </row>
    <row r="1451" spans="2:10">
      <c r="B1451" s="413"/>
      <c r="C1451" s="414"/>
      <c r="D1451" s="414"/>
      <c r="E1451" s="50"/>
      <c r="F1451" s="403">
        <v>4158</v>
      </c>
      <c r="G1451" s="406">
        <v>15238</v>
      </c>
      <c r="H1451" s="50"/>
      <c r="I1451" s="50"/>
      <c r="J1451" s="306"/>
    </row>
    <row r="1452" spans="2:10">
      <c r="B1452" s="413"/>
      <c r="C1452" s="414"/>
      <c r="D1452" s="414"/>
      <c r="E1452" s="50"/>
      <c r="F1452" s="403">
        <v>4159</v>
      </c>
      <c r="G1452" s="406">
        <v>15137</v>
      </c>
      <c r="H1452" s="50"/>
      <c r="I1452" s="50"/>
      <c r="J1452" s="306"/>
    </row>
    <row r="1453" spans="2:10">
      <c r="B1453" s="413"/>
      <c r="C1453" s="414"/>
      <c r="D1453" s="414"/>
      <c r="E1453" s="50"/>
      <c r="F1453" s="403">
        <v>4160</v>
      </c>
      <c r="G1453" s="406">
        <v>15121</v>
      </c>
      <c r="H1453" s="50"/>
      <c r="I1453" s="50"/>
      <c r="J1453" s="306"/>
    </row>
    <row r="1454" spans="2:10">
      <c r="B1454" s="413"/>
      <c r="C1454" s="414"/>
      <c r="D1454" s="414"/>
      <c r="E1454" s="50"/>
      <c r="F1454" s="403">
        <v>4161</v>
      </c>
      <c r="G1454" s="406">
        <v>14929</v>
      </c>
      <c r="H1454" s="50"/>
      <c r="I1454" s="50"/>
      <c r="J1454" s="306"/>
    </row>
    <row r="1455" spans="2:10">
      <c r="B1455" s="413"/>
      <c r="C1455" s="414"/>
      <c r="D1455" s="414"/>
      <c r="E1455" s="50"/>
      <c r="F1455" s="403">
        <v>4163</v>
      </c>
      <c r="G1455" s="406">
        <v>14929</v>
      </c>
      <c r="H1455" s="50"/>
      <c r="I1455" s="50"/>
      <c r="J1455" s="306"/>
    </row>
    <row r="1456" spans="2:10">
      <c r="B1456" s="413"/>
      <c r="C1456" s="414"/>
      <c r="D1456" s="414"/>
      <c r="E1456" s="50"/>
      <c r="F1456" s="403">
        <v>4164</v>
      </c>
      <c r="G1456" s="406">
        <v>14950</v>
      </c>
      <c r="H1456" s="50"/>
      <c r="I1456" s="50"/>
      <c r="J1456" s="306"/>
    </row>
    <row r="1457" spans="2:10">
      <c r="B1457" s="413"/>
      <c r="C1457" s="414"/>
      <c r="D1457" s="414"/>
      <c r="E1457" s="50"/>
      <c r="F1457" s="403">
        <v>4165</v>
      </c>
      <c r="G1457" s="406">
        <v>15362</v>
      </c>
      <c r="H1457" s="50"/>
      <c r="I1457" s="50"/>
      <c r="J1457" s="306"/>
    </row>
    <row r="1458" spans="2:10">
      <c r="B1458" s="413"/>
      <c r="C1458" s="414"/>
      <c r="D1458" s="414"/>
      <c r="E1458" s="50"/>
      <c r="F1458" s="403">
        <v>4169</v>
      </c>
      <c r="G1458" s="406">
        <v>12487</v>
      </c>
      <c r="H1458" s="50"/>
      <c r="I1458" s="50"/>
      <c r="J1458" s="306"/>
    </row>
    <row r="1459" spans="2:10">
      <c r="B1459" s="413"/>
      <c r="C1459" s="414"/>
      <c r="D1459" s="414"/>
      <c r="E1459" s="50"/>
      <c r="F1459" s="403">
        <v>4170</v>
      </c>
      <c r="G1459" s="406">
        <v>12867</v>
      </c>
      <c r="H1459" s="50"/>
      <c r="I1459" s="50"/>
      <c r="J1459" s="306"/>
    </row>
    <row r="1460" spans="2:10">
      <c r="B1460" s="413"/>
      <c r="C1460" s="414"/>
      <c r="D1460" s="414"/>
      <c r="E1460" s="50"/>
      <c r="F1460" s="403">
        <v>4171</v>
      </c>
      <c r="G1460" s="406">
        <v>12470</v>
      </c>
      <c r="H1460" s="50"/>
      <c r="I1460" s="50"/>
      <c r="J1460" s="306"/>
    </row>
    <row r="1461" spans="2:10">
      <c r="B1461" s="413"/>
      <c r="C1461" s="414"/>
      <c r="D1461" s="414"/>
      <c r="E1461" s="50"/>
      <c r="F1461" s="403">
        <v>4172</v>
      </c>
      <c r="G1461" s="406">
        <v>13988</v>
      </c>
      <c r="H1461" s="50"/>
      <c r="I1461" s="50"/>
      <c r="J1461" s="306"/>
    </row>
    <row r="1462" spans="2:10">
      <c r="B1462" s="413"/>
      <c r="C1462" s="414"/>
      <c r="D1462" s="414"/>
      <c r="E1462" s="50"/>
      <c r="F1462" s="403">
        <v>4173</v>
      </c>
      <c r="G1462" s="406">
        <v>15147</v>
      </c>
      <c r="H1462" s="50"/>
      <c r="I1462" s="50"/>
      <c r="J1462" s="306"/>
    </row>
    <row r="1463" spans="2:10">
      <c r="B1463" s="413"/>
      <c r="C1463" s="414"/>
      <c r="D1463" s="414"/>
      <c r="E1463" s="50"/>
      <c r="F1463" s="403">
        <v>4174</v>
      </c>
      <c r="G1463" s="406">
        <v>15031</v>
      </c>
      <c r="H1463" s="50"/>
      <c r="I1463" s="50"/>
      <c r="J1463" s="306"/>
    </row>
    <row r="1464" spans="2:10">
      <c r="B1464" s="413"/>
      <c r="C1464" s="414"/>
      <c r="D1464" s="414"/>
      <c r="E1464" s="50"/>
      <c r="F1464" s="403">
        <v>4178</v>
      </c>
      <c r="G1464" s="406">
        <v>14560</v>
      </c>
      <c r="H1464" s="50"/>
      <c r="I1464" s="50"/>
      <c r="J1464" s="306"/>
    </row>
    <row r="1465" spans="2:10">
      <c r="B1465" s="413"/>
      <c r="C1465" s="414"/>
      <c r="D1465" s="414"/>
      <c r="E1465" s="50"/>
      <c r="F1465" s="403">
        <v>4179</v>
      </c>
      <c r="G1465" s="406">
        <v>15068</v>
      </c>
      <c r="H1465" s="50"/>
      <c r="I1465" s="50"/>
      <c r="J1465" s="306"/>
    </row>
    <row r="1466" spans="2:10">
      <c r="B1466" s="413"/>
      <c r="C1466" s="414"/>
      <c r="D1466" s="414"/>
      <c r="E1466" s="50"/>
      <c r="F1466" s="403">
        <v>4205</v>
      </c>
      <c r="G1466" s="406">
        <v>15647</v>
      </c>
      <c r="H1466" s="50"/>
      <c r="I1466" s="50"/>
      <c r="J1466" s="306"/>
    </row>
    <row r="1467" spans="2:10">
      <c r="B1467" s="413"/>
      <c r="C1467" s="414"/>
      <c r="D1467" s="414"/>
      <c r="E1467" s="50"/>
      <c r="F1467" s="403">
        <v>4207</v>
      </c>
      <c r="G1467" s="406">
        <v>16539</v>
      </c>
      <c r="H1467" s="50"/>
      <c r="I1467" s="50"/>
      <c r="J1467" s="306"/>
    </row>
    <row r="1468" spans="2:10">
      <c r="B1468" s="413"/>
      <c r="C1468" s="414"/>
      <c r="D1468" s="414"/>
      <c r="E1468" s="50"/>
      <c r="F1468" s="403">
        <v>4208</v>
      </c>
      <c r="G1468" s="406">
        <v>16045</v>
      </c>
      <c r="H1468" s="50"/>
      <c r="I1468" s="50"/>
      <c r="J1468" s="306"/>
    </row>
    <row r="1469" spans="2:10">
      <c r="B1469" s="413"/>
      <c r="C1469" s="414"/>
      <c r="D1469" s="414"/>
      <c r="E1469" s="50"/>
      <c r="F1469" s="403">
        <v>4209</v>
      </c>
      <c r="G1469" s="406">
        <v>15929</v>
      </c>
      <c r="H1469" s="50"/>
      <c r="I1469" s="50"/>
      <c r="J1469" s="306"/>
    </row>
    <row r="1470" spans="2:10">
      <c r="B1470" s="413"/>
      <c r="C1470" s="414"/>
      <c r="D1470" s="414"/>
      <c r="E1470" s="50"/>
      <c r="F1470" s="403">
        <v>4210</v>
      </c>
      <c r="G1470" s="406">
        <v>14178</v>
      </c>
      <c r="H1470" s="50"/>
      <c r="I1470" s="50"/>
      <c r="J1470" s="306"/>
    </row>
    <row r="1471" spans="2:10">
      <c r="B1471" s="413"/>
      <c r="C1471" s="414"/>
      <c r="D1471" s="414"/>
      <c r="E1471" s="50"/>
      <c r="F1471" s="403">
        <v>4211</v>
      </c>
      <c r="G1471" s="406">
        <v>14258</v>
      </c>
      <c r="H1471" s="50"/>
      <c r="I1471" s="50"/>
      <c r="J1471" s="306"/>
    </row>
    <row r="1472" spans="2:10">
      <c r="B1472" s="413"/>
      <c r="C1472" s="414"/>
      <c r="D1472" s="414"/>
      <c r="E1472" s="50"/>
      <c r="F1472" s="403">
        <v>4212</v>
      </c>
      <c r="G1472" s="406">
        <v>14108</v>
      </c>
      <c r="H1472" s="50"/>
      <c r="I1472" s="50"/>
      <c r="J1472" s="306"/>
    </row>
    <row r="1473" spans="2:10">
      <c r="B1473" s="413"/>
      <c r="C1473" s="414"/>
      <c r="D1473" s="414"/>
      <c r="E1473" s="50"/>
      <c r="F1473" s="403">
        <v>4213</v>
      </c>
      <c r="G1473" s="406">
        <v>14258</v>
      </c>
      <c r="H1473" s="50"/>
      <c r="I1473" s="50"/>
      <c r="J1473" s="306"/>
    </row>
    <row r="1474" spans="2:10">
      <c r="B1474" s="413"/>
      <c r="C1474" s="414"/>
      <c r="D1474" s="414"/>
      <c r="E1474" s="50"/>
      <c r="F1474" s="403">
        <v>4214</v>
      </c>
      <c r="G1474" s="406">
        <v>13013</v>
      </c>
      <c r="H1474" s="50"/>
      <c r="I1474" s="50"/>
      <c r="J1474" s="306"/>
    </row>
    <row r="1475" spans="2:10">
      <c r="B1475" s="413"/>
      <c r="C1475" s="414"/>
      <c r="D1475" s="414"/>
      <c r="E1475" s="50"/>
      <c r="F1475" s="403">
        <v>4215</v>
      </c>
      <c r="G1475" s="406">
        <v>12865</v>
      </c>
      <c r="H1475" s="50"/>
      <c r="I1475" s="50"/>
      <c r="J1475" s="306"/>
    </row>
    <row r="1476" spans="2:10">
      <c r="B1476" s="413"/>
      <c r="C1476" s="414"/>
      <c r="D1476" s="414"/>
      <c r="E1476" s="50"/>
      <c r="F1476" s="403">
        <v>4216</v>
      </c>
      <c r="G1476" s="406">
        <v>14622</v>
      </c>
      <c r="H1476" s="50"/>
      <c r="I1476" s="50"/>
      <c r="J1476" s="306"/>
    </row>
    <row r="1477" spans="2:10">
      <c r="B1477" s="413"/>
      <c r="C1477" s="414"/>
      <c r="D1477" s="414"/>
      <c r="E1477" s="50"/>
      <c r="F1477" s="403">
        <v>4217</v>
      </c>
      <c r="G1477" s="406">
        <v>12746</v>
      </c>
      <c r="H1477" s="50"/>
      <c r="I1477" s="50"/>
      <c r="J1477" s="306"/>
    </row>
    <row r="1478" spans="2:10">
      <c r="B1478" s="413"/>
      <c r="C1478" s="414"/>
      <c r="D1478" s="414"/>
      <c r="E1478" s="50"/>
      <c r="F1478" s="403">
        <v>4218</v>
      </c>
      <c r="G1478" s="406">
        <v>13068</v>
      </c>
      <c r="H1478" s="50"/>
      <c r="I1478" s="50"/>
      <c r="J1478" s="306"/>
    </row>
    <row r="1479" spans="2:10">
      <c r="B1479" s="413"/>
      <c r="C1479" s="414"/>
      <c r="D1479" s="414"/>
      <c r="E1479" s="50"/>
      <c r="F1479" s="403">
        <v>4219</v>
      </c>
      <c r="G1479" s="406">
        <v>13200</v>
      </c>
      <c r="H1479" s="50"/>
      <c r="I1479" s="50"/>
      <c r="J1479" s="306"/>
    </row>
    <row r="1480" spans="2:10">
      <c r="B1480" s="413"/>
      <c r="C1480" s="414"/>
      <c r="D1480" s="414"/>
      <c r="E1480" s="50"/>
      <c r="F1480" s="403">
        <v>4220</v>
      </c>
      <c r="G1480" s="406">
        <v>13100</v>
      </c>
      <c r="H1480" s="50"/>
      <c r="I1480" s="50"/>
      <c r="J1480" s="306"/>
    </row>
    <row r="1481" spans="2:10">
      <c r="B1481" s="413"/>
      <c r="C1481" s="414"/>
      <c r="D1481" s="414"/>
      <c r="E1481" s="50"/>
      <c r="F1481" s="403">
        <v>4221</v>
      </c>
      <c r="G1481" s="406">
        <v>13200</v>
      </c>
      <c r="H1481" s="50"/>
      <c r="I1481" s="50"/>
      <c r="J1481" s="306"/>
    </row>
    <row r="1482" spans="2:10">
      <c r="B1482" s="413"/>
      <c r="C1482" s="414"/>
      <c r="D1482" s="414"/>
      <c r="E1482" s="50"/>
      <c r="F1482" s="403">
        <v>4223</v>
      </c>
      <c r="G1482" s="406">
        <v>14042</v>
      </c>
      <c r="H1482" s="50"/>
      <c r="I1482" s="50"/>
      <c r="J1482" s="306"/>
    </row>
    <row r="1483" spans="2:10">
      <c r="B1483" s="413"/>
      <c r="C1483" s="414"/>
      <c r="D1483" s="414"/>
      <c r="E1483" s="50"/>
      <c r="F1483" s="403">
        <v>4224</v>
      </c>
      <c r="G1483" s="406">
        <v>14035</v>
      </c>
      <c r="H1483" s="50"/>
      <c r="I1483" s="50"/>
      <c r="J1483" s="306"/>
    </row>
    <row r="1484" spans="2:10">
      <c r="B1484" s="413"/>
      <c r="C1484" s="414"/>
      <c r="D1484" s="414"/>
      <c r="E1484" s="50"/>
      <c r="F1484" s="403">
        <v>4225</v>
      </c>
      <c r="G1484" s="406">
        <v>14043</v>
      </c>
      <c r="H1484" s="50"/>
      <c r="I1484" s="50"/>
      <c r="J1484" s="306"/>
    </row>
    <row r="1485" spans="2:10">
      <c r="B1485" s="413"/>
      <c r="C1485" s="414"/>
      <c r="D1485" s="414"/>
      <c r="E1485" s="50"/>
      <c r="F1485" s="403">
        <v>4226</v>
      </c>
      <c r="G1485" s="406">
        <v>13068</v>
      </c>
      <c r="H1485" s="50"/>
      <c r="I1485" s="50"/>
      <c r="J1485" s="306"/>
    </row>
    <row r="1486" spans="2:10">
      <c r="B1486" s="413"/>
      <c r="C1486" s="414"/>
      <c r="D1486" s="414"/>
      <c r="E1486" s="50"/>
      <c r="F1486" s="403">
        <v>4227</v>
      </c>
      <c r="G1486" s="406">
        <v>13073</v>
      </c>
      <c r="H1486" s="50"/>
      <c r="I1486" s="50"/>
      <c r="J1486" s="306"/>
    </row>
    <row r="1487" spans="2:10">
      <c r="B1487" s="413"/>
      <c r="C1487" s="414"/>
      <c r="D1487" s="414"/>
      <c r="E1487" s="50"/>
      <c r="F1487" s="403">
        <v>4228</v>
      </c>
      <c r="G1487" s="406">
        <v>14019</v>
      </c>
      <c r="H1487" s="50"/>
      <c r="I1487" s="50"/>
      <c r="J1487" s="306"/>
    </row>
    <row r="1488" spans="2:10">
      <c r="B1488" s="413"/>
      <c r="C1488" s="414"/>
      <c r="D1488" s="414"/>
      <c r="E1488" s="50"/>
      <c r="F1488" s="403">
        <v>4229</v>
      </c>
      <c r="G1488" s="406">
        <v>13068</v>
      </c>
      <c r="H1488" s="50"/>
      <c r="I1488" s="50"/>
      <c r="J1488" s="306"/>
    </row>
    <row r="1489" spans="2:10">
      <c r="B1489" s="413"/>
      <c r="C1489" s="414"/>
      <c r="D1489" s="414"/>
      <c r="E1489" s="50"/>
      <c r="F1489" s="403">
        <v>4230</v>
      </c>
      <c r="G1489" s="406">
        <v>13068</v>
      </c>
      <c r="H1489" s="50"/>
      <c r="I1489" s="50"/>
      <c r="J1489" s="306"/>
    </row>
    <row r="1490" spans="2:10">
      <c r="B1490" s="413"/>
      <c r="C1490" s="414"/>
      <c r="D1490" s="414"/>
      <c r="E1490" s="50"/>
      <c r="F1490" s="403">
        <v>4270</v>
      </c>
      <c r="G1490" s="406">
        <v>16752</v>
      </c>
      <c r="H1490" s="50"/>
      <c r="I1490" s="50"/>
      <c r="J1490" s="306"/>
    </row>
    <row r="1491" spans="2:10">
      <c r="B1491" s="413"/>
      <c r="C1491" s="414"/>
      <c r="D1491" s="414"/>
      <c r="E1491" s="50"/>
      <c r="F1491" s="403">
        <v>4271</v>
      </c>
      <c r="G1491" s="406">
        <v>16394</v>
      </c>
      <c r="H1491" s="50"/>
      <c r="I1491" s="50"/>
      <c r="J1491" s="306"/>
    </row>
    <row r="1492" spans="2:10">
      <c r="B1492" s="413"/>
      <c r="C1492" s="414"/>
      <c r="D1492" s="414"/>
      <c r="E1492" s="50"/>
      <c r="F1492" s="403">
        <v>4272</v>
      </c>
      <c r="G1492" s="406">
        <v>15790</v>
      </c>
      <c r="H1492" s="50"/>
      <c r="I1492" s="50"/>
      <c r="J1492" s="306"/>
    </row>
    <row r="1493" spans="2:10">
      <c r="B1493" s="413"/>
      <c r="C1493" s="414"/>
      <c r="D1493" s="414"/>
      <c r="E1493" s="50"/>
      <c r="F1493" s="403">
        <v>4275</v>
      </c>
      <c r="G1493" s="406">
        <v>15950</v>
      </c>
      <c r="H1493" s="50"/>
      <c r="I1493" s="50"/>
      <c r="J1493" s="306"/>
    </row>
    <row r="1494" spans="2:10">
      <c r="B1494" s="413"/>
      <c r="C1494" s="414"/>
      <c r="D1494" s="414"/>
      <c r="E1494" s="50"/>
      <c r="F1494" s="403">
        <v>4280</v>
      </c>
      <c r="G1494" s="406">
        <v>16477</v>
      </c>
      <c r="H1494" s="50"/>
      <c r="I1494" s="50"/>
      <c r="J1494" s="306"/>
    </row>
    <row r="1495" spans="2:10">
      <c r="B1495" s="413"/>
      <c r="C1495" s="414"/>
      <c r="D1495" s="414"/>
      <c r="E1495" s="50"/>
      <c r="F1495" s="403">
        <v>4285</v>
      </c>
      <c r="G1495" s="406">
        <v>17245</v>
      </c>
      <c r="H1495" s="50"/>
      <c r="I1495" s="50"/>
      <c r="J1495" s="306"/>
    </row>
    <row r="1496" spans="2:10">
      <c r="B1496" s="413"/>
      <c r="C1496" s="414"/>
      <c r="D1496" s="414"/>
      <c r="E1496" s="50"/>
      <c r="F1496" s="403">
        <v>4287</v>
      </c>
      <c r="G1496" s="406">
        <v>17781</v>
      </c>
      <c r="H1496" s="50"/>
      <c r="I1496" s="50"/>
      <c r="J1496" s="306"/>
    </row>
    <row r="1497" spans="2:10">
      <c r="B1497" s="413"/>
      <c r="C1497" s="414"/>
      <c r="D1497" s="414"/>
      <c r="E1497" s="50"/>
      <c r="F1497" s="403">
        <v>4300</v>
      </c>
      <c r="G1497" s="406">
        <v>16492</v>
      </c>
      <c r="H1497" s="50"/>
      <c r="I1497" s="50"/>
      <c r="J1497" s="306"/>
    </row>
    <row r="1498" spans="2:10">
      <c r="B1498" s="413"/>
      <c r="C1498" s="414"/>
      <c r="D1498" s="414"/>
      <c r="E1498" s="50"/>
      <c r="F1498" s="403">
        <v>4301</v>
      </c>
      <c r="G1498" s="406">
        <v>16743</v>
      </c>
      <c r="H1498" s="50"/>
      <c r="I1498" s="50"/>
      <c r="J1498" s="306"/>
    </row>
    <row r="1499" spans="2:10">
      <c r="B1499" s="413"/>
      <c r="C1499" s="414"/>
      <c r="D1499" s="414"/>
      <c r="E1499" s="50"/>
      <c r="F1499" s="403">
        <v>4303</v>
      </c>
      <c r="G1499" s="406">
        <v>16913</v>
      </c>
      <c r="H1499" s="50"/>
      <c r="I1499" s="50"/>
      <c r="J1499" s="306"/>
    </row>
    <row r="1500" spans="2:10">
      <c r="B1500" s="413"/>
      <c r="C1500" s="414"/>
      <c r="D1500" s="414"/>
      <c r="E1500" s="50"/>
      <c r="F1500" s="403">
        <v>4304</v>
      </c>
      <c r="G1500" s="406">
        <v>16913</v>
      </c>
      <c r="H1500" s="50"/>
      <c r="I1500" s="50"/>
      <c r="J1500" s="306"/>
    </row>
    <row r="1501" spans="2:10">
      <c r="B1501" s="413"/>
      <c r="C1501" s="414"/>
      <c r="D1501" s="414"/>
      <c r="E1501" s="50"/>
      <c r="F1501" s="403">
        <v>4305</v>
      </c>
      <c r="G1501" s="406">
        <v>16913</v>
      </c>
      <c r="H1501" s="50"/>
      <c r="I1501" s="50"/>
      <c r="J1501" s="306"/>
    </row>
    <row r="1502" spans="2:10">
      <c r="B1502" s="413"/>
      <c r="C1502" s="414"/>
      <c r="D1502" s="414"/>
      <c r="E1502" s="50"/>
      <c r="F1502" s="403">
        <v>4306</v>
      </c>
      <c r="G1502" s="406">
        <v>17302</v>
      </c>
      <c r="H1502" s="50"/>
      <c r="I1502" s="50"/>
      <c r="J1502" s="306"/>
    </row>
    <row r="1503" spans="2:10">
      <c r="B1503" s="413"/>
      <c r="C1503" s="414"/>
      <c r="D1503" s="414"/>
      <c r="E1503" s="50"/>
      <c r="F1503" s="403">
        <v>4307</v>
      </c>
      <c r="G1503" s="406">
        <v>19450</v>
      </c>
      <c r="H1503" s="50"/>
      <c r="I1503" s="50"/>
      <c r="J1503" s="306"/>
    </row>
    <row r="1504" spans="2:10">
      <c r="B1504" s="413"/>
      <c r="C1504" s="414"/>
      <c r="D1504" s="414"/>
      <c r="E1504" s="50"/>
      <c r="F1504" s="403">
        <v>4309</v>
      </c>
      <c r="G1504" s="406">
        <v>21143</v>
      </c>
      <c r="H1504" s="50"/>
      <c r="I1504" s="50"/>
      <c r="J1504" s="306"/>
    </row>
    <row r="1505" spans="2:10">
      <c r="B1505" s="413"/>
      <c r="C1505" s="414"/>
      <c r="D1505" s="414"/>
      <c r="E1505" s="50"/>
      <c r="F1505" s="403">
        <v>4310</v>
      </c>
      <c r="G1505" s="406">
        <v>18737</v>
      </c>
      <c r="H1505" s="50"/>
      <c r="I1505" s="50"/>
      <c r="J1505" s="306"/>
    </row>
    <row r="1506" spans="2:10">
      <c r="B1506" s="413"/>
      <c r="C1506" s="414"/>
      <c r="D1506" s="414"/>
      <c r="E1506" s="50"/>
      <c r="F1506" s="403">
        <v>4311</v>
      </c>
      <c r="G1506" s="406">
        <v>20315</v>
      </c>
      <c r="H1506" s="50"/>
      <c r="I1506" s="50"/>
      <c r="J1506" s="306"/>
    </row>
    <row r="1507" spans="2:10">
      <c r="B1507" s="413"/>
      <c r="C1507" s="414"/>
      <c r="D1507" s="414"/>
      <c r="E1507" s="50"/>
      <c r="F1507" s="403">
        <v>4312</v>
      </c>
      <c r="G1507" s="406">
        <v>20233</v>
      </c>
      <c r="H1507" s="50"/>
      <c r="I1507" s="50"/>
      <c r="J1507" s="306"/>
    </row>
    <row r="1508" spans="2:10">
      <c r="B1508" s="413"/>
      <c r="C1508" s="414"/>
      <c r="D1508" s="414"/>
      <c r="E1508" s="50"/>
      <c r="F1508" s="403">
        <v>4313</v>
      </c>
      <c r="G1508" s="406">
        <v>19839</v>
      </c>
      <c r="H1508" s="50"/>
      <c r="I1508" s="50"/>
      <c r="J1508" s="306"/>
    </row>
    <row r="1509" spans="2:10">
      <c r="B1509" s="413"/>
      <c r="C1509" s="414"/>
      <c r="D1509" s="414"/>
      <c r="E1509" s="50"/>
      <c r="F1509" s="403">
        <v>4340</v>
      </c>
      <c r="G1509" s="406">
        <v>21315</v>
      </c>
      <c r="H1509" s="50"/>
      <c r="I1509" s="50"/>
      <c r="J1509" s="306"/>
    </row>
    <row r="1510" spans="2:10">
      <c r="B1510" s="413"/>
      <c r="C1510" s="414"/>
      <c r="D1510" s="414"/>
      <c r="E1510" s="50"/>
      <c r="F1510" s="403">
        <v>4341</v>
      </c>
      <c r="G1510" s="406">
        <v>21257</v>
      </c>
      <c r="H1510" s="50"/>
      <c r="I1510" s="50"/>
      <c r="J1510" s="306"/>
    </row>
    <row r="1511" spans="2:10">
      <c r="B1511" s="413"/>
      <c r="C1511" s="414"/>
      <c r="D1511" s="414"/>
      <c r="E1511" s="50"/>
      <c r="F1511" s="403">
        <v>4342</v>
      </c>
      <c r="G1511" s="406">
        <v>20817</v>
      </c>
      <c r="H1511" s="50"/>
      <c r="I1511" s="50"/>
      <c r="J1511" s="306"/>
    </row>
    <row r="1512" spans="2:10">
      <c r="B1512" s="413"/>
      <c r="C1512" s="414"/>
      <c r="D1512" s="414"/>
      <c r="E1512" s="50"/>
      <c r="F1512" s="403">
        <v>4343</v>
      </c>
      <c r="G1512" s="406">
        <v>21293</v>
      </c>
      <c r="H1512" s="50"/>
      <c r="I1512" s="50"/>
      <c r="J1512" s="306"/>
    </row>
    <row r="1513" spans="2:10">
      <c r="B1513" s="413"/>
      <c r="C1513" s="414"/>
      <c r="D1513" s="414"/>
      <c r="E1513" s="50"/>
      <c r="F1513" s="403">
        <v>4344</v>
      </c>
      <c r="G1513" s="406">
        <v>16340</v>
      </c>
      <c r="H1513" s="50"/>
      <c r="I1513" s="50"/>
      <c r="J1513" s="306"/>
    </row>
    <row r="1514" spans="2:10">
      <c r="B1514" s="413"/>
      <c r="C1514" s="414"/>
      <c r="D1514" s="414"/>
      <c r="E1514" s="50"/>
      <c r="F1514" s="403">
        <v>4345</v>
      </c>
      <c r="G1514" s="406">
        <v>20918</v>
      </c>
      <c r="H1514" s="50"/>
      <c r="I1514" s="50"/>
      <c r="J1514" s="306"/>
    </row>
    <row r="1515" spans="2:10">
      <c r="B1515" s="413"/>
      <c r="C1515" s="414"/>
      <c r="D1515" s="414"/>
      <c r="E1515" s="50"/>
      <c r="F1515" s="403">
        <v>4346</v>
      </c>
      <c r="G1515" s="406">
        <v>18820</v>
      </c>
      <c r="H1515" s="50"/>
      <c r="I1515" s="50"/>
      <c r="J1515" s="306"/>
    </row>
    <row r="1516" spans="2:10">
      <c r="B1516" s="413"/>
      <c r="C1516" s="414"/>
      <c r="D1516" s="414"/>
      <c r="E1516" s="50"/>
      <c r="F1516" s="403">
        <v>4347</v>
      </c>
      <c r="G1516" s="406">
        <v>20689</v>
      </c>
      <c r="H1516" s="50"/>
      <c r="I1516" s="50"/>
      <c r="J1516" s="306"/>
    </row>
    <row r="1517" spans="2:10">
      <c r="B1517" s="413"/>
      <c r="C1517" s="414"/>
      <c r="D1517" s="414"/>
      <c r="E1517" s="50"/>
      <c r="F1517" s="403">
        <v>4350</v>
      </c>
      <c r="G1517" s="406">
        <v>15108</v>
      </c>
      <c r="H1517" s="50"/>
      <c r="I1517" s="50"/>
      <c r="J1517" s="306"/>
    </row>
    <row r="1518" spans="2:10">
      <c r="B1518" s="413"/>
      <c r="C1518" s="414"/>
      <c r="D1518" s="414"/>
      <c r="E1518" s="50"/>
      <c r="F1518" s="403">
        <v>4352</v>
      </c>
      <c r="G1518" s="406">
        <v>14942</v>
      </c>
      <c r="H1518" s="50"/>
      <c r="I1518" s="50"/>
      <c r="J1518" s="306"/>
    </row>
    <row r="1519" spans="2:10">
      <c r="B1519" s="413"/>
      <c r="C1519" s="414"/>
      <c r="D1519" s="414"/>
      <c r="E1519" s="50"/>
      <c r="F1519" s="403">
        <v>4353</v>
      </c>
      <c r="G1519" s="406">
        <v>15400</v>
      </c>
      <c r="H1519" s="50"/>
      <c r="I1519" s="50"/>
      <c r="J1519" s="306"/>
    </row>
    <row r="1520" spans="2:10">
      <c r="B1520" s="413"/>
      <c r="C1520" s="414"/>
      <c r="D1520" s="414"/>
      <c r="E1520" s="50"/>
      <c r="F1520" s="403">
        <v>4354</v>
      </c>
      <c r="G1520" s="406">
        <v>15322</v>
      </c>
      <c r="H1520" s="50"/>
      <c r="I1520" s="50"/>
      <c r="J1520" s="306"/>
    </row>
    <row r="1521" spans="2:10">
      <c r="B1521" s="413"/>
      <c r="C1521" s="414"/>
      <c r="D1521" s="414"/>
      <c r="E1521" s="50"/>
      <c r="F1521" s="403">
        <v>4355</v>
      </c>
      <c r="G1521" s="406">
        <v>19046</v>
      </c>
      <c r="H1521" s="50"/>
      <c r="I1521" s="50"/>
      <c r="J1521" s="306"/>
    </row>
    <row r="1522" spans="2:10">
      <c r="B1522" s="413"/>
      <c r="C1522" s="414"/>
      <c r="D1522" s="414"/>
      <c r="E1522" s="50"/>
      <c r="F1522" s="403">
        <v>4356</v>
      </c>
      <c r="G1522" s="406">
        <v>15057</v>
      </c>
      <c r="H1522" s="50"/>
      <c r="I1522" s="50"/>
      <c r="J1522" s="306"/>
    </row>
    <row r="1523" spans="2:10">
      <c r="B1523" s="413"/>
      <c r="C1523" s="414"/>
      <c r="D1523" s="414"/>
      <c r="E1523" s="50"/>
      <c r="F1523" s="403">
        <v>4357</v>
      </c>
      <c r="G1523" s="406">
        <v>16749</v>
      </c>
      <c r="H1523" s="50"/>
      <c r="I1523" s="50"/>
      <c r="J1523" s="306"/>
    </row>
    <row r="1524" spans="2:10">
      <c r="B1524" s="413"/>
      <c r="C1524" s="414"/>
      <c r="D1524" s="414"/>
      <c r="E1524" s="50"/>
      <c r="F1524" s="403">
        <v>4358</v>
      </c>
      <c r="G1524" s="406">
        <v>15054</v>
      </c>
      <c r="H1524" s="50"/>
      <c r="I1524" s="50"/>
      <c r="J1524" s="306"/>
    </row>
    <row r="1525" spans="2:10">
      <c r="B1525" s="413"/>
      <c r="C1525" s="414"/>
      <c r="D1525" s="414"/>
      <c r="E1525" s="50"/>
      <c r="F1525" s="403">
        <v>4359</v>
      </c>
      <c r="G1525" s="406">
        <v>15240</v>
      </c>
      <c r="H1525" s="50"/>
      <c r="I1525" s="50"/>
      <c r="J1525" s="306"/>
    </row>
    <row r="1526" spans="2:10">
      <c r="B1526" s="413"/>
      <c r="C1526" s="414"/>
      <c r="D1526" s="414"/>
      <c r="E1526" s="50"/>
      <c r="F1526" s="403">
        <v>4360</v>
      </c>
      <c r="G1526" s="406">
        <v>15054</v>
      </c>
      <c r="H1526" s="50"/>
      <c r="I1526" s="50"/>
      <c r="J1526" s="306"/>
    </row>
    <row r="1527" spans="2:10">
      <c r="B1527" s="413"/>
      <c r="C1527" s="414"/>
      <c r="D1527" s="414"/>
      <c r="E1527" s="50"/>
      <c r="F1527" s="403">
        <v>4361</v>
      </c>
      <c r="G1527" s="406">
        <v>14916</v>
      </c>
      <c r="H1527" s="50"/>
      <c r="I1527" s="50"/>
      <c r="J1527" s="306"/>
    </row>
    <row r="1528" spans="2:10">
      <c r="B1528" s="413"/>
      <c r="C1528" s="414"/>
      <c r="D1528" s="414"/>
      <c r="E1528" s="50"/>
      <c r="F1528" s="403">
        <v>4362</v>
      </c>
      <c r="G1528" s="406">
        <v>14942</v>
      </c>
      <c r="H1528" s="50"/>
      <c r="I1528" s="50"/>
      <c r="J1528" s="306"/>
    </row>
    <row r="1529" spans="2:10">
      <c r="B1529" s="413"/>
      <c r="C1529" s="414"/>
      <c r="D1529" s="414"/>
      <c r="E1529" s="50"/>
      <c r="F1529" s="403">
        <v>4363</v>
      </c>
      <c r="G1529" s="406">
        <v>15057</v>
      </c>
      <c r="H1529" s="50"/>
      <c r="I1529" s="50"/>
      <c r="J1529" s="306"/>
    </row>
    <row r="1530" spans="2:10">
      <c r="B1530" s="413"/>
      <c r="C1530" s="414"/>
      <c r="D1530" s="414"/>
      <c r="E1530" s="50"/>
      <c r="F1530" s="403">
        <v>4364</v>
      </c>
      <c r="G1530" s="406">
        <v>15057</v>
      </c>
      <c r="H1530" s="50"/>
      <c r="I1530" s="50"/>
      <c r="J1530" s="306"/>
    </row>
    <row r="1531" spans="2:10">
      <c r="B1531" s="413"/>
      <c r="C1531" s="414"/>
      <c r="D1531" s="414"/>
      <c r="E1531" s="50"/>
      <c r="F1531" s="403">
        <v>4365</v>
      </c>
      <c r="G1531" s="406">
        <v>14936</v>
      </c>
      <c r="H1531" s="50"/>
      <c r="I1531" s="50"/>
      <c r="J1531" s="306"/>
    </row>
    <row r="1532" spans="2:10">
      <c r="B1532" s="413"/>
      <c r="C1532" s="414"/>
      <c r="D1532" s="414"/>
      <c r="E1532" s="50"/>
      <c r="F1532" s="403">
        <v>4370</v>
      </c>
      <c r="G1532" s="406">
        <v>15013</v>
      </c>
      <c r="H1532" s="50"/>
      <c r="I1532" s="50"/>
      <c r="J1532" s="306"/>
    </row>
    <row r="1533" spans="2:10">
      <c r="B1533" s="413"/>
      <c r="C1533" s="414"/>
      <c r="D1533" s="414"/>
      <c r="E1533" s="50"/>
      <c r="F1533" s="403">
        <v>4371</v>
      </c>
      <c r="G1533" s="406">
        <v>16265</v>
      </c>
      <c r="H1533" s="50"/>
      <c r="I1533" s="50"/>
      <c r="J1533" s="306"/>
    </row>
    <row r="1534" spans="2:10">
      <c r="B1534" s="413"/>
      <c r="C1534" s="414"/>
      <c r="D1534" s="414"/>
      <c r="E1534" s="50"/>
      <c r="F1534" s="403">
        <v>4372</v>
      </c>
      <c r="G1534" s="406">
        <v>15467</v>
      </c>
      <c r="H1534" s="50"/>
      <c r="I1534" s="50"/>
      <c r="J1534" s="306"/>
    </row>
    <row r="1535" spans="2:10">
      <c r="B1535" s="413"/>
      <c r="C1535" s="414"/>
      <c r="D1535" s="414"/>
      <c r="E1535" s="50"/>
      <c r="F1535" s="403">
        <v>4373</v>
      </c>
      <c r="G1535" s="406">
        <v>15467</v>
      </c>
      <c r="H1535" s="50"/>
      <c r="I1535" s="50"/>
      <c r="J1535" s="306"/>
    </row>
    <row r="1536" spans="2:10">
      <c r="B1536" s="413"/>
      <c r="C1536" s="414"/>
      <c r="D1536" s="414"/>
      <c r="E1536" s="50"/>
      <c r="F1536" s="403">
        <v>4374</v>
      </c>
      <c r="G1536" s="406">
        <v>8834</v>
      </c>
      <c r="H1536" s="50"/>
      <c r="I1536" s="50"/>
      <c r="J1536" s="306"/>
    </row>
    <row r="1537" spans="2:10">
      <c r="B1537" s="413"/>
      <c r="C1537" s="414"/>
      <c r="D1537" s="414"/>
      <c r="E1537" s="50"/>
      <c r="F1537" s="403">
        <v>4375</v>
      </c>
      <c r="G1537" s="406">
        <v>8834</v>
      </c>
      <c r="H1537" s="50"/>
      <c r="I1537" s="50"/>
      <c r="J1537" s="306"/>
    </row>
    <row r="1538" spans="2:10">
      <c r="B1538" s="413"/>
      <c r="C1538" s="414"/>
      <c r="D1538" s="414"/>
      <c r="E1538" s="50"/>
      <c r="F1538" s="403">
        <v>4376</v>
      </c>
      <c r="G1538" s="406">
        <v>8834</v>
      </c>
      <c r="H1538" s="50"/>
      <c r="I1538" s="50"/>
      <c r="J1538" s="306"/>
    </row>
    <row r="1539" spans="2:10">
      <c r="B1539" s="413"/>
      <c r="C1539" s="414"/>
      <c r="D1539" s="414"/>
      <c r="E1539" s="50"/>
      <c r="F1539" s="403">
        <v>4377</v>
      </c>
      <c r="G1539" s="406">
        <v>8834</v>
      </c>
      <c r="H1539" s="50"/>
      <c r="I1539" s="50"/>
      <c r="J1539" s="306"/>
    </row>
    <row r="1540" spans="2:10">
      <c r="B1540" s="413"/>
      <c r="C1540" s="414"/>
      <c r="D1540" s="414"/>
      <c r="E1540" s="50"/>
      <c r="F1540" s="403">
        <v>4378</v>
      </c>
      <c r="G1540" s="406">
        <v>8834</v>
      </c>
      <c r="H1540" s="50"/>
      <c r="I1540" s="50"/>
      <c r="J1540" s="306"/>
    </row>
    <row r="1541" spans="2:10">
      <c r="B1541" s="413"/>
      <c r="C1541" s="414"/>
      <c r="D1541" s="414"/>
      <c r="E1541" s="50"/>
      <c r="F1541" s="403">
        <v>4380</v>
      </c>
      <c r="G1541" s="406">
        <v>8842</v>
      </c>
      <c r="H1541" s="50"/>
      <c r="I1541" s="50"/>
      <c r="J1541" s="306"/>
    </row>
    <row r="1542" spans="2:10">
      <c r="B1542" s="413"/>
      <c r="C1542" s="414"/>
      <c r="D1542" s="414"/>
      <c r="E1542" s="50"/>
      <c r="F1542" s="403">
        <v>4381</v>
      </c>
      <c r="G1542" s="406">
        <v>8842</v>
      </c>
      <c r="H1542" s="50"/>
      <c r="I1542" s="50"/>
      <c r="J1542" s="306"/>
    </row>
    <row r="1543" spans="2:10">
      <c r="B1543" s="413"/>
      <c r="C1543" s="414"/>
      <c r="D1543" s="414"/>
      <c r="E1543" s="50"/>
      <c r="F1543" s="403">
        <v>4382</v>
      </c>
      <c r="G1543" s="406">
        <v>8842</v>
      </c>
      <c r="H1543" s="50"/>
      <c r="I1543" s="50"/>
      <c r="J1543" s="306"/>
    </row>
    <row r="1544" spans="2:10">
      <c r="B1544" s="413"/>
      <c r="C1544" s="414"/>
      <c r="D1544" s="414"/>
      <c r="E1544" s="50"/>
      <c r="F1544" s="403">
        <v>4383</v>
      </c>
      <c r="G1544" s="406">
        <v>8925</v>
      </c>
      <c r="H1544" s="50"/>
      <c r="I1544" s="50"/>
      <c r="J1544" s="306"/>
    </row>
    <row r="1545" spans="2:10">
      <c r="B1545" s="413"/>
      <c r="C1545" s="414"/>
      <c r="D1545" s="414"/>
      <c r="E1545" s="50"/>
      <c r="F1545" s="403">
        <v>4384</v>
      </c>
      <c r="G1545" s="406">
        <v>9130</v>
      </c>
      <c r="H1545" s="50"/>
      <c r="I1545" s="50"/>
      <c r="J1545" s="306"/>
    </row>
    <row r="1546" spans="2:10">
      <c r="B1546" s="413"/>
      <c r="C1546" s="414"/>
      <c r="D1546" s="414"/>
      <c r="E1546" s="50"/>
      <c r="F1546" s="403">
        <v>4385</v>
      </c>
      <c r="G1546" s="406">
        <v>9130</v>
      </c>
      <c r="H1546" s="50"/>
      <c r="I1546" s="50"/>
      <c r="J1546" s="306"/>
    </row>
    <row r="1547" spans="2:10">
      <c r="B1547" s="413"/>
      <c r="C1547" s="414"/>
      <c r="D1547" s="414"/>
      <c r="E1547" s="50"/>
      <c r="F1547" s="403">
        <v>4387</v>
      </c>
      <c r="G1547" s="406">
        <v>15531</v>
      </c>
      <c r="H1547" s="50"/>
      <c r="I1547" s="50"/>
      <c r="J1547" s="306"/>
    </row>
    <row r="1548" spans="2:10">
      <c r="B1548" s="413"/>
      <c r="C1548" s="414"/>
      <c r="D1548" s="414"/>
      <c r="E1548" s="50"/>
      <c r="F1548" s="403">
        <v>4388</v>
      </c>
      <c r="G1548" s="406">
        <v>15474</v>
      </c>
      <c r="H1548" s="50"/>
      <c r="I1548" s="50"/>
      <c r="J1548" s="306"/>
    </row>
    <row r="1549" spans="2:10">
      <c r="B1549" s="413"/>
      <c r="C1549" s="414"/>
      <c r="D1549" s="414"/>
      <c r="E1549" s="50"/>
      <c r="F1549" s="403">
        <v>4390</v>
      </c>
      <c r="G1549" s="406">
        <v>16707</v>
      </c>
      <c r="H1549" s="50"/>
      <c r="I1549" s="50"/>
      <c r="J1549" s="306"/>
    </row>
    <row r="1550" spans="2:10">
      <c r="B1550" s="413"/>
      <c r="C1550" s="414"/>
      <c r="D1550" s="414"/>
      <c r="E1550" s="50"/>
      <c r="F1550" s="403">
        <v>4400</v>
      </c>
      <c r="G1550" s="406">
        <v>15063</v>
      </c>
      <c r="H1550" s="50"/>
      <c r="I1550" s="50"/>
      <c r="J1550" s="306"/>
    </row>
    <row r="1551" spans="2:10">
      <c r="B1551" s="413"/>
      <c r="C1551" s="414"/>
      <c r="D1551" s="414"/>
      <c r="E1551" s="50"/>
      <c r="F1551" s="403">
        <v>4401</v>
      </c>
      <c r="G1551" s="406">
        <v>15063</v>
      </c>
      <c r="H1551" s="50"/>
      <c r="I1551" s="50"/>
      <c r="J1551" s="306"/>
    </row>
    <row r="1552" spans="2:10">
      <c r="B1552" s="413"/>
      <c r="C1552" s="414"/>
      <c r="D1552" s="414"/>
      <c r="E1552" s="50"/>
      <c r="F1552" s="403">
        <v>4402</v>
      </c>
      <c r="G1552" s="406">
        <v>17501</v>
      </c>
      <c r="H1552" s="50"/>
      <c r="I1552" s="50"/>
      <c r="J1552" s="306"/>
    </row>
    <row r="1553" spans="2:10">
      <c r="B1553" s="413"/>
      <c r="C1553" s="414"/>
      <c r="D1553" s="414"/>
      <c r="E1553" s="50"/>
      <c r="F1553" s="403">
        <v>4403</v>
      </c>
      <c r="G1553" s="406">
        <v>15064</v>
      </c>
      <c r="H1553" s="50"/>
      <c r="I1553" s="50"/>
      <c r="J1553" s="306"/>
    </row>
    <row r="1554" spans="2:10">
      <c r="B1554" s="413"/>
      <c r="C1554" s="414"/>
      <c r="D1554" s="414"/>
      <c r="E1554" s="50"/>
      <c r="F1554" s="403">
        <v>4404</v>
      </c>
      <c r="G1554" s="406">
        <v>15060</v>
      </c>
      <c r="H1554" s="50"/>
      <c r="I1554" s="50"/>
      <c r="J1554" s="306"/>
    </row>
    <row r="1555" spans="2:10">
      <c r="B1555" s="413"/>
      <c r="C1555" s="414"/>
      <c r="D1555" s="414"/>
      <c r="E1555" s="50"/>
      <c r="F1555" s="403">
        <v>4405</v>
      </c>
      <c r="G1555" s="406">
        <v>16762</v>
      </c>
      <c r="H1555" s="50"/>
      <c r="I1555" s="50"/>
      <c r="J1555" s="306"/>
    </row>
    <row r="1556" spans="2:10">
      <c r="B1556" s="413"/>
      <c r="C1556" s="414"/>
      <c r="D1556" s="414"/>
      <c r="E1556" s="50"/>
      <c r="F1556" s="403">
        <v>4406</v>
      </c>
      <c r="G1556" s="406">
        <v>16762</v>
      </c>
      <c r="H1556" s="50"/>
      <c r="I1556" s="50"/>
      <c r="J1556" s="306"/>
    </row>
    <row r="1557" spans="2:10">
      <c r="B1557" s="413"/>
      <c r="C1557" s="414"/>
      <c r="D1557" s="414"/>
      <c r="E1557" s="50"/>
      <c r="F1557" s="403">
        <v>4407</v>
      </c>
      <c r="G1557" s="406">
        <v>16371</v>
      </c>
      <c r="H1557" s="50"/>
      <c r="I1557" s="50"/>
      <c r="J1557" s="306"/>
    </row>
    <row r="1558" spans="2:10">
      <c r="B1558" s="413"/>
      <c r="C1558" s="414"/>
      <c r="D1558" s="414"/>
      <c r="E1558" s="50"/>
      <c r="F1558" s="403">
        <v>4408</v>
      </c>
      <c r="G1558" s="406">
        <v>15406</v>
      </c>
      <c r="H1558" s="50"/>
      <c r="I1558" s="50"/>
      <c r="J1558" s="306"/>
    </row>
    <row r="1559" spans="2:10">
      <c r="B1559" s="413"/>
      <c r="C1559" s="414"/>
      <c r="D1559" s="414"/>
      <c r="E1559" s="50"/>
      <c r="F1559" s="403">
        <v>4410</v>
      </c>
      <c r="G1559" s="406">
        <v>14493</v>
      </c>
      <c r="H1559" s="50"/>
      <c r="I1559" s="50"/>
      <c r="J1559" s="306"/>
    </row>
    <row r="1560" spans="2:10">
      <c r="B1560" s="413"/>
      <c r="C1560" s="414"/>
      <c r="D1560" s="414"/>
      <c r="E1560" s="50"/>
      <c r="F1560" s="403">
        <v>4411</v>
      </c>
      <c r="G1560" s="406">
        <v>19227</v>
      </c>
      <c r="H1560" s="50"/>
      <c r="I1560" s="50"/>
      <c r="J1560" s="306"/>
    </row>
    <row r="1561" spans="2:10">
      <c r="B1561" s="413"/>
      <c r="C1561" s="414"/>
      <c r="D1561" s="414"/>
      <c r="E1561" s="50"/>
      <c r="F1561" s="403">
        <v>4412</v>
      </c>
      <c r="G1561" s="406">
        <v>19227</v>
      </c>
      <c r="H1561" s="50"/>
      <c r="I1561" s="50"/>
      <c r="J1561" s="306"/>
    </row>
    <row r="1562" spans="2:10">
      <c r="B1562" s="413"/>
      <c r="C1562" s="414"/>
      <c r="D1562" s="414"/>
      <c r="E1562" s="50"/>
      <c r="F1562" s="403">
        <v>4413</v>
      </c>
      <c r="G1562" s="406">
        <v>23920</v>
      </c>
      <c r="H1562" s="50"/>
      <c r="I1562" s="50"/>
      <c r="J1562" s="306"/>
    </row>
    <row r="1563" spans="2:10">
      <c r="B1563" s="413"/>
      <c r="C1563" s="414"/>
      <c r="D1563" s="414"/>
      <c r="E1563" s="50"/>
      <c r="F1563" s="403">
        <v>4415</v>
      </c>
      <c r="G1563" s="406">
        <v>23290</v>
      </c>
      <c r="H1563" s="50"/>
      <c r="I1563" s="50"/>
      <c r="J1563" s="306"/>
    </row>
    <row r="1564" spans="2:10">
      <c r="B1564" s="413"/>
      <c r="C1564" s="414"/>
      <c r="D1564" s="414"/>
      <c r="E1564" s="50"/>
      <c r="F1564" s="403">
        <v>4416</v>
      </c>
      <c r="G1564" s="406">
        <v>18192</v>
      </c>
      <c r="H1564" s="50"/>
      <c r="I1564" s="50"/>
      <c r="J1564" s="306"/>
    </row>
    <row r="1565" spans="2:10">
      <c r="B1565" s="413"/>
      <c r="C1565" s="414"/>
      <c r="D1565" s="414"/>
      <c r="E1565" s="50"/>
      <c r="F1565" s="403">
        <v>4417</v>
      </c>
      <c r="G1565" s="406">
        <v>22210</v>
      </c>
      <c r="H1565" s="50"/>
      <c r="I1565" s="50"/>
      <c r="J1565" s="306"/>
    </row>
    <row r="1566" spans="2:10">
      <c r="B1566" s="413"/>
      <c r="C1566" s="414"/>
      <c r="D1566" s="414"/>
      <c r="E1566" s="50"/>
      <c r="F1566" s="403">
        <v>4418</v>
      </c>
      <c r="G1566" s="406">
        <v>25999</v>
      </c>
      <c r="H1566" s="50"/>
      <c r="I1566" s="50"/>
      <c r="J1566" s="306"/>
    </row>
    <row r="1567" spans="2:10">
      <c r="B1567" s="413"/>
      <c r="C1567" s="414"/>
      <c r="D1567" s="414"/>
      <c r="E1567" s="50"/>
      <c r="F1567" s="403">
        <v>4419</v>
      </c>
      <c r="G1567" s="406">
        <v>25385</v>
      </c>
      <c r="H1567" s="50"/>
      <c r="I1567" s="50"/>
      <c r="J1567" s="306"/>
    </row>
    <row r="1568" spans="2:10">
      <c r="B1568" s="413"/>
      <c r="C1568" s="414"/>
      <c r="D1568" s="414"/>
      <c r="E1568" s="50"/>
      <c r="F1568" s="403">
        <v>4420</v>
      </c>
      <c r="G1568" s="406">
        <v>22582</v>
      </c>
      <c r="H1568" s="50"/>
      <c r="I1568" s="50"/>
      <c r="J1568" s="306"/>
    </row>
    <row r="1569" spans="2:10">
      <c r="B1569" s="413"/>
      <c r="C1569" s="414"/>
      <c r="D1569" s="414"/>
      <c r="E1569" s="50"/>
      <c r="F1569" s="403">
        <v>4421</v>
      </c>
      <c r="G1569" s="406">
        <v>16762</v>
      </c>
      <c r="H1569" s="50"/>
      <c r="I1569" s="50"/>
      <c r="J1569" s="306"/>
    </row>
    <row r="1570" spans="2:10">
      <c r="B1570" s="413"/>
      <c r="C1570" s="414"/>
      <c r="D1570" s="414"/>
      <c r="E1570" s="50"/>
      <c r="F1570" s="403">
        <v>4422</v>
      </c>
      <c r="G1570" s="406">
        <v>16762</v>
      </c>
      <c r="H1570" s="50"/>
      <c r="I1570" s="50"/>
      <c r="J1570" s="306"/>
    </row>
    <row r="1571" spans="2:10">
      <c r="B1571" s="413"/>
      <c r="C1571" s="414"/>
      <c r="D1571" s="414"/>
      <c r="E1571" s="50"/>
      <c r="F1571" s="403">
        <v>4423</v>
      </c>
      <c r="G1571" s="406">
        <v>20713</v>
      </c>
      <c r="H1571" s="50"/>
      <c r="I1571" s="50"/>
      <c r="J1571" s="306"/>
    </row>
    <row r="1572" spans="2:10">
      <c r="B1572" s="413"/>
      <c r="C1572" s="414"/>
      <c r="D1572" s="414"/>
      <c r="E1572" s="50"/>
      <c r="F1572" s="403">
        <v>4424</v>
      </c>
      <c r="G1572" s="406">
        <v>23290</v>
      </c>
      <c r="H1572" s="50"/>
      <c r="I1572" s="50"/>
      <c r="J1572" s="306"/>
    </row>
    <row r="1573" spans="2:10">
      <c r="B1573" s="413"/>
      <c r="C1573" s="414"/>
      <c r="D1573" s="414"/>
      <c r="E1573" s="50"/>
      <c r="F1573" s="403">
        <v>4425</v>
      </c>
      <c r="G1573" s="406">
        <v>23290</v>
      </c>
      <c r="H1573" s="50"/>
      <c r="I1573" s="50"/>
      <c r="J1573" s="306"/>
    </row>
    <row r="1574" spans="2:10">
      <c r="B1574" s="413"/>
      <c r="C1574" s="414"/>
      <c r="D1574" s="414"/>
      <c r="E1574" s="50"/>
      <c r="F1574" s="403">
        <v>4426</v>
      </c>
      <c r="G1574" s="406">
        <v>25700</v>
      </c>
      <c r="H1574" s="50"/>
      <c r="I1574" s="50"/>
      <c r="J1574" s="306"/>
    </row>
    <row r="1575" spans="2:10">
      <c r="B1575" s="413"/>
      <c r="C1575" s="414"/>
      <c r="D1575" s="414"/>
      <c r="E1575" s="50"/>
      <c r="F1575" s="403">
        <v>4427</v>
      </c>
      <c r="G1575" s="406">
        <v>25700</v>
      </c>
      <c r="H1575" s="50"/>
      <c r="I1575" s="50"/>
      <c r="J1575" s="306"/>
    </row>
    <row r="1576" spans="2:10">
      <c r="B1576" s="413"/>
      <c r="C1576" s="414"/>
      <c r="D1576" s="414"/>
      <c r="E1576" s="50"/>
      <c r="F1576" s="403">
        <v>4428</v>
      </c>
      <c r="G1576" s="406">
        <v>25700</v>
      </c>
      <c r="H1576" s="50"/>
      <c r="I1576" s="50"/>
      <c r="J1576" s="306"/>
    </row>
    <row r="1577" spans="2:10">
      <c r="B1577" s="413"/>
      <c r="C1577" s="414"/>
      <c r="D1577" s="414"/>
      <c r="E1577" s="50"/>
      <c r="F1577" s="403">
        <v>4454</v>
      </c>
      <c r="G1577" s="406">
        <v>22795</v>
      </c>
      <c r="H1577" s="50"/>
      <c r="I1577" s="50"/>
      <c r="J1577" s="306"/>
    </row>
    <row r="1578" spans="2:10">
      <c r="B1578" s="413"/>
      <c r="C1578" s="414"/>
      <c r="D1578" s="414"/>
      <c r="E1578" s="50"/>
      <c r="F1578" s="403">
        <v>4455</v>
      </c>
      <c r="G1578" s="406">
        <v>24820</v>
      </c>
      <c r="H1578" s="50"/>
      <c r="I1578" s="50"/>
      <c r="J1578" s="306"/>
    </row>
    <row r="1579" spans="2:10">
      <c r="B1579" s="413"/>
      <c r="C1579" s="414"/>
      <c r="D1579" s="414"/>
      <c r="E1579" s="50"/>
      <c r="F1579" s="403">
        <v>4461</v>
      </c>
      <c r="G1579" s="406">
        <v>24820</v>
      </c>
      <c r="H1579" s="50"/>
      <c r="I1579" s="50"/>
      <c r="J1579" s="306"/>
    </row>
    <row r="1580" spans="2:10">
      <c r="B1580" s="413"/>
      <c r="C1580" s="414"/>
      <c r="D1580" s="414"/>
      <c r="E1580" s="50"/>
      <c r="F1580" s="403">
        <v>4462</v>
      </c>
      <c r="G1580" s="406">
        <v>24809</v>
      </c>
      <c r="H1580" s="50"/>
      <c r="I1580" s="50"/>
      <c r="J1580" s="306"/>
    </row>
    <row r="1581" spans="2:10">
      <c r="B1581" s="413"/>
      <c r="C1581" s="414"/>
      <c r="D1581" s="414"/>
      <c r="E1581" s="50"/>
      <c r="F1581" s="403">
        <v>4465</v>
      </c>
      <c r="G1581" s="406">
        <v>23291</v>
      </c>
      <c r="H1581" s="50"/>
      <c r="I1581" s="50"/>
      <c r="J1581" s="306"/>
    </row>
    <row r="1582" spans="2:10">
      <c r="B1582" s="413"/>
      <c r="C1582" s="414"/>
      <c r="D1582" s="414"/>
      <c r="E1582" s="50"/>
      <c r="F1582" s="403">
        <v>4467</v>
      </c>
      <c r="G1582" s="406">
        <v>23291</v>
      </c>
      <c r="H1582" s="50"/>
      <c r="I1582" s="50"/>
      <c r="J1582" s="306"/>
    </row>
    <row r="1583" spans="2:10">
      <c r="B1583" s="413"/>
      <c r="C1583" s="414"/>
      <c r="D1583" s="414"/>
      <c r="E1583" s="50"/>
      <c r="F1583" s="403">
        <v>4468</v>
      </c>
      <c r="G1583" s="406">
        <v>22009</v>
      </c>
      <c r="H1583" s="50"/>
      <c r="I1583" s="50"/>
      <c r="J1583" s="306"/>
    </row>
    <row r="1584" spans="2:10">
      <c r="B1584" s="413"/>
      <c r="C1584" s="414"/>
      <c r="D1584" s="414"/>
      <c r="E1584" s="50"/>
      <c r="F1584" s="403">
        <v>4470</v>
      </c>
      <c r="G1584" s="406">
        <v>20773</v>
      </c>
      <c r="H1584" s="50"/>
      <c r="I1584" s="50"/>
      <c r="J1584" s="306"/>
    </row>
    <row r="1585" spans="2:10">
      <c r="B1585" s="413"/>
      <c r="C1585" s="414"/>
      <c r="D1585" s="414"/>
      <c r="E1585" s="50"/>
      <c r="F1585" s="403">
        <v>4471</v>
      </c>
      <c r="G1585" s="406">
        <v>21069</v>
      </c>
      <c r="H1585" s="50"/>
      <c r="I1585" s="50"/>
      <c r="J1585" s="306"/>
    </row>
    <row r="1586" spans="2:10">
      <c r="B1586" s="413"/>
      <c r="C1586" s="414"/>
      <c r="D1586" s="414"/>
      <c r="E1586" s="50"/>
      <c r="F1586" s="403">
        <v>4472</v>
      </c>
      <c r="G1586" s="406">
        <v>17921</v>
      </c>
      <c r="H1586" s="50"/>
      <c r="I1586" s="50"/>
      <c r="J1586" s="306"/>
    </row>
    <row r="1587" spans="2:10">
      <c r="B1587" s="413"/>
      <c r="C1587" s="414"/>
      <c r="D1587" s="414"/>
      <c r="E1587" s="50"/>
      <c r="F1587" s="403">
        <v>4474</v>
      </c>
      <c r="G1587" s="406">
        <v>18927</v>
      </c>
      <c r="H1587" s="50"/>
      <c r="I1587" s="50"/>
      <c r="J1587" s="306"/>
    </row>
    <row r="1588" spans="2:10">
      <c r="B1588" s="413"/>
      <c r="C1588" s="414"/>
      <c r="D1588" s="414"/>
      <c r="E1588" s="50"/>
      <c r="F1588" s="403">
        <v>4475</v>
      </c>
      <c r="G1588" s="406">
        <v>20113</v>
      </c>
      <c r="H1588" s="50"/>
      <c r="I1588" s="50"/>
      <c r="J1588" s="306"/>
    </row>
    <row r="1589" spans="2:10">
      <c r="B1589" s="413"/>
      <c r="C1589" s="414"/>
      <c r="D1589" s="414"/>
      <c r="E1589" s="50"/>
      <c r="F1589" s="403">
        <v>4477</v>
      </c>
      <c r="G1589" s="406">
        <v>21266</v>
      </c>
      <c r="H1589" s="50"/>
      <c r="I1589" s="50"/>
      <c r="J1589" s="306"/>
    </row>
    <row r="1590" spans="2:10">
      <c r="B1590" s="413"/>
      <c r="C1590" s="414"/>
      <c r="D1590" s="414"/>
      <c r="E1590" s="50"/>
      <c r="F1590" s="403">
        <v>4478</v>
      </c>
      <c r="G1590" s="406">
        <v>18318</v>
      </c>
      <c r="H1590" s="50"/>
      <c r="I1590" s="50"/>
      <c r="J1590" s="306"/>
    </row>
    <row r="1591" spans="2:10">
      <c r="B1591" s="413"/>
      <c r="C1591" s="414"/>
      <c r="D1591" s="414"/>
      <c r="E1591" s="50"/>
      <c r="F1591" s="403">
        <v>4479</v>
      </c>
      <c r="G1591" s="406">
        <v>20773</v>
      </c>
      <c r="H1591" s="50"/>
      <c r="I1591" s="50"/>
      <c r="J1591" s="306"/>
    </row>
    <row r="1592" spans="2:10">
      <c r="B1592" s="413"/>
      <c r="C1592" s="414"/>
      <c r="D1592" s="414"/>
      <c r="E1592" s="50"/>
      <c r="F1592" s="403">
        <v>4480</v>
      </c>
      <c r="G1592" s="406">
        <v>20113</v>
      </c>
      <c r="H1592" s="50"/>
      <c r="I1592" s="50"/>
      <c r="J1592" s="306"/>
    </row>
    <row r="1593" spans="2:10">
      <c r="B1593" s="413"/>
      <c r="C1593" s="414"/>
      <c r="D1593" s="414"/>
      <c r="E1593" s="50"/>
      <c r="F1593" s="403">
        <v>4481</v>
      </c>
      <c r="G1593" s="406">
        <v>15240</v>
      </c>
      <c r="H1593" s="50"/>
      <c r="I1593" s="50"/>
      <c r="J1593" s="306"/>
    </row>
    <row r="1594" spans="2:10">
      <c r="B1594" s="413"/>
      <c r="C1594" s="414"/>
      <c r="D1594" s="414"/>
      <c r="E1594" s="50"/>
      <c r="F1594" s="403">
        <v>4482</v>
      </c>
      <c r="G1594" s="406">
        <v>18920</v>
      </c>
      <c r="H1594" s="50"/>
      <c r="I1594" s="50"/>
      <c r="J1594" s="306"/>
    </row>
    <row r="1595" spans="2:10">
      <c r="B1595" s="413"/>
      <c r="C1595" s="414"/>
      <c r="D1595" s="414"/>
      <c r="E1595" s="50"/>
      <c r="F1595" s="403">
        <v>4486</v>
      </c>
      <c r="G1595" s="406">
        <v>16996</v>
      </c>
      <c r="H1595" s="50"/>
      <c r="I1595" s="50"/>
      <c r="J1595" s="306"/>
    </row>
    <row r="1596" spans="2:10">
      <c r="B1596" s="413"/>
      <c r="C1596" s="414"/>
      <c r="D1596" s="414"/>
      <c r="E1596" s="50"/>
      <c r="F1596" s="403">
        <v>4487</v>
      </c>
      <c r="G1596" s="406">
        <v>20816</v>
      </c>
      <c r="H1596" s="50"/>
      <c r="I1596" s="50"/>
      <c r="J1596" s="306"/>
    </row>
    <row r="1597" spans="2:10">
      <c r="B1597" s="413"/>
      <c r="C1597" s="414"/>
      <c r="D1597" s="414"/>
      <c r="E1597" s="50"/>
      <c r="F1597" s="403">
        <v>4488</v>
      </c>
      <c r="G1597" s="406">
        <v>18719</v>
      </c>
      <c r="H1597" s="50"/>
      <c r="I1597" s="50"/>
      <c r="J1597" s="306"/>
    </row>
    <row r="1598" spans="2:10">
      <c r="B1598" s="413"/>
      <c r="C1598" s="414"/>
      <c r="D1598" s="414"/>
      <c r="E1598" s="50"/>
      <c r="F1598" s="403">
        <v>4489</v>
      </c>
      <c r="G1598" s="406">
        <v>21069</v>
      </c>
      <c r="H1598" s="50"/>
      <c r="I1598" s="50"/>
      <c r="J1598" s="306"/>
    </row>
    <row r="1599" spans="2:10">
      <c r="B1599" s="413"/>
      <c r="C1599" s="414"/>
      <c r="D1599" s="414"/>
      <c r="E1599" s="50"/>
      <c r="F1599" s="403">
        <v>4490</v>
      </c>
      <c r="G1599" s="406">
        <v>19779</v>
      </c>
      <c r="H1599" s="50"/>
      <c r="I1599" s="50"/>
      <c r="J1599" s="306"/>
    </row>
    <row r="1600" spans="2:10">
      <c r="B1600" s="413"/>
      <c r="C1600" s="414"/>
      <c r="D1600" s="414"/>
      <c r="E1600" s="50"/>
      <c r="F1600" s="403">
        <v>4491</v>
      </c>
      <c r="G1600" s="406">
        <v>19658</v>
      </c>
      <c r="H1600" s="50"/>
      <c r="I1600" s="50"/>
      <c r="J1600" s="306"/>
    </row>
    <row r="1601" spans="2:10">
      <c r="B1601" s="413"/>
      <c r="C1601" s="414"/>
      <c r="D1601" s="414"/>
      <c r="E1601" s="50"/>
      <c r="F1601" s="403">
        <v>4492</v>
      </c>
      <c r="G1601" s="406">
        <v>18360</v>
      </c>
      <c r="H1601" s="50"/>
      <c r="I1601" s="50"/>
      <c r="J1601" s="306"/>
    </row>
    <row r="1602" spans="2:10">
      <c r="B1602" s="413"/>
      <c r="C1602" s="414"/>
      <c r="D1602" s="414"/>
      <c r="E1602" s="50"/>
      <c r="F1602" s="403">
        <v>4493</v>
      </c>
      <c r="G1602" s="406">
        <v>19353</v>
      </c>
      <c r="H1602" s="50"/>
      <c r="I1602" s="50"/>
      <c r="J1602" s="306"/>
    </row>
    <row r="1603" spans="2:10">
      <c r="B1603" s="413"/>
      <c r="C1603" s="414"/>
      <c r="D1603" s="414"/>
      <c r="E1603" s="50"/>
      <c r="F1603" s="403">
        <v>4494</v>
      </c>
      <c r="G1603" s="406">
        <v>16855</v>
      </c>
      <c r="H1603" s="50"/>
      <c r="I1603" s="50"/>
      <c r="J1603" s="306"/>
    </row>
    <row r="1604" spans="2:10">
      <c r="B1604" s="413"/>
      <c r="C1604" s="414"/>
      <c r="D1604" s="414"/>
      <c r="E1604" s="50"/>
      <c r="F1604" s="403">
        <v>4496</v>
      </c>
      <c r="G1604" s="406">
        <v>16880</v>
      </c>
      <c r="H1604" s="50"/>
      <c r="I1604" s="50"/>
      <c r="J1604" s="306"/>
    </row>
    <row r="1605" spans="2:10">
      <c r="B1605" s="413"/>
      <c r="C1605" s="414"/>
      <c r="D1605" s="414"/>
      <c r="E1605" s="50"/>
      <c r="F1605" s="403">
        <v>4497</v>
      </c>
      <c r="G1605" s="406">
        <v>16954</v>
      </c>
      <c r="H1605" s="50"/>
      <c r="I1605" s="50"/>
      <c r="J1605" s="306"/>
    </row>
    <row r="1606" spans="2:10">
      <c r="B1606" s="413"/>
      <c r="C1606" s="414"/>
      <c r="D1606" s="414"/>
      <c r="E1606" s="50"/>
      <c r="F1606" s="403">
        <v>4498</v>
      </c>
      <c r="G1606" s="406">
        <v>16880</v>
      </c>
      <c r="H1606" s="50"/>
      <c r="I1606" s="50"/>
      <c r="J1606" s="306"/>
    </row>
    <row r="1607" spans="2:10">
      <c r="B1607" s="413"/>
      <c r="C1607" s="414"/>
      <c r="D1607" s="414"/>
      <c r="E1607" s="50"/>
      <c r="F1607" s="403">
        <v>4500</v>
      </c>
      <c r="G1607" s="406">
        <v>13100</v>
      </c>
      <c r="H1607" s="50"/>
      <c r="I1607" s="50"/>
      <c r="J1607" s="306"/>
    </row>
    <row r="1608" spans="2:10">
      <c r="B1608" s="413"/>
      <c r="C1608" s="414"/>
      <c r="D1608" s="414"/>
      <c r="E1608" s="50"/>
      <c r="F1608" s="403">
        <v>4501</v>
      </c>
      <c r="G1608" s="406">
        <v>13489</v>
      </c>
      <c r="H1608" s="50"/>
      <c r="I1608" s="50"/>
      <c r="J1608" s="306"/>
    </row>
    <row r="1609" spans="2:10">
      <c r="B1609" s="413"/>
      <c r="C1609" s="414"/>
      <c r="D1609" s="414"/>
      <c r="E1609" s="50"/>
      <c r="F1609" s="403">
        <v>4502</v>
      </c>
      <c r="G1609" s="406">
        <v>13489</v>
      </c>
      <c r="H1609" s="50"/>
      <c r="I1609" s="50"/>
      <c r="J1609" s="306"/>
    </row>
    <row r="1610" spans="2:10">
      <c r="B1610" s="413"/>
      <c r="C1610" s="414"/>
      <c r="D1610" s="414"/>
      <c r="E1610" s="50"/>
      <c r="F1610" s="403">
        <v>4503</v>
      </c>
      <c r="G1610" s="406">
        <v>13675</v>
      </c>
      <c r="H1610" s="50"/>
      <c r="I1610" s="50"/>
      <c r="J1610" s="306"/>
    </row>
    <row r="1611" spans="2:10">
      <c r="B1611" s="413"/>
      <c r="C1611" s="414"/>
      <c r="D1611" s="414"/>
      <c r="E1611" s="50"/>
      <c r="F1611" s="403">
        <v>4504</v>
      </c>
      <c r="G1611" s="406">
        <v>13968</v>
      </c>
      <c r="H1611" s="50"/>
      <c r="I1611" s="50"/>
      <c r="J1611" s="306"/>
    </row>
    <row r="1612" spans="2:10">
      <c r="B1612" s="413"/>
      <c r="C1612" s="414"/>
      <c r="D1612" s="414"/>
      <c r="E1612" s="50"/>
      <c r="F1612" s="403">
        <v>4505</v>
      </c>
      <c r="G1612" s="406">
        <v>14048</v>
      </c>
      <c r="H1612" s="50"/>
      <c r="I1612" s="50"/>
      <c r="J1612" s="306"/>
    </row>
    <row r="1613" spans="2:10">
      <c r="B1613" s="413"/>
      <c r="C1613" s="414"/>
      <c r="D1613" s="414"/>
      <c r="E1613" s="50"/>
      <c r="F1613" s="403">
        <v>4506</v>
      </c>
      <c r="G1613" s="406">
        <v>14032</v>
      </c>
      <c r="H1613" s="50"/>
      <c r="I1613" s="50"/>
      <c r="J1613" s="306"/>
    </row>
    <row r="1614" spans="2:10">
      <c r="B1614" s="413"/>
      <c r="C1614" s="414"/>
      <c r="D1614" s="414"/>
      <c r="E1614" s="50"/>
      <c r="F1614" s="403">
        <v>4507</v>
      </c>
      <c r="G1614" s="406">
        <v>14708</v>
      </c>
      <c r="H1614" s="50"/>
      <c r="I1614" s="50"/>
      <c r="J1614" s="306"/>
    </row>
    <row r="1615" spans="2:10">
      <c r="B1615" s="413"/>
      <c r="C1615" s="414"/>
      <c r="D1615" s="414"/>
      <c r="E1615" s="50"/>
      <c r="F1615" s="403">
        <v>4508</v>
      </c>
      <c r="G1615" s="406">
        <v>13994</v>
      </c>
      <c r="H1615" s="50"/>
      <c r="I1615" s="50"/>
      <c r="J1615" s="306"/>
    </row>
    <row r="1616" spans="2:10">
      <c r="B1616" s="413"/>
      <c r="C1616" s="414"/>
      <c r="D1616" s="414"/>
      <c r="E1616" s="50"/>
      <c r="F1616" s="403">
        <v>4509</v>
      </c>
      <c r="G1616" s="406">
        <v>13760</v>
      </c>
      <c r="H1616" s="50"/>
      <c r="I1616" s="50"/>
      <c r="J1616" s="306"/>
    </row>
    <row r="1617" spans="2:10">
      <c r="B1617" s="413"/>
      <c r="C1617" s="414"/>
      <c r="D1617" s="414"/>
      <c r="E1617" s="50"/>
      <c r="F1617" s="403">
        <v>4510</v>
      </c>
      <c r="G1617" s="406">
        <v>14140</v>
      </c>
      <c r="H1617" s="50"/>
      <c r="I1617" s="50"/>
      <c r="J1617" s="306"/>
    </row>
    <row r="1618" spans="2:10">
      <c r="B1618" s="413"/>
      <c r="C1618" s="414"/>
      <c r="D1618" s="414"/>
      <c r="E1618" s="50"/>
      <c r="F1618" s="403">
        <v>4511</v>
      </c>
      <c r="G1618" s="406">
        <v>14195</v>
      </c>
      <c r="H1618" s="50"/>
      <c r="I1618" s="50"/>
      <c r="J1618" s="306"/>
    </row>
    <row r="1619" spans="2:10">
      <c r="B1619" s="413"/>
      <c r="C1619" s="414"/>
      <c r="D1619" s="414"/>
      <c r="E1619" s="50"/>
      <c r="F1619" s="403">
        <v>4512</v>
      </c>
      <c r="G1619" s="406">
        <v>14136</v>
      </c>
      <c r="H1619" s="50"/>
      <c r="I1619" s="50"/>
      <c r="J1619" s="306"/>
    </row>
    <row r="1620" spans="2:10">
      <c r="B1620" s="413"/>
      <c r="C1620" s="414"/>
      <c r="D1620" s="414"/>
      <c r="E1620" s="50"/>
      <c r="F1620" s="403">
        <v>4514</v>
      </c>
      <c r="G1620" s="406">
        <v>14621</v>
      </c>
      <c r="H1620" s="50"/>
      <c r="I1620" s="50"/>
      <c r="J1620" s="306"/>
    </row>
    <row r="1621" spans="2:10">
      <c r="B1621" s="413"/>
      <c r="C1621" s="414"/>
      <c r="D1621" s="414"/>
      <c r="E1621" s="50"/>
      <c r="F1621" s="403">
        <v>4515</v>
      </c>
      <c r="G1621" s="406">
        <v>17372</v>
      </c>
      <c r="H1621" s="50"/>
      <c r="I1621" s="50"/>
      <c r="J1621" s="306"/>
    </row>
    <row r="1622" spans="2:10">
      <c r="B1622" s="413"/>
      <c r="C1622" s="414"/>
      <c r="D1622" s="414"/>
      <c r="E1622" s="50"/>
      <c r="F1622" s="403">
        <v>4516</v>
      </c>
      <c r="G1622" s="406">
        <v>14145</v>
      </c>
      <c r="H1622" s="50"/>
      <c r="I1622" s="50"/>
      <c r="J1622" s="306"/>
    </row>
    <row r="1623" spans="2:10">
      <c r="B1623" s="413"/>
      <c r="C1623" s="414"/>
      <c r="D1623" s="414"/>
      <c r="E1623" s="50"/>
      <c r="F1623" s="403">
        <v>4517</v>
      </c>
      <c r="G1623" s="406">
        <v>14227</v>
      </c>
      <c r="H1623" s="50"/>
      <c r="I1623" s="50"/>
      <c r="J1623" s="306"/>
    </row>
    <row r="1624" spans="2:10">
      <c r="B1624" s="413"/>
      <c r="C1624" s="414"/>
      <c r="D1624" s="414"/>
      <c r="E1624" s="50"/>
      <c r="F1624" s="403">
        <v>4518</v>
      </c>
      <c r="G1624" s="406">
        <v>14366</v>
      </c>
      <c r="H1624" s="50"/>
      <c r="I1624" s="50"/>
      <c r="J1624" s="306"/>
    </row>
    <row r="1625" spans="2:10">
      <c r="B1625" s="413"/>
      <c r="C1625" s="414"/>
      <c r="D1625" s="414"/>
      <c r="E1625" s="50"/>
      <c r="F1625" s="403">
        <v>4519</v>
      </c>
      <c r="G1625" s="406">
        <v>14897</v>
      </c>
      <c r="H1625" s="50"/>
      <c r="I1625" s="50"/>
      <c r="J1625" s="306"/>
    </row>
    <row r="1626" spans="2:10">
      <c r="B1626" s="413"/>
      <c r="C1626" s="414"/>
      <c r="D1626" s="414"/>
      <c r="E1626" s="50"/>
      <c r="F1626" s="403">
        <v>4520</v>
      </c>
      <c r="G1626" s="406">
        <v>12271</v>
      </c>
      <c r="H1626" s="50"/>
      <c r="I1626" s="50"/>
      <c r="J1626" s="306"/>
    </row>
    <row r="1627" spans="2:10">
      <c r="B1627" s="413"/>
      <c r="C1627" s="414"/>
      <c r="D1627" s="414"/>
      <c r="E1627" s="50"/>
      <c r="F1627" s="403">
        <v>4521</v>
      </c>
      <c r="G1627" s="406">
        <v>14151</v>
      </c>
      <c r="H1627" s="50"/>
      <c r="I1627" s="50"/>
      <c r="J1627" s="306"/>
    </row>
    <row r="1628" spans="2:10">
      <c r="B1628" s="413"/>
      <c r="C1628" s="414"/>
      <c r="D1628" s="414"/>
      <c r="E1628" s="50"/>
      <c r="F1628" s="403">
        <v>4550</v>
      </c>
      <c r="G1628" s="406">
        <v>14965</v>
      </c>
      <c r="H1628" s="50"/>
      <c r="I1628" s="50"/>
      <c r="J1628" s="306"/>
    </row>
    <row r="1629" spans="2:10">
      <c r="B1629" s="413"/>
      <c r="C1629" s="414"/>
      <c r="D1629" s="414"/>
      <c r="E1629" s="50"/>
      <c r="F1629" s="403">
        <v>4551</v>
      </c>
      <c r="G1629" s="406">
        <v>15165</v>
      </c>
      <c r="H1629" s="50"/>
      <c r="I1629" s="50"/>
      <c r="J1629" s="306"/>
    </row>
    <row r="1630" spans="2:10">
      <c r="B1630" s="413"/>
      <c r="C1630" s="414"/>
      <c r="D1630" s="414"/>
      <c r="E1630" s="50"/>
      <c r="F1630" s="403">
        <v>4552</v>
      </c>
      <c r="G1630" s="406">
        <v>15766</v>
      </c>
      <c r="H1630" s="50"/>
      <c r="I1630" s="50"/>
      <c r="J1630" s="306"/>
    </row>
    <row r="1631" spans="2:10">
      <c r="B1631" s="413"/>
      <c r="C1631" s="414"/>
      <c r="D1631" s="414"/>
      <c r="E1631" s="50"/>
      <c r="F1631" s="403">
        <v>4553</v>
      </c>
      <c r="G1631" s="406">
        <v>15223</v>
      </c>
      <c r="H1631" s="50"/>
      <c r="I1631" s="50"/>
      <c r="J1631" s="306"/>
    </row>
    <row r="1632" spans="2:10">
      <c r="B1632" s="413"/>
      <c r="C1632" s="414"/>
      <c r="D1632" s="414"/>
      <c r="E1632" s="50"/>
      <c r="F1632" s="403">
        <v>4554</v>
      </c>
      <c r="G1632" s="406">
        <v>15232</v>
      </c>
      <c r="H1632" s="50"/>
      <c r="I1632" s="50"/>
      <c r="J1632" s="306"/>
    </row>
    <row r="1633" spans="2:10">
      <c r="B1633" s="413"/>
      <c r="C1633" s="414"/>
      <c r="D1633" s="414"/>
      <c r="E1633" s="50"/>
      <c r="F1633" s="403">
        <v>4555</v>
      </c>
      <c r="G1633" s="406">
        <v>15457</v>
      </c>
      <c r="H1633" s="50"/>
      <c r="I1633" s="50"/>
      <c r="J1633" s="306"/>
    </row>
    <row r="1634" spans="2:10">
      <c r="B1634" s="413"/>
      <c r="C1634" s="414"/>
      <c r="D1634" s="414"/>
      <c r="E1634" s="50"/>
      <c r="F1634" s="403">
        <v>4556</v>
      </c>
      <c r="G1634" s="406">
        <v>15144</v>
      </c>
      <c r="H1634" s="50"/>
      <c r="I1634" s="50"/>
      <c r="J1634" s="306"/>
    </row>
    <row r="1635" spans="2:10">
      <c r="B1635" s="413"/>
      <c r="C1635" s="414"/>
      <c r="D1635" s="414"/>
      <c r="E1635" s="50"/>
      <c r="F1635" s="403">
        <v>4557</v>
      </c>
      <c r="G1635" s="406">
        <v>15121</v>
      </c>
      <c r="H1635" s="50"/>
      <c r="I1635" s="50"/>
      <c r="J1635" s="306"/>
    </row>
    <row r="1636" spans="2:10">
      <c r="B1636" s="413"/>
      <c r="C1636" s="414"/>
      <c r="D1636" s="414"/>
      <c r="E1636" s="50"/>
      <c r="F1636" s="403">
        <v>4558</v>
      </c>
      <c r="G1636" s="406">
        <v>15121</v>
      </c>
      <c r="H1636" s="50"/>
      <c r="I1636" s="50"/>
      <c r="J1636" s="306"/>
    </row>
    <row r="1637" spans="2:10">
      <c r="B1637" s="413"/>
      <c r="C1637" s="414"/>
      <c r="D1637" s="414"/>
      <c r="E1637" s="50"/>
      <c r="F1637" s="403">
        <v>4559</v>
      </c>
      <c r="G1637" s="406">
        <v>15407</v>
      </c>
      <c r="H1637" s="50"/>
      <c r="I1637" s="50"/>
      <c r="J1637" s="306"/>
    </row>
    <row r="1638" spans="2:10">
      <c r="B1638" s="413"/>
      <c r="C1638" s="414"/>
      <c r="D1638" s="414"/>
      <c r="E1638" s="50"/>
      <c r="F1638" s="403">
        <v>4560</v>
      </c>
      <c r="G1638" s="406">
        <v>16111</v>
      </c>
      <c r="H1638" s="50"/>
      <c r="I1638" s="50"/>
      <c r="J1638" s="306"/>
    </row>
    <row r="1639" spans="2:10">
      <c r="B1639" s="413"/>
      <c r="C1639" s="414"/>
      <c r="D1639" s="414"/>
      <c r="E1639" s="50"/>
      <c r="F1639" s="403">
        <v>4561</v>
      </c>
      <c r="G1639" s="406">
        <v>16859</v>
      </c>
      <c r="H1639" s="50"/>
      <c r="I1639" s="50"/>
      <c r="J1639" s="306"/>
    </row>
    <row r="1640" spans="2:10">
      <c r="B1640" s="413"/>
      <c r="C1640" s="414"/>
      <c r="D1640" s="414"/>
      <c r="E1640" s="50"/>
      <c r="F1640" s="403">
        <v>4562</v>
      </c>
      <c r="G1640" s="406">
        <v>17402</v>
      </c>
      <c r="H1640" s="50"/>
      <c r="I1640" s="50"/>
      <c r="J1640" s="306"/>
    </row>
    <row r="1641" spans="2:10">
      <c r="B1641" s="413"/>
      <c r="C1641" s="414"/>
      <c r="D1641" s="414"/>
      <c r="E1641" s="50"/>
      <c r="F1641" s="403">
        <v>4563</v>
      </c>
      <c r="G1641" s="406">
        <v>17982</v>
      </c>
      <c r="H1641" s="50"/>
      <c r="I1641" s="50"/>
      <c r="J1641" s="306"/>
    </row>
    <row r="1642" spans="2:10">
      <c r="B1642" s="413"/>
      <c r="C1642" s="414"/>
      <c r="D1642" s="414"/>
      <c r="E1642" s="50"/>
      <c r="F1642" s="403">
        <v>4564</v>
      </c>
      <c r="G1642" s="406">
        <v>15513</v>
      </c>
      <c r="H1642" s="50"/>
      <c r="I1642" s="50"/>
      <c r="J1642" s="306"/>
    </row>
    <row r="1643" spans="2:10">
      <c r="B1643" s="413"/>
      <c r="C1643" s="414"/>
      <c r="D1643" s="414"/>
      <c r="E1643" s="50"/>
      <c r="F1643" s="403">
        <v>4565</v>
      </c>
      <c r="G1643" s="406">
        <v>20143</v>
      </c>
      <c r="H1643" s="50"/>
      <c r="I1643" s="50"/>
      <c r="J1643" s="306"/>
    </row>
    <row r="1644" spans="2:10">
      <c r="B1644" s="413"/>
      <c r="C1644" s="414"/>
      <c r="D1644" s="414"/>
      <c r="E1644" s="50"/>
      <c r="F1644" s="403">
        <v>4566</v>
      </c>
      <c r="G1644" s="406">
        <v>18197</v>
      </c>
      <c r="H1644" s="50"/>
      <c r="I1644" s="50"/>
      <c r="J1644" s="306"/>
    </row>
    <row r="1645" spans="2:10">
      <c r="B1645" s="413"/>
      <c r="C1645" s="414"/>
      <c r="D1645" s="414"/>
      <c r="E1645" s="50"/>
      <c r="F1645" s="403">
        <v>4567</v>
      </c>
      <c r="G1645" s="406">
        <v>18197</v>
      </c>
      <c r="H1645" s="50"/>
      <c r="I1645" s="50"/>
      <c r="J1645" s="306"/>
    </row>
    <row r="1646" spans="2:10">
      <c r="B1646" s="413"/>
      <c r="C1646" s="414"/>
      <c r="D1646" s="414"/>
      <c r="E1646" s="50"/>
      <c r="F1646" s="403">
        <v>4568</v>
      </c>
      <c r="G1646" s="406">
        <v>18880</v>
      </c>
      <c r="H1646" s="50"/>
      <c r="I1646" s="50"/>
      <c r="J1646" s="306"/>
    </row>
    <row r="1647" spans="2:10">
      <c r="B1647" s="413"/>
      <c r="C1647" s="414"/>
      <c r="D1647" s="414"/>
      <c r="E1647" s="50"/>
      <c r="F1647" s="403">
        <v>4569</v>
      </c>
      <c r="G1647" s="406">
        <v>18880</v>
      </c>
      <c r="H1647" s="50"/>
      <c r="I1647" s="50"/>
      <c r="J1647" s="306"/>
    </row>
    <row r="1648" spans="2:10">
      <c r="B1648" s="413"/>
      <c r="C1648" s="414"/>
      <c r="D1648" s="414"/>
      <c r="E1648" s="50"/>
      <c r="F1648" s="403">
        <v>4570</v>
      </c>
      <c r="G1648" s="406">
        <v>19079</v>
      </c>
      <c r="H1648" s="50"/>
      <c r="I1648" s="50"/>
      <c r="J1648" s="306"/>
    </row>
    <row r="1649" spans="2:10">
      <c r="B1649" s="413"/>
      <c r="C1649" s="414"/>
      <c r="D1649" s="414"/>
      <c r="E1649" s="50"/>
      <c r="F1649" s="403">
        <v>4571</v>
      </c>
      <c r="G1649" s="406">
        <v>19317</v>
      </c>
      <c r="H1649" s="50"/>
      <c r="I1649" s="50"/>
      <c r="J1649" s="306"/>
    </row>
    <row r="1650" spans="2:10">
      <c r="B1650" s="413"/>
      <c r="C1650" s="414"/>
      <c r="D1650" s="414"/>
      <c r="E1650" s="50"/>
      <c r="F1650" s="403">
        <v>4572</v>
      </c>
      <c r="G1650" s="406">
        <v>15121</v>
      </c>
      <c r="H1650" s="50"/>
      <c r="I1650" s="50"/>
      <c r="J1650" s="306"/>
    </row>
    <row r="1651" spans="2:10">
      <c r="B1651" s="413"/>
      <c r="C1651" s="414"/>
      <c r="D1651" s="414"/>
      <c r="E1651" s="50"/>
      <c r="F1651" s="403">
        <v>4573</v>
      </c>
      <c r="G1651" s="406">
        <v>17341</v>
      </c>
      <c r="H1651" s="50"/>
      <c r="I1651" s="50"/>
      <c r="J1651" s="306"/>
    </row>
    <row r="1652" spans="2:10">
      <c r="B1652" s="413"/>
      <c r="C1652" s="414"/>
      <c r="D1652" s="414"/>
      <c r="E1652" s="50"/>
      <c r="F1652" s="403">
        <v>4574</v>
      </c>
      <c r="G1652" s="406">
        <v>16297</v>
      </c>
      <c r="H1652" s="50"/>
      <c r="I1652" s="50"/>
      <c r="J1652" s="306"/>
    </row>
    <row r="1653" spans="2:10">
      <c r="B1653" s="413"/>
      <c r="C1653" s="414"/>
      <c r="D1653" s="414"/>
      <c r="E1653" s="50"/>
      <c r="F1653" s="403">
        <v>4575</v>
      </c>
      <c r="G1653" s="406">
        <v>15139</v>
      </c>
      <c r="H1653" s="50"/>
      <c r="I1653" s="50"/>
      <c r="J1653" s="306"/>
    </row>
    <row r="1654" spans="2:10">
      <c r="B1654" s="413"/>
      <c r="C1654" s="414"/>
      <c r="D1654" s="414"/>
      <c r="E1654" s="50"/>
      <c r="F1654" s="403">
        <v>4580</v>
      </c>
      <c r="G1654" s="406">
        <v>20515</v>
      </c>
      <c r="H1654" s="50"/>
      <c r="I1654" s="50"/>
      <c r="J1654" s="306"/>
    </row>
    <row r="1655" spans="2:10">
      <c r="B1655" s="413"/>
      <c r="C1655" s="414"/>
      <c r="D1655" s="414"/>
      <c r="E1655" s="50"/>
      <c r="F1655" s="403">
        <v>4581</v>
      </c>
      <c r="G1655" s="406">
        <v>14737</v>
      </c>
      <c r="H1655" s="50"/>
      <c r="I1655" s="50"/>
      <c r="J1655" s="306"/>
    </row>
    <row r="1656" spans="2:10">
      <c r="B1656" s="413"/>
      <c r="C1656" s="414"/>
      <c r="D1656" s="414"/>
      <c r="E1656" s="50"/>
      <c r="F1656" s="403">
        <v>4600</v>
      </c>
      <c r="G1656" s="406">
        <v>17729</v>
      </c>
      <c r="H1656" s="50"/>
      <c r="I1656" s="50"/>
      <c r="J1656" s="306"/>
    </row>
    <row r="1657" spans="2:10">
      <c r="B1657" s="413"/>
      <c r="C1657" s="414"/>
      <c r="D1657" s="414"/>
      <c r="E1657" s="50"/>
      <c r="F1657" s="403">
        <v>4601</v>
      </c>
      <c r="G1657" s="406">
        <v>15947</v>
      </c>
      <c r="H1657" s="50"/>
      <c r="I1657" s="50"/>
      <c r="J1657" s="306"/>
    </row>
    <row r="1658" spans="2:10">
      <c r="B1658" s="413"/>
      <c r="C1658" s="414"/>
      <c r="D1658" s="414"/>
      <c r="E1658" s="50"/>
      <c r="F1658" s="403">
        <v>4605</v>
      </c>
      <c r="G1658" s="406">
        <v>15947</v>
      </c>
      <c r="H1658" s="50"/>
      <c r="I1658" s="50"/>
      <c r="J1658" s="306"/>
    </row>
    <row r="1659" spans="2:10">
      <c r="B1659" s="413"/>
      <c r="C1659" s="414"/>
      <c r="D1659" s="414"/>
      <c r="E1659" s="50"/>
      <c r="F1659" s="403">
        <v>4606</v>
      </c>
      <c r="G1659" s="406">
        <v>15755</v>
      </c>
      <c r="H1659" s="50"/>
      <c r="I1659" s="50"/>
      <c r="J1659" s="306"/>
    </row>
    <row r="1660" spans="2:10">
      <c r="B1660" s="413"/>
      <c r="C1660" s="414"/>
      <c r="D1660" s="414"/>
      <c r="E1660" s="50"/>
      <c r="F1660" s="403">
        <v>4608</v>
      </c>
      <c r="G1660" s="406">
        <v>15755</v>
      </c>
      <c r="H1660" s="50"/>
      <c r="I1660" s="50"/>
      <c r="J1660" s="306"/>
    </row>
    <row r="1661" spans="2:10">
      <c r="B1661" s="413"/>
      <c r="C1661" s="414"/>
      <c r="D1661" s="414"/>
      <c r="E1661" s="50"/>
      <c r="F1661" s="403">
        <v>4610</v>
      </c>
      <c r="G1661" s="406">
        <v>14592</v>
      </c>
      <c r="H1661" s="50"/>
      <c r="I1661" s="50"/>
      <c r="J1661" s="306"/>
    </row>
    <row r="1662" spans="2:10">
      <c r="B1662" s="413"/>
      <c r="C1662" s="414"/>
      <c r="D1662" s="414"/>
      <c r="E1662" s="50"/>
      <c r="F1662" s="403">
        <v>4611</v>
      </c>
      <c r="G1662" s="406">
        <v>15755</v>
      </c>
      <c r="H1662" s="50"/>
      <c r="I1662" s="50"/>
      <c r="J1662" s="306"/>
    </row>
    <row r="1663" spans="2:10">
      <c r="B1663" s="413"/>
      <c r="C1663" s="414"/>
      <c r="D1663" s="414"/>
      <c r="E1663" s="50"/>
      <c r="F1663" s="403">
        <v>4612</v>
      </c>
      <c r="G1663" s="406">
        <v>16735</v>
      </c>
      <c r="H1663" s="50"/>
      <c r="I1663" s="50"/>
      <c r="J1663" s="306"/>
    </row>
    <row r="1664" spans="2:10">
      <c r="B1664" s="413"/>
      <c r="C1664" s="414"/>
      <c r="D1664" s="414"/>
      <c r="E1664" s="50"/>
      <c r="F1664" s="403">
        <v>4613</v>
      </c>
      <c r="G1664" s="406">
        <v>14606</v>
      </c>
      <c r="H1664" s="50"/>
      <c r="I1664" s="50"/>
      <c r="J1664" s="306"/>
    </row>
    <row r="1665" spans="2:10">
      <c r="B1665" s="413"/>
      <c r="C1665" s="414"/>
      <c r="D1665" s="414"/>
      <c r="E1665" s="50"/>
      <c r="F1665" s="403">
        <v>4614</v>
      </c>
      <c r="G1665" s="406">
        <v>16919</v>
      </c>
      <c r="H1665" s="50"/>
      <c r="I1665" s="50"/>
      <c r="J1665" s="306"/>
    </row>
    <row r="1666" spans="2:10">
      <c r="B1666" s="413"/>
      <c r="C1666" s="414"/>
      <c r="D1666" s="414"/>
      <c r="E1666" s="50"/>
      <c r="F1666" s="403">
        <v>4615</v>
      </c>
      <c r="G1666" s="406">
        <v>16333</v>
      </c>
      <c r="H1666" s="50"/>
      <c r="I1666" s="50"/>
      <c r="J1666" s="306"/>
    </row>
    <row r="1667" spans="2:10">
      <c r="B1667" s="413"/>
      <c r="C1667" s="414"/>
      <c r="D1667" s="414"/>
      <c r="E1667" s="50"/>
      <c r="F1667" s="403">
        <v>4620</v>
      </c>
      <c r="G1667" s="406">
        <v>14749</v>
      </c>
      <c r="H1667" s="50"/>
      <c r="I1667" s="50"/>
      <c r="J1667" s="306"/>
    </row>
    <row r="1668" spans="2:10">
      <c r="B1668" s="413"/>
      <c r="C1668" s="414"/>
      <c r="D1668" s="414"/>
      <c r="E1668" s="50"/>
      <c r="F1668" s="403">
        <v>4621</v>
      </c>
      <c r="G1668" s="406">
        <v>14848</v>
      </c>
      <c r="H1668" s="50"/>
      <c r="I1668" s="50"/>
      <c r="J1668" s="306"/>
    </row>
    <row r="1669" spans="2:10">
      <c r="B1669" s="413"/>
      <c r="C1669" s="414"/>
      <c r="D1669" s="414"/>
      <c r="E1669" s="50"/>
      <c r="F1669" s="403">
        <v>4625</v>
      </c>
      <c r="G1669" s="406">
        <v>17660</v>
      </c>
      <c r="H1669" s="50"/>
      <c r="I1669" s="50"/>
      <c r="J1669" s="306"/>
    </row>
    <row r="1670" spans="2:10">
      <c r="B1670" s="413"/>
      <c r="C1670" s="414"/>
      <c r="D1670" s="414"/>
      <c r="E1670" s="50"/>
      <c r="F1670" s="403">
        <v>4626</v>
      </c>
      <c r="G1670" s="406">
        <v>23458</v>
      </c>
      <c r="H1670" s="50"/>
      <c r="I1670" s="50"/>
      <c r="J1670" s="306"/>
    </row>
    <row r="1671" spans="2:10">
      <c r="B1671" s="413"/>
      <c r="C1671" s="414"/>
      <c r="D1671" s="414"/>
      <c r="E1671" s="50"/>
      <c r="F1671" s="403">
        <v>4627</v>
      </c>
      <c r="G1671" s="406">
        <v>18764</v>
      </c>
      <c r="H1671" s="50"/>
      <c r="I1671" s="50"/>
      <c r="J1671" s="306"/>
    </row>
    <row r="1672" spans="2:10">
      <c r="B1672" s="413"/>
      <c r="C1672" s="414"/>
      <c r="D1672" s="414"/>
      <c r="E1672" s="50"/>
      <c r="F1672" s="403">
        <v>4630</v>
      </c>
      <c r="G1672" s="406">
        <v>16930</v>
      </c>
      <c r="H1672" s="50"/>
      <c r="I1672" s="50"/>
      <c r="J1672" s="306"/>
    </row>
    <row r="1673" spans="2:10">
      <c r="B1673" s="413"/>
      <c r="C1673" s="414"/>
      <c r="D1673" s="414"/>
      <c r="E1673" s="50"/>
      <c r="F1673" s="403">
        <v>4650</v>
      </c>
      <c r="G1673" s="406">
        <v>14736</v>
      </c>
      <c r="H1673" s="50"/>
      <c r="I1673" s="50"/>
      <c r="J1673" s="306"/>
    </row>
    <row r="1674" spans="2:10">
      <c r="B1674" s="413"/>
      <c r="C1674" s="414"/>
      <c r="D1674" s="414"/>
      <c r="E1674" s="50"/>
      <c r="F1674" s="403">
        <v>4655</v>
      </c>
      <c r="G1674" s="406">
        <v>14737</v>
      </c>
      <c r="H1674" s="50"/>
      <c r="I1674" s="50"/>
      <c r="J1674" s="306"/>
    </row>
    <row r="1675" spans="2:10">
      <c r="B1675" s="413"/>
      <c r="C1675" s="414"/>
      <c r="D1675" s="414"/>
      <c r="E1675" s="50"/>
      <c r="F1675" s="403">
        <v>4659</v>
      </c>
      <c r="G1675" s="406">
        <v>14737</v>
      </c>
      <c r="H1675" s="50"/>
      <c r="I1675" s="50"/>
      <c r="J1675" s="306"/>
    </row>
    <row r="1676" spans="2:10">
      <c r="B1676" s="413"/>
      <c r="C1676" s="414"/>
      <c r="D1676" s="414"/>
      <c r="E1676" s="50"/>
      <c r="F1676" s="403">
        <v>4660</v>
      </c>
      <c r="G1676" s="406">
        <v>14767</v>
      </c>
      <c r="H1676" s="50"/>
      <c r="I1676" s="50"/>
      <c r="J1676" s="306"/>
    </row>
    <row r="1677" spans="2:10">
      <c r="B1677" s="413"/>
      <c r="C1677" s="414"/>
      <c r="D1677" s="414"/>
      <c r="E1677" s="50"/>
      <c r="F1677" s="403">
        <v>4662</v>
      </c>
      <c r="G1677" s="406">
        <v>14737</v>
      </c>
      <c r="H1677" s="50"/>
      <c r="I1677" s="50"/>
      <c r="J1677" s="306"/>
    </row>
    <row r="1678" spans="2:10">
      <c r="B1678" s="413"/>
      <c r="C1678" s="414"/>
      <c r="D1678" s="414"/>
      <c r="E1678" s="50"/>
      <c r="F1678" s="403">
        <v>4670</v>
      </c>
      <c r="G1678" s="406">
        <v>14799</v>
      </c>
      <c r="H1678" s="50"/>
      <c r="I1678" s="50"/>
      <c r="J1678" s="306"/>
    </row>
    <row r="1679" spans="2:10">
      <c r="B1679" s="413"/>
      <c r="C1679" s="414"/>
      <c r="D1679" s="414"/>
      <c r="E1679" s="50"/>
      <c r="F1679" s="403">
        <v>4671</v>
      </c>
      <c r="G1679" s="406">
        <v>14838</v>
      </c>
      <c r="H1679" s="50"/>
      <c r="I1679" s="50"/>
      <c r="J1679" s="306"/>
    </row>
    <row r="1680" spans="2:10">
      <c r="B1680" s="413"/>
      <c r="C1680" s="414"/>
      <c r="D1680" s="414"/>
      <c r="E1680" s="50"/>
      <c r="F1680" s="403">
        <v>4673</v>
      </c>
      <c r="G1680" s="406">
        <v>14868</v>
      </c>
      <c r="H1680" s="50"/>
      <c r="I1680" s="50"/>
      <c r="J1680" s="306"/>
    </row>
    <row r="1681" spans="2:10">
      <c r="B1681" s="413"/>
      <c r="C1681" s="414"/>
      <c r="D1681" s="414"/>
      <c r="E1681" s="50"/>
      <c r="F1681" s="403">
        <v>4674</v>
      </c>
      <c r="G1681" s="406">
        <v>14868</v>
      </c>
      <c r="H1681" s="50"/>
      <c r="I1681" s="50"/>
      <c r="J1681" s="306"/>
    </row>
    <row r="1682" spans="2:10">
      <c r="B1682" s="413"/>
      <c r="C1682" s="414"/>
      <c r="D1682" s="414"/>
      <c r="E1682" s="50"/>
      <c r="F1682" s="403">
        <v>4676</v>
      </c>
      <c r="G1682" s="406">
        <v>14899</v>
      </c>
      <c r="H1682" s="50"/>
      <c r="I1682" s="50"/>
      <c r="J1682" s="306"/>
    </row>
    <row r="1683" spans="2:10">
      <c r="B1683" s="413"/>
      <c r="C1683" s="414"/>
      <c r="D1683" s="414"/>
      <c r="E1683" s="50"/>
      <c r="F1683" s="403">
        <v>4677</v>
      </c>
      <c r="G1683" s="406">
        <v>17985</v>
      </c>
      <c r="H1683" s="50"/>
      <c r="I1683" s="50"/>
      <c r="J1683" s="306"/>
    </row>
    <row r="1684" spans="2:10">
      <c r="B1684" s="413"/>
      <c r="C1684" s="414"/>
      <c r="D1684" s="414"/>
      <c r="E1684" s="50"/>
      <c r="F1684" s="403">
        <v>4678</v>
      </c>
      <c r="G1684" s="406">
        <v>18042</v>
      </c>
      <c r="H1684" s="50"/>
      <c r="I1684" s="50"/>
      <c r="J1684" s="306"/>
    </row>
    <row r="1685" spans="2:10">
      <c r="B1685" s="413"/>
      <c r="C1685" s="414"/>
      <c r="D1685" s="414"/>
      <c r="E1685" s="50"/>
      <c r="F1685" s="403">
        <v>4680</v>
      </c>
      <c r="G1685" s="406">
        <v>18035</v>
      </c>
      <c r="H1685" s="50"/>
      <c r="I1685" s="50"/>
      <c r="J1685" s="306"/>
    </row>
    <row r="1686" spans="2:10">
      <c r="B1686" s="413"/>
      <c r="C1686" s="414"/>
      <c r="D1686" s="414"/>
      <c r="E1686" s="50"/>
      <c r="F1686" s="403">
        <v>4694</v>
      </c>
      <c r="G1686" s="406">
        <v>17925</v>
      </c>
      <c r="H1686" s="50"/>
      <c r="I1686" s="50"/>
      <c r="J1686" s="306"/>
    </row>
    <row r="1687" spans="2:10">
      <c r="B1687" s="413"/>
      <c r="C1687" s="414"/>
      <c r="D1687" s="414"/>
      <c r="E1687" s="50"/>
      <c r="F1687" s="403">
        <v>4695</v>
      </c>
      <c r="G1687" s="406">
        <v>17592</v>
      </c>
      <c r="H1687" s="50"/>
      <c r="I1687" s="50"/>
      <c r="J1687" s="306"/>
    </row>
    <row r="1688" spans="2:10">
      <c r="B1688" s="413"/>
      <c r="C1688" s="414"/>
      <c r="D1688" s="414"/>
      <c r="E1688" s="50"/>
      <c r="F1688" s="403">
        <v>4697</v>
      </c>
      <c r="G1688" s="406">
        <v>14540</v>
      </c>
      <c r="H1688" s="50"/>
      <c r="I1688" s="50"/>
      <c r="J1688" s="306"/>
    </row>
    <row r="1689" spans="2:10">
      <c r="B1689" s="413"/>
      <c r="C1689" s="414"/>
      <c r="D1689" s="414"/>
      <c r="E1689" s="50"/>
      <c r="F1689" s="403">
        <v>4699</v>
      </c>
      <c r="G1689" s="406">
        <v>14068</v>
      </c>
      <c r="H1689" s="50"/>
      <c r="I1689" s="50"/>
      <c r="J1689" s="306"/>
    </row>
    <row r="1690" spans="2:10">
      <c r="B1690" s="413"/>
      <c r="C1690" s="414"/>
      <c r="D1690" s="414"/>
      <c r="E1690" s="50"/>
      <c r="F1690" s="403">
        <v>4700</v>
      </c>
      <c r="G1690" s="406">
        <v>14002</v>
      </c>
      <c r="H1690" s="50"/>
      <c r="I1690" s="50"/>
      <c r="J1690" s="306"/>
    </row>
    <row r="1691" spans="2:10">
      <c r="B1691" s="413"/>
      <c r="C1691" s="414"/>
      <c r="D1691" s="414"/>
      <c r="E1691" s="50"/>
      <c r="F1691" s="403">
        <v>4701</v>
      </c>
      <c r="G1691" s="406">
        <v>14000</v>
      </c>
      <c r="H1691" s="50"/>
      <c r="I1691" s="50"/>
      <c r="J1691" s="306"/>
    </row>
    <row r="1692" spans="2:10">
      <c r="B1692" s="413"/>
      <c r="C1692" s="414"/>
      <c r="D1692" s="414"/>
      <c r="E1692" s="50"/>
      <c r="F1692" s="403">
        <v>4702</v>
      </c>
      <c r="G1692" s="406">
        <v>19155</v>
      </c>
      <c r="H1692" s="50"/>
      <c r="I1692" s="50"/>
      <c r="J1692" s="306"/>
    </row>
    <row r="1693" spans="2:10">
      <c r="B1693" s="413"/>
      <c r="C1693" s="414"/>
      <c r="D1693" s="414"/>
      <c r="E1693" s="50"/>
      <c r="F1693" s="403">
        <v>4703</v>
      </c>
      <c r="G1693" s="406">
        <v>14000</v>
      </c>
      <c r="H1693" s="50"/>
      <c r="I1693" s="50"/>
      <c r="J1693" s="306"/>
    </row>
    <row r="1694" spans="2:10">
      <c r="B1694" s="413"/>
      <c r="C1694" s="414"/>
      <c r="D1694" s="414"/>
      <c r="E1694" s="50"/>
      <c r="F1694" s="403">
        <v>4704</v>
      </c>
      <c r="G1694" s="406">
        <v>14000</v>
      </c>
      <c r="H1694" s="50"/>
      <c r="I1694" s="50"/>
      <c r="J1694" s="306"/>
    </row>
    <row r="1695" spans="2:10">
      <c r="B1695" s="413"/>
      <c r="C1695" s="414"/>
      <c r="D1695" s="414"/>
      <c r="E1695" s="50"/>
      <c r="F1695" s="403">
        <v>4705</v>
      </c>
      <c r="G1695" s="406">
        <v>16165</v>
      </c>
      <c r="H1695" s="50"/>
      <c r="I1695" s="50"/>
      <c r="J1695" s="306"/>
    </row>
    <row r="1696" spans="2:10">
      <c r="B1696" s="413"/>
      <c r="C1696" s="414"/>
      <c r="D1696" s="414"/>
      <c r="E1696" s="50"/>
      <c r="F1696" s="403">
        <v>4706</v>
      </c>
      <c r="G1696" s="406">
        <v>16165</v>
      </c>
      <c r="H1696" s="50"/>
      <c r="I1696" s="50"/>
      <c r="J1696" s="306"/>
    </row>
    <row r="1697" spans="2:10">
      <c r="B1697" s="413"/>
      <c r="C1697" s="414"/>
      <c r="D1697" s="414"/>
      <c r="E1697" s="50"/>
      <c r="F1697" s="403">
        <v>4707</v>
      </c>
      <c r="G1697" s="406">
        <v>16165</v>
      </c>
      <c r="H1697" s="50"/>
      <c r="I1697" s="50"/>
      <c r="J1697" s="306"/>
    </row>
    <row r="1698" spans="2:10">
      <c r="B1698" s="413"/>
      <c r="C1698" s="414"/>
      <c r="D1698" s="414"/>
      <c r="E1698" s="50"/>
      <c r="F1698" s="403">
        <v>4709</v>
      </c>
      <c r="G1698" s="406">
        <v>18654</v>
      </c>
      <c r="H1698" s="50"/>
      <c r="I1698" s="50"/>
      <c r="J1698" s="306"/>
    </row>
    <row r="1699" spans="2:10">
      <c r="B1699" s="413"/>
      <c r="C1699" s="414"/>
      <c r="D1699" s="414"/>
      <c r="E1699" s="50"/>
      <c r="F1699" s="403">
        <v>4710</v>
      </c>
      <c r="G1699" s="406">
        <v>14000</v>
      </c>
      <c r="H1699" s="50"/>
      <c r="I1699" s="50"/>
      <c r="J1699" s="306"/>
    </row>
    <row r="1700" spans="2:10">
      <c r="B1700" s="413"/>
      <c r="C1700" s="414"/>
      <c r="D1700" s="414"/>
      <c r="E1700" s="50"/>
      <c r="F1700" s="403">
        <v>4711</v>
      </c>
      <c r="G1700" s="406">
        <v>14000</v>
      </c>
      <c r="H1700" s="50"/>
      <c r="I1700" s="50"/>
      <c r="J1700" s="306"/>
    </row>
    <row r="1701" spans="2:10">
      <c r="B1701" s="413"/>
      <c r="C1701" s="414"/>
      <c r="D1701" s="414"/>
      <c r="E1701" s="50"/>
      <c r="F1701" s="403">
        <v>4712</v>
      </c>
      <c r="G1701" s="406">
        <v>16312</v>
      </c>
      <c r="H1701" s="50"/>
      <c r="I1701" s="50"/>
      <c r="J1701" s="306"/>
    </row>
    <row r="1702" spans="2:10">
      <c r="B1702" s="413"/>
      <c r="C1702" s="414"/>
      <c r="D1702" s="414"/>
      <c r="E1702" s="50"/>
      <c r="F1702" s="403">
        <v>4713</v>
      </c>
      <c r="G1702" s="406">
        <v>18986</v>
      </c>
      <c r="H1702" s="50"/>
      <c r="I1702" s="50"/>
      <c r="J1702" s="306"/>
    </row>
    <row r="1703" spans="2:10">
      <c r="B1703" s="413"/>
      <c r="C1703" s="414"/>
      <c r="D1703" s="414"/>
      <c r="E1703" s="50"/>
      <c r="F1703" s="403">
        <v>4714</v>
      </c>
      <c r="G1703" s="406">
        <v>14002</v>
      </c>
      <c r="H1703" s="50"/>
      <c r="I1703" s="50"/>
      <c r="J1703" s="306"/>
    </row>
    <row r="1704" spans="2:10">
      <c r="B1704" s="413"/>
      <c r="C1704" s="414"/>
      <c r="D1704" s="414"/>
      <c r="E1704" s="50"/>
      <c r="F1704" s="403">
        <v>4715</v>
      </c>
      <c r="G1704" s="406">
        <v>17701</v>
      </c>
      <c r="H1704" s="50"/>
      <c r="I1704" s="50"/>
      <c r="J1704" s="306"/>
    </row>
    <row r="1705" spans="2:10">
      <c r="B1705" s="413"/>
      <c r="C1705" s="414"/>
      <c r="D1705" s="414"/>
      <c r="E1705" s="50"/>
      <c r="F1705" s="403">
        <v>4716</v>
      </c>
      <c r="G1705" s="406">
        <v>18020</v>
      </c>
      <c r="H1705" s="50"/>
      <c r="I1705" s="50"/>
      <c r="J1705" s="306"/>
    </row>
    <row r="1706" spans="2:10">
      <c r="B1706" s="413"/>
      <c r="C1706" s="414"/>
      <c r="D1706" s="414"/>
      <c r="E1706" s="50"/>
      <c r="F1706" s="403">
        <v>4717</v>
      </c>
      <c r="G1706" s="406">
        <v>19217</v>
      </c>
      <c r="H1706" s="50"/>
      <c r="I1706" s="50"/>
      <c r="J1706" s="306"/>
    </row>
    <row r="1707" spans="2:10">
      <c r="B1707" s="413"/>
      <c r="C1707" s="414"/>
      <c r="D1707" s="414"/>
      <c r="E1707" s="50"/>
      <c r="F1707" s="403">
        <v>4718</v>
      </c>
      <c r="G1707" s="406">
        <v>18926</v>
      </c>
      <c r="H1707" s="50"/>
      <c r="I1707" s="50"/>
      <c r="J1707" s="306"/>
    </row>
    <row r="1708" spans="2:10">
      <c r="B1708" s="413"/>
      <c r="C1708" s="414"/>
      <c r="D1708" s="414"/>
      <c r="E1708" s="50"/>
      <c r="F1708" s="403">
        <v>4719</v>
      </c>
      <c r="G1708" s="406">
        <v>17974</v>
      </c>
      <c r="H1708" s="50"/>
      <c r="I1708" s="50"/>
      <c r="J1708" s="306"/>
    </row>
    <row r="1709" spans="2:10">
      <c r="B1709" s="413"/>
      <c r="C1709" s="414"/>
      <c r="D1709" s="414"/>
      <c r="E1709" s="50"/>
      <c r="F1709" s="403">
        <v>4720</v>
      </c>
      <c r="G1709" s="406">
        <v>19171</v>
      </c>
      <c r="H1709" s="50"/>
      <c r="I1709" s="50"/>
      <c r="J1709" s="306"/>
    </row>
    <row r="1710" spans="2:10">
      <c r="B1710" s="413"/>
      <c r="C1710" s="414"/>
      <c r="D1710" s="414"/>
      <c r="E1710" s="50"/>
      <c r="F1710" s="403">
        <v>4721</v>
      </c>
      <c r="G1710" s="406">
        <v>17334</v>
      </c>
      <c r="H1710" s="50"/>
      <c r="I1710" s="50"/>
      <c r="J1710" s="306"/>
    </row>
    <row r="1711" spans="2:10">
      <c r="B1711" s="413"/>
      <c r="C1711" s="414"/>
      <c r="D1711" s="414"/>
      <c r="E1711" s="50"/>
      <c r="F1711" s="403">
        <v>4722</v>
      </c>
      <c r="G1711" s="406">
        <v>19069</v>
      </c>
      <c r="H1711" s="50"/>
      <c r="I1711" s="50"/>
      <c r="J1711" s="306"/>
    </row>
    <row r="1712" spans="2:10">
      <c r="B1712" s="413"/>
      <c r="C1712" s="414"/>
      <c r="D1712" s="414"/>
      <c r="E1712" s="50"/>
      <c r="F1712" s="403">
        <v>4723</v>
      </c>
      <c r="G1712" s="406">
        <v>18654</v>
      </c>
      <c r="H1712" s="50"/>
      <c r="I1712" s="50"/>
      <c r="J1712" s="306"/>
    </row>
    <row r="1713" spans="2:10">
      <c r="B1713" s="413"/>
      <c r="C1713" s="414"/>
      <c r="D1713" s="414"/>
      <c r="E1713" s="50"/>
      <c r="F1713" s="403">
        <v>4724</v>
      </c>
      <c r="G1713" s="406">
        <v>18873</v>
      </c>
      <c r="H1713" s="50"/>
      <c r="I1713" s="50"/>
      <c r="J1713" s="306"/>
    </row>
    <row r="1714" spans="2:10">
      <c r="B1714" s="413"/>
      <c r="C1714" s="414"/>
      <c r="D1714" s="414"/>
      <c r="E1714" s="50"/>
      <c r="F1714" s="403">
        <v>4725</v>
      </c>
      <c r="G1714" s="406">
        <v>16915</v>
      </c>
      <c r="H1714" s="50"/>
      <c r="I1714" s="50"/>
      <c r="J1714" s="306"/>
    </row>
    <row r="1715" spans="2:10">
      <c r="B1715" s="413"/>
      <c r="C1715" s="414"/>
      <c r="D1715" s="414"/>
      <c r="E1715" s="50"/>
      <c r="F1715" s="403">
        <v>4726</v>
      </c>
      <c r="G1715" s="406">
        <v>15697</v>
      </c>
      <c r="H1715" s="50"/>
      <c r="I1715" s="50"/>
      <c r="J1715" s="306"/>
    </row>
    <row r="1716" spans="2:10">
      <c r="B1716" s="413"/>
      <c r="C1716" s="414"/>
      <c r="D1716" s="414"/>
      <c r="E1716" s="50"/>
      <c r="F1716" s="403">
        <v>4727</v>
      </c>
      <c r="G1716" s="406">
        <v>15571</v>
      </c>
      <c r="H1716" s="50"/>
      <c r="I1716" s="50"/>
      <c r="J1716" s="306"/>
    </row>
    <row r="1717" spans="2:10">
      <c r="B1717" s="413"/>
      <c r="C1717" s="414"/>
      <c r="D1717" s="414"/>
      <c r="E1717" s="50"/>
      <c r="F1717" s="403">
        <v>4728</v>
      </c>
      <c r="G1717" s="406">
        <v>17548</v>
      </c>
      <c r="H1717" s="50"/>
      <c r="I1717" s="50"/>
      <c r="J1717" s="306"/>
    </row>
    <row r="1718" spans="2:10">
      <c r="B1718" s="413"/>
      <c r="C1718" s="414"/>
      <c r="D1718" s="414"/>
      <c r="E1718" s="50"/>
      <c r="F1718" s="403">
        <v>4730</v>
      </c>
      <c r="G1718" s="406">
        <v>14981</v>
      </c>
      <c r="H1718" s="50"/>
      <c r="I1718" s="50"/>
      <c r="J1718" s="306"/>
    </row>
    <row r="1719" spans="2:10">
      <c r="B1719" s="413"/>
      <c r="C1719" s="414"/>
      <c r="D1719" s="414"/>
      <c r="E1719" s="50"/>
      <c r="F1719" s="403">
        <v>4731</v>
      </c>
      <c r="G1719" s="406">
        <v>15981</v>
      </c>
      <c r="H1719" s="50"/>
      <c r="I1719" s="50"/>
      <c r="J1719" s="306"/>
    </row>
    <row r="1720" spans="2:10">
      <c r="B1720" s="413"/>
      <c r="C1720" s="414"/>
      <c r="D1720" s="414"/>
      <c r="E1720" s="50"/>
      <c r="F1720" s="403">
        <v>4732</v>
      </c>
      <c r="G1720" s="406">
        <v>14913</v>
      </c>
      <c r="H1720" s="50"/>
      <c r="I1720" s="50"/>
      <c r="J1720" s="306"/>
    </row>
    <row r="1721" spans="2:10">
      <c r="B1721" s="413"/>
      <c r="C1721" s="414"/>
      <c r="D1721" s="414"/>
      <c r="E1721" s="50"/>
      <c r="F1721" s="403">
        <v>4733</v>
      </c>
      <c r="G1721" s="406">
        <v>14418</v>
      </c>
      <c r="H1721" s="50"/>
      <c r="I1721" s="50"/>
      <c r="J1721" s="306"/>
    </row>
    <row r="1722" spans="2:10">
      <c r="B1722" s="413"/>
      <c r="C1722" s="414"/>
      <c r="D1722" s="414"/>
      <c r="E1722" s="50"/>
      <c r="F1722" s="403">
        <v>4735</v>
      </c>
      <c r="G1722" s="406">
        <v>14958</v>
      </c>
      <c r="H1722" s="50"/>
      <c r="I1722" s="50"/>
      <c r="J1722" s="306"/>
    </row>
    <row r="1723" spans="2:10">
      <c r="B1723" s="413"/>
      <c r="C1723" s="414"/>
      <c r="D1723" s="414"/>
      <c r="E1723" s="50"/>
      <c r="F1723" s="403">
        <v>4736</v>
      </c>
      <c r="G1723" s="406">
        <v>14981</v>
      </c>
      <c r="H1723" s="50"/>
      <c r="I1723" s="50"/>
      <c r="J1723" s="306"/>
    </row>
    <row r="1724" spans="2:10">
      <c r="B1724" s="413"/>
      <c r="C1724" s="414"/>
      <c r="D1724" s="414"/>
      <c r="E1724" s="50"/>
      <c r="F1724" s="403">
        <v>4737</v>
      </c>
      <c r="G1724" s="406">
        <v>15677</v>
      </c>
      <c r="H1724" s="50"/>
      <c r="I1724" s="50"/>
      <c r="J1724" s="306"/>
    </row>
    <row r="1725" spans="2:10">
      <c r="B1725" s="413"/>
      <c r="C1725" s="414"/>
      <c r="D1725" s="414"/>
      <c r="E1725" s="50"/>
      <c r="F1725" s="403">
        <v>4738</v>
      </c>
      <c r="G1725" s="406">
        <v>15679</v>
      </c>
      <c r="H1725" s="50"/>
      <c r="I1725" s="50"/>
      <c r="J1725" s="306"/>
    </row>
    <row r="1726" spans="2:10">
      <c r="B1726" s="413"/>
      <c r="C1726" s="414"/>
      <c r="D1726" s="414"/>
      <c r="E1726" s="50"/>
      <c r="F1726" s="403">
        <v>4739</v>
      </c>
      <c r="G1726" s="406">
        <v>15689</v>
      </c>
      <c r="H1726" s="50"/>
      <c r="I1726" s="50"/>
      <c r="J1726" s="306"/>
    </row>
    <row r="1727" spans="2:10">
      <c r="B1727" s="413"/>
      <c r="C1727" s="414"/>
      <c r="D1727" s="414"/>
      <c r="E1727" s="50"/>
      <c r="F1727" s="403">
        <v>4740</v>
      </c>
      <c r="G1727" s="406">
        <v>15677</v>
      </c>
      <c r="H1727" s="50"/>
      <c r="I1727" s="50"/>
      <c r="J1727" s="306"/>
    </row>
    <row r="1728" spans="2:10">
      <c r="B1728" s="413"/>
      <c r="C1728" s="414"/>
      <c r="D1728" s="414"/>
      <c r="E1728" s="50"/>
      <c r="F1728" s="403">
        <v>4741</v>
      </c>
      <c r="G1728" s="406">
        <v>15689</v>
      </c>
      <c r="H1728" s="50"/>
      <c r="I1728" s="50"/>
      <c r="J1728" s="306"/>
    </row>
    <row r="1729" spans="2:10">
      <c r="B1729" s="413"/>
      <c r="C1729" s="414"/>
      <c r="D1729" s="414"/>
      <c r="E1729" s="50"/>
      <c r="F1729" s="403">
        <v>4742</v>
      </c>
      <c r="G1729" s="406">
        <v>15799</v>
      </c>
      <c r="H1729" s="50"/>
      <c r="I1729" s="50"/>
      <c r="J1729" s="306"/>
    </row>
    <row r="1730" spans="2:10">
      <c r="B1730" s="413"/>
      <c r="C1730" s="414"/>
      <c r="D1730" s="414"/>
      <c r="E1730" s="50"/>
      <c r="F1730" s="403">
        <v>4743</v>
      </c>
      <c r="G1730" s="406">
        <v>16424</v>
      </c>
      <c r="H1730" s="50"/>
      <c r="I1730" s="50"/>
      <c r="J1730" s="306"/>
    </row>
    <row r="1731" spans="2:10">
      <c r="B1731" s="413"/>
      <c r="C1731" s="414"/>
      <c r="D1731" s="414"/>
      <c r="E1731" s="50"/>
      <c r="F1731" s="403">
        <v>4744</v>
      </c>
      <c r="G1731" s="406">
        <v>16910</v>
      </c>
      <c r="H1731" s="50"/>
      <c r="I1731" s="50"/>
      <c r="J1731" s="306"/>
    </row>
    <row r="1732" spans="2:10">
      <c r="B1732" s="413"/>
      <c r="C1732" s="414"/>
      <c r="D1732" s="414"/>
      <c r="E1732" s="50"/>
      <c r="F1732" s="403">
        <v>4745</v>
      </c>
      <c r="G1732" s="406">
        <v>17349</v>
      </c>
      <c r="H1732" s="50"/>
      <c r="I1732" s="50"/>
      <c r="J1732" s="306"/>
    </row>
    <row r="1733" spans="2:10">
      <c r="B1733" s="413"/>
      <c r="C1733" s="414"/>
      <c r="D1733" s="414"/>
      <c r="E1733" s="50"/>
      <c r="F1733" s="403">
        <v>4746</v>
      </c>
      <c r="G1733" s="406">
        <v>17902</v>
      </c>
      <c r="H1733" s="50"/>
      <c r="I1733" s="50"/>
      <c r="J1733" s="306"/>
    </row>
    <row r="1734" spans="2:10">
      <c r="B1734" s="413"/>
      <c r="C1734" s="414"/>
      <c r="D1734" s="414"/>
      <c r="E1734" s="50"/>
      <c r="F1734" s="403">
        <v>4750</v>
      </c>
      <c r="G1734" s="406">
        <v>15677</v>
      </c>
      <c r="H1734" s="50"/>
      <c r="I1734" s="50"/>
      <c r="J1734" s="306"/>
    </row>
    <row r="1735" spans="2:10">
      <c r="B1735" s="413"/>
      <c r="C1735" s="414"/>
      <c r="D1735" s="414"/>
      <c r="E1735" s="50"/>
      <c r="F1735" s="403">
        <v>4751</v>
      </c>
      <c r="G1735" s="406">
        <v>15677</v>
      </c>
      <c r="H1735" s="50"/>
      <c r="I1735" s="50"/>
      <c r="J1735" s="306"/>
    </row>
    <row r="1736" spans="2:10">
      <c r="B1736" s="413"/>
      <c r="C1736" s="414"/>
      <c r="D1736" s="414"/>
      <c r="E1736" s="50"/>
      <c r="F1736" s="403">
        <v>4753</v>
      </c>
      <c r="G1736" s="406">
        <v>15677</v>
      </c>
      <c r="H1736" s="50"/>
      <c r="I1736" s="50"/>
      <c r="J1736" s="306"/>
    </row>
    <row r="1737" spans="2:10">
      <c r="B1737" s="413"/>
      <c r="C1737" s="414"/>
      <c r="D1737" s="414"/>
      <c r="E1737" s="50"/>
      <c r="F1737" s="403">
        <v>4754</v>
      </c>
      <c r="G1737" s="406">
        <v>15680</v>
      </c>
      <c r="H1737" s="50"/>
      <c r="I1737" s="50"/>
      <c r="J1737" s="306"/>
    </row>
    <row r="1738" spans="2:10">
      <c r="B1738" s="413"/>
      <c r="C1738" s="414"/>
      <c r="D1738" s="414"/>
      <c r="E1738" s="50"/>
      <c r="F1738" s="403">
        <v>4756</v>
      </c>
      <c r="G1738" s="406">
        <v>15565</v>
      </c>
      <c r="H1738" s="50"/>
      <c r="I1738" s="50"/>
      <c r="J1738" s="306"/>
    </row>
    <row r="1739" spans="2:10">
      <c r="B1739" s="413"/>
      <c r="C1739" s="414"/>
      <c r="D1739" s="414"/>
      <c r="E1739" s="50"/>
      <c r="F1739" s="403">
        <v>4757</v>
      </c>
      <c r="G1739" s="406">
        <v>15565</v>
      </c>
      <c r="H1739" s="50"/>
      <c r="I1739" s="50"/>
      <c r="J1739" s="306"/>
    </row>
    <row r="1740" spans="2:10">
      <c r="B1740" s="413"/>
      <c r="C1740" s="414"/>
      <c r="D1740" s="414"/>
      <c r="E1740" s="50"/>
      <c r="F1740" s="403">
        <v>4798</v>
      </c>
      <c r="G1740" s="406">
        <v>15565</v>
      </c>
      <c r="H1740" s="50"/>
      <c r="I1740" s="50"/>
      <c r="J1740" s="306"/>
    </row>
    <row r="1741" spans="2:10">
      <c r="B1741" s="413"/>
      <c r="C1741" s="414"/>
      <c r="D1741" s="414"/>
      <c r="E1741" s="50"/>
      <c r="F1741" s="403">
        <v>4799</v>
      </c>
      <c r="G1741" s="406">
        <v>15309</v>
      </c>
      <c r="H1741" s="50"/>
      <c r="I1741" s="50"/>
      <c r="J1741" s="306"/>
    </row>
    <row r="1742" spans="2:10">
      <c r="B1742" s="413"/>
      <c r="C1742" s="414"/>
      <c r="D1742" s="414"/>
      <c r="E1742" s="50"/>
      <c r="F1742" s="403">
        <v>4800</v>
      </c>
      <c r="G1742" s="406">
        <v>15234</v>
      </c>
      <c r="H1742" s="50"/>
      <c r="I1742" s="50"/>
      <c r="J1742" s="306"/>
    </row>
    <row r="1743" spans="2:10">
      <c r="B1743" s="413"/>
      <c r="C1743" s="414"/>
      <c r="D1743" s="414"/>
      <c r="E1743" s="50"/>
      <c r="F1743" s="403">
        <v>4802</v>
      </c>
      <c r="G1743" s="406">
        <v>15234</v>
      </c>
      <c r="H1743" s="50"/>
      <c r="I1743" s="50"/>
      <c r="J1743" s="306"/>
    </row>
    <row r="1744" spans="2:10">
      <c r="B1744" s="413"/>
      <c r="C1744" s="414"/>
      <c r="D1744" s="414"/>
      <c r="E1744" s="50"/>
      <c r="F1744" s="403">
        <v>4804</v>
      </c>
      <c r="G1744" s="406">
        <v>14789</v>
      </c>
      <c r="H1744" s="50"/>
      <c r="I1744" s="50"/>
      <c r="J1744" s="306"/>
    </row>
    <row r="1745" spans="2:10">
      <c r="B1745" s="413"/>
      <c r="C1745" s="414"/>
      <c r="D1745" s="414"/>
      <c r="E1745" s="50"/>
      <c r="F1745" s="403">
        <v>4805</v>
      </c>
      <c r="G1745" s="406">
        <v>14824</v>
      </c>
      <c r="H1745" s="50"/>
      <c r="I1745" s="50"/>
      <c r="J1745" s="306"/>
    </row>
    <row r="1746" spans="2:10">
      <c r="B1746" s="413"/>
      <c r="C1746" s="414"/>
      <c r="D1746" s="414"/>
      <c r="E1746" s="50"/>
      <c r="F1746" s="403">
        <v>4806</v>
      </c>
      <c r="G1746" s="406">
        <v>14398</v>
      </c>
      <c r="H1746" s="50"/>
      <c r="I1746" s="50"/>
      <c r="J1746" s="306"/>
    </row>
    <row r="1747" spans="2:10">
      <c r="B1747" s="413"/>
      <c r="C1747" s="414"/>
      <c r="D1747" s="414"/>
      <c r="E1747" s="50"/>
      <c r="F1747" s="403">
        <v>4807</v>
      </c>
      <c r="G1747" s="406">
        <v>14666</v>
      </c>
      <c r="H1747" s="50"/>
      <c r="I1747" s="50"/>
      <c r="J1747" s="306"/>
    </row>
    <row r="1748" spans="2:10">
      <c r="B1748" s="413"/>
      <c r="C1748" s="414"/>
      <c r="D1748" s="414"/>
      <c r="E1748" s="50"/>
      <c r="F1748" s="403">
        <v>4808</v>
      </c>
      <c r="G1748" s="406">
        <v>13842</v>
      </c>
      <c r="H1748" s="50"/>
      <c r="I1748" s="50"/>
      <c r="J1748" s="306"/>
    </row>
    <row r="1749" spans="2:10">
      <c r="B1749" s="413"/>
      <c r="C1749" s="414"/>
      <c r="D1749" s="414"/>
      <c r="E1749" s="50"/>
      <c r="F1749" s="403">
        <v>4809</v>
      </c>
      <c r="G1749" s="406">
        <v>13622</v>
      </c>
      <c r="H1749" s="50"/>
      <c r="I1749" s="50"/>
      <c r="J1749" s="306"/>
    </row>
    <row r="1750" spans="2:10">
      <c r="B1750" s="413"/>
      <c r="C1750" s="414"/>
      <c r="D1750" s="414"/>
      <c r="E1750" s="50"/>
      <c r="F1750" s="403">
        <v>4810</v>
      </c>
      <c r="G1750" s="406">
        <v>13628</v>
      </c>
      <c r="H1750" s="50"/>
      <c r="I1750" s="50"/>
      <c r="J1750" s="306"/>
    </row>
    <row r="1751" spans="2:10">
      <c r="B1751" s="413"/>
      <c r="C1751" s="414"/>
      <c r="D1751" s="414"/>
      <c r="E1751" s="50"/>
      <c r="F1751" s="403">
        <v>4811</v>
      </c>
      <c r="G1751" s="406">
        <v>13626</v>
      </c>
      <c r="H1751" s="50"/>
      <c r="I1751" s="50"/>
      <c r="J1751" s="306"/>
    </row>
    <row r="1752" spans="2:10">
      <c r="B1752" s="413"/>
      <c r="C1752" s="414"/>
      <c r="D1752" s="414"/>
      <c r="E1752" s="50"/>
      <c r="F1752" s="403">
        <v>4812</v>
      </c>
      <c r="G1752" s="406">
        <v>13627</v>
      </c>
      <c r="H1752" s="50"/>
      <c r="I1752" s="50"/>
      <c r="J1752" s="306"/>
    </row>
    <row r="1753" spans="2:10">
      <c r="B1753" s="413"/>
      <c r="C1753" s="414"/>
      <c r="D1753" s="414"/>
      <c r="E1753" s="50"/>
      <c r="F1753" s="403">
        <v>4813</v>
      </c>
      <c r="G1753" s="406">
        <v>13626</v>
      </c>
      <c r="H1753" s="50"/>
      <c r="I1753" s="50"/>
      <c r="J1753" s="306"/>
    </row>
    <row r="1754" spans="2:10">
      <c r="B1754" s="413"/>
      <c r="C1754" s="414"/>
      <c r="D1754" s="414"/>
      <c r="E1754" s="50"/>
      <c r="F1754" s="403">
        <v>4814</v>
      </c>
      <c r="G1754" s="406">
        <v>13627</v>
      </c>
      <c r="H1754" s="50"/>
      <c r="I1754" s="50"/>
      <c r="J1754" s="306"/>
    </row>
    <row r="1755" spans="2:10">
      <c r="B1755" s="413"/>
      <c r="C1755" s="414"/>
      <c r="D1755" s="414"/>
      <c r="E1755" s="50"/>
      <c r="F1755" s="403">
        <v>4815</v>
      </c>
      <c r="G1755" s="406">
        <v>13630</v>
      </c>
      <c r="H1755" s="50"/>
      <c r="I1755" s="50"/>
      <c r="J1755" s="306"/>
    </row>
    <row r="1756" spans="2:10">
      <c r="B1756" s="413"/>
      <c r="C1756" s="414"/>
      <c r="D1756" s="414"/>
      <c r="E1756" s="50"/>
      <c r="F1756" s="403">
        <v>4816</v>
      </c>
      <c r="G1756" s="406">
        <v>14490</v>
      </c>
      <c r="H1756" s="50"/>
      <c r="I1756" s="50"/>
      <c r="J1756" s="306"/>
    </row>
    <row r="1757" spans="2:10">
      <c r="B1757" s="413"/>
      <c r="C1757" s="414"/>
      <c r="D1757" s="414"/>
      <c r="E1757" s="50"/>
      <c r="F1757" s="403">
        <v>4817</v>
      </c>
      <c r="G1757" s="406">
        <v>13631</v>
      </c>
      <c r="H1757" s="50"/>
      <c r="I1757" s="50"/>
      <c r="J1757" s="306"/>
    </row>
    <row r="1758" spans="2:10">
      <c r="B1758" s="413"/>
      <c r="C1758" s="414"/>
      <c r="D1758" s="414"/>
      <c r="E1758" s="50"/>
      <c r="F1758" s="403">
        <v>4818</v>
      </c>
      <c r="G1758" s="406">
        <v>13630</v>
      </c>
      <c r="H1758" s="50"/>
      <c r="I1758" s="50"/>
      <c r="J1758" s="306"/>
    </row>
    <row r="1759" spans="2:10">
      <c r="B1759" s="413"/>
      <c r="C1759" s="414"/>
      <c r="D1759" s="414"/>
      <c r="E1759" s="50"/>
      <c r="F1759" s="403">
        <v>4820</v>
      </c>
      <c r="G1759" s="406">
        <v>13947</v>
      </c>
      <c r="H1759" s="50"/>
      <c r="I1759" s="50"/>
      <c r="J1759" s="306"/>
    </row>
    <row r="1760" spans="2:10">
      <c r="B1760" s="413"/>
      <c r="C1760" s="414"/>
      <c r="D1760" s="414"/>
      <c r="E1760" s="50"/>
      <c r="F1760" s="403">
        <v>4821</v>
      </c>
      <c r="G1760" s="406">
        <v>14411</v>
      </c>
      <c r="H1760" s="50"/>
      <c r="I1760" s="50"/>
      <c r="J1760" s="306"/>
    </row>
    <row r="1761" spans="2:10">
      <c r="B1761" s="413"/>
      <c r="C1761" s="414"/>
      <c r="D1761" s="414"/>
      <c r="E1761" s="50"/>
      <c r="F1761" s="403">
        <v>4822</v>
      </c>
      <c r="G1761" s="406">
        <v>15522</v>
      </c>
      <c r="H1761" s="50"/>
      <c r="I1761" s="50"/>
      <c r="J1761" s="306"/>
    </row>
    <row r="1762" spans="2:10">
      <c r="B1762" s="413"/>
      <c r="C1762" s="414"/>
      <c r="D1762" s="414"/>
      <c r="E1762" s="50"/>
      <c r="F1762" s="403">
        <v>4823</v>
      </c>
      <c r="G1762" s="406">
        <v>20671</v>
      </c>
      <c r="H1762" s="50"/>
      <c r="I1762" s="50"/>
      <c r="J1762" s="306"/>
    </row>
    <row r="1763" spans="2:10">
      <c r="B1763" s="413"/>
      <c r="C1763" s="414"/>
      <c r="D1763" s="414"/>
      <c r="E1763" s="50"/>
      <c r="F1763" s="403">
        <v>4824</v>
      </c>
      <c r="G1763" s="406">
        <v>21584</v>
      </c>
      <c r="H1763" s="50"/>
      <c r="I1763" s="50"/>
      <c r="J1763" s="306"/>
    </row>
    <row r="1764" spans="2:10">
      <c r="B1764" s="413"/>
      <c r="C1764" s="414"/>
      <c r="D1764" s="414"/>
      <c r="E1764" s="50"/>
      <c r="F1764" s="403">
        <v>4825</v>
      </c>
      <c r="G1764" s="406">
        <v>21925</v>
      </c>
      <c r="H1764" s="50"/>
      <c r="I1764" s="50"/>
      <c r="J1764" s="306"/>
    </row>
    <row r="1765" spans="2:10">
      <c r="B1765" s="413"/>
      <c r="C1765" s="414"/>
      <c r="D1765" s="414"/>
      <c r="E1765" s="50"/>
      <c r="F1765" s="403">
        <v>4828</v>
      </c>
      <c r="G1765" s="406">
        <v>21584</v>
      </c>
      <c r="H1765" s="50"/>
      <c r="I1765" s="50"/>
      <c r="J1765" s="306"/>
    </row>
    <row r="1766" spans="2:10">
      <c r="B1766" s="413"/>
      <c r="C1766" s="414"/>
      <c r="D1766" s="414"/>
      <c r="E1766" s="50"/>
      <c r="F1766" s="403">
        <v>4829</v>
      </c>
      <c r="G1766" s="406">
        <v>18920</v>
      </c>
      <c r="H1766" s="50"/>
      <c r="I1766" s="50"/>
      <c r="J1766" s="306"/>
    </row>
    <row r="1767" spans="2:10">
      <c r="B1767" s="413"/>
      <c r="C1767" s="414"/>
      <c r="D1767" s="414"/>
      <c r="E1767" s="50"/>
      <c r="F1767" s="403">
        <v>4830</v>
      </c>
      <c r="G1767" s="406">
        <v>21022</v>
      </c>
      <c r="H1767" s="50"/>
      <c r="I1767" s="50"/>
      <c r="J1767" s="306"/>
    </row>
    <row r="1768" spans="2:10">
      <c r="B1768" s="413"/>
      <c r="C1768" s="414"/>
      <c r="D1768" s="414"/>
      <c r="E1768" s="50"/>
      <c r="F1768" s="403">
        <v>4849</v>
      </c>
      <c r="G1768" s="406">
        <v>17597</v>
      </c>
      <c r="H1768" s="50"/>
      <c r="I1768" s="50"/>
      <c r="J1768" s="306"/>
    </row>
    <row r="1769" spans="2:10">
      <c r="B1769" s="413"/>
      <c r="C1769" s="414"/>
      <c r="D1769" s="414"/>
      <c r="E1769" s="50"/>
      <c r="F1769" s="403">
        <v>4850</v>
      </c>
      <c r="G1769" s="406">
        <v>17588</v>
      </c>
      <c r="H1769" s="50"/>
      <c r="I1769" s="50"/>
      <c r="J1769" s="306"/>
    </row>
    <row r="1770" spans="2:10">
      <c r="B1770" s="413"/>
      <c r="C1770" s="414"/>
      <c r="D1770" s="414"/>
      <c r="E1770" s="50"/>
      <c r="F1770" s="403">
        <v>4852</v>
      </c>
      <c r="G1770" s="406">
        <v>17321</v>
      </c>
      <c r="H1770" s="50"/>
      <c r="I1770" s="50"/>
      <c r="J1770" s="306"/>
    </row>
    <row r="1771" spans="2:10">
      <c r="B1771" s="413"/>
      <c r="C1771" s="414"/>
      <c r="D1771" s="414"/>
      <c r="E1771" s="50"/>
      <c r="F1771" s="403">
        <v>4854</v>
      </c>
      <c r="G1771" s="406">
        <v>17431</v>
      </c>
      <c r="H1771" s="50"/>
      <c r="I1771" s="50"/>
      <c r="J1771" s="306"/>
    </row>
    <row r="1772" spans="2:10">
      <c r="B1772" s="413"/>
      <c r="C1772" s="414"/>
      <c r="D1772" s="414"/>
      <c r="E1772" s="50"/>
      <c r="F1772" s="403">
        <v>4855</v>
      </c>
      <c r="G1772" s="406">
        <v>17321</v>
      </c>
      <c r="H1772" s="50"/>
      <c r="I1772" s="50"/>
      <c r="J1772" s="306"/>
    </row>
    <row r="1773" spans="2:10">
      <c r="B1773" s="413"/>
      <c r="C1773" s="414"/>
      <c r="D1773" s="414"/>
      <c r="E1773" s="50"/>
      <c r="F1773" s="403">
        <v>4856</v>
      </c>
      <c r="G1773" s="406">
        <v>17321</v>
      </c>
      <c r="H1773" s="50"/>
      <c r="I1773" s="50"/>
      <c r="J1773" s="306"/>
    </row>
    <row r="1774" spans="2:10">
      <c r="B1774" s="413"/>
      <c r="C1774" s="414"/>
      <c r="D1774" s="414"/>
      <c r="E1774" s="50"/>
      <c r="F1774" s="403">
        <v>4857</v>
      </c>
      <c r="G1774" s="406">
        <v>17321</v>
      </c>
      <c r="H1774" s="50"/>
      <c r="I1774" s="50"/>
      <c r="J1774" s="306"/>
    </row>
    <row r="1775" spans="2:10">
      <c r="B1775" s="413"/>
      <c r="C1775" s="414"/>
      <c r="D1775" s="414"/>
      <c r="E1775" s="50"/>
      <c r="F1775" s="403">
        <v>4858</v>
      </c>
      <c r="G1775" s="406">
        <v>17210</v>
      </c>
      <c r="H1775" s="50"/>
      <c r="I1775" s="50"/>
      <c r="J1775" s="306"/>
    </row>
    <row r="1776" spans="2:10">
      <c r="B1776" s="413"/>
      <c r="C1776" s="414"/>
      <c r="D1776" s="414"/>
      <c r="E1776" s="50"/>
      <c r="F1776" s="403">
        <v>4859</v>
      </c>
      <c r="G1776" s="406">
        <v>17210</v>
      </c>
      <c r="H1776" s="50"/>
      <c r="I1776" s="50"/>
      <c r="J1776" s="306"/>
    </row>
    <row r="1777" spans="2:10">
      <c r="B1777" s="413"/>
      <c r="C1777" s="414"/>
      <c r="D1777" s="414"/>
      <c r="E1777" s="50"/>
      <c r="F1777" s="403">
        <v>4860</v>
      </c>
      <c r="G1777" s="406">
        <v>17148</v>
      </c>
      <c r="H1777" s="50"/>
      <c r="I1777" s="50"/>
      <c r="J1777" s="306"/>
    </row>
    <row r="1778" spans="2:10">
      <c r="B1778" s="413"/>
      <c r="C1778" s="414"/>
      <c r="D1778" s="414"/>
      <c r="E1778" s="50"/>
      <c r="F1778" s="403">
        <v>4861</v>
      </c>
      <c r="G1778" s="406">
        <v>16634</v>
      </c>
      <c r="H1778" s="50"/>
      <c r="I1778" s="50"/>
      <c r="J1778" s="306"/>
    </row>
    <row r="1779" spans="2:10">
      <c r="B1779" s="413"/>
      <c r="C1779" s="414"/>
      <c r="D1779" s="414"/>
      <c r="E1779" s="50"/>
      <c r="F1779" s="403">
        <v>4865</v>
      </c>
      <c r="G1779" s="406">
        <v>13819</v>
      </c>
      <c r="H1779" s="50"/>
      <c r="I1779" s="50"/>
      <c r="J1779" s="306"/>
    </row>
    <row r="1780" spans="2:10">
      <c r="B1780" s="413"/>
      <c r="C1780" s="414"/>
      <c r="D1780" s="414"/>
      <c r="E1780" s="50"/>
      <c r="F1780" s="403">
        <v>4868</v>
      </c>
      <c r="G1780" s="406">
        <v>13821</v>
      </c>
      <c r="H1780" s="50"/>
      <c r="I1780" s="50"/>
      <c r="J1780" s="306"/>
    </row>
    <row r="1781" spans="2:10">
      <c r="B1781" s="413"/>
      <c r="C1781" s="414"/>
      <c r="D1781" s="414"/>
      <c r="E1781" s="50"/>
      <c r="F1781" s="403">
        <v>4869</v>
      </c>
      <c r="G1781" s="406">
        <v>13819</v>
      </c>
      <c r="H1781" s="50"/>
      <c r="I1781" s="50"/>
      <c r="J1781" s="306"/>
    </row>
    <row r="1782" spans="2:10">
      <c r="B1782" s="413"/>
      <c r="C1782" s="414"/>
      <c r="D1782" s="414"/>
      <c r="E1782" s="50"/>
      <c r="F1782" s="403">
        <v>4870</v>
      </c>
      <c r="G1782" s="406">
        <v>13821</v>
      </c>
      <c r="H1782" s="50"/>
      <c r="I1782" s="50"/>
      <c r="J1782" s="306"/>
    </row>
    <row r="1783" spans="2:10">
      <c r="B1783" s="413"/>
      <c r="C1783" s="414"/>
      <c r="D1783" s="414"/>
      <c r="E1783" s="50"/>
      <c r="F1783" s="403">
        <v>4871</v>
      </c>
      <c r="G1783" s="406">
        <v>13912</v>
      </c>
      <c r="H1783" s="50"/>
      <c r="I1783" s="50"/>
      <c r="J1783" s="306"/>
    </row>
    <row r="1784" spans="2:10">
      <c r="B1784" s="413"/>
      <c r="C1784" s="414"/>
      <c r="D1784" s="414"/>
      <c r="E1784" s="50"/>
      <c r="F1784" s="403">
        <v>4872</v>
      </c>
      <c r="G1784" s="406">
        <v>16223</v>
      </c>
      <c r="H1784" s="50"/>
      <c r="I1784" s="50"/>
      <c r="J1784" s="306"/>
    </row>
    <row r="1785" spans="2:10">
      <c r="B1785" s="413"/>
      <c r="C1785" s="414"/>
      <c r="D1785" s="414"/>
      <c r="E1785" s="50"/>
      <c r="F1785" s="403">
        <v>4873</v>
      </c>
      <c r="G1785" s="406">
        <v>13847</v>
      </c>
      <c r="H1785" s="50"/>
      <c r="I1785" s="50"/>
      <c r="J1785" s="306"/>
    </row>
    <row r="1786" spans="2:10">
      <c r="B1786" s="413"/>
      <c r="C1786" s="414"/>
      <c r="D1786" s="414"/>
      <c r="E1786" s="50"/>
      <c r="F1786" s="403">
        <v>4874</v>
      </c>
      <c r="G1786" s="406">
        <v>13974</v>
      </c>
      <c r="H1786" s="50"/>
      <c r="I1786" s="50"/>
      <c r="J1786" s="306"/>
    </row>
    <row r="1787" spans="2:10">
      <c r="B1787" s="413"/>
      <c r="C1787" s="414"/>
      <c r="D1787" s="414"/>
      <c r="E1787" s="50"/>
      <c r="F1787" s="403">
        <v>4876</v>
      </c>
      <c r="G1787" s="406">
        <v>13974</v>
      </c>
      <c r="H1787" s="50"/>
      <c r="I1787" s="50"/>
      <c r="J1787" s="306"/>
    </row>
    <row r="1788" spans="2:10">
      <c r="B1788" s="413"/>
      <c r="C1788" s="414"/>
      <c r="D1788" s="414"/>
      <c r="E1788" s="50"/>
      <c r="F1788" s="403">
        <v>4877</v>
      </c>
      <c r="G1788" s="406">
        <v>13835</v>
      </c>
      <c r="H1788" s="50"/>
      <c r="I1788" s="50"/>
      <c r="J1788" s="306"/>
    </row>
    <row r="1789" spans="2:10">
      <c r="B1789" s="413"/>
      <c r="C1789" s="414"/>
      <c r="D1789" s="414"/>
      <c r="E1789" s="50"/>
      <c r="F1789" s="403">
        <v>4878</v>
      </c>
      <c r="G1789" s="406">
        <v>13821</v>
      </c>
      <c r="H1789" s="50"/>
      <c r="I1789" s="50"/>
      <c r="J1789" s="306"/>
    </row>
    <row r="1790" spans="2:10">
      <c r="B1790" s="413"/>
      <c r="C1790" s="414"/>
      <c r="D1790" s="414"/>
      <c r="E1790" s="50"/>
      <c r="F1790" s="403">
        <v>4879</v>
      </c>
      <c r="G1790" s="406">
        <v>13823</v>
      </c>
      <c r="H1790" s="50"/>
      <c r="I1790" s="50"/>
      <c r="J1790" s="306"/>
    </row>
    <row r="1791" spans="2:10">
      <c r="B1791" s="413"/>
      <c r="C1791" s="414"/>
      <c r="D1791" s="414"/>
      <c r="E1791" s="50"/>
      <c r="F1791" s="403">
        <v>4880</v>
      </c>
      <c r="G1791" s="406">
        <v>13904</v>
      </c>
      <c r="H1791" s="50"/>
      <c r="I1791" s="50"/>
      <c r="J1791" s="306"/>
    </row>
    <row r="1792" spans="2:10">
      <c r="B1792" s="413"/>
      <c r="C1792" s="414"/>
      <c r="D1792" s="414"/>
      <c r="E1792" s="50"/>
      <c r="F1792" s="403">
        <v>4881</v>
      </c>
      <c r="G1792" s="406">
        <v>13831</v>
      </c>
      <c r="H1792" s="50"/>
      <c r="I1792" s="50"/>
      <c r="J1792" s="306"/>
    </row>
    <row r="1793" spans="2:10">
      <c r="B1793" s="413"/>
      <c r="C1793" s="414"/>
      <c r="D1793" s="414"/>
      <c r="E1793" s="50"/>
      <c r="F1793" s="403">
        <v>4882</v>
      </c>
      <c r="G1793" s="406">
        <v>15181</v>
      </c>
      <c r="H1793" s="50"/>
      <c r="I1793" s="50"/>
      <c r="J1793" s="306"/>
    </row>
    <row r="1794" spans="2:10">
      <c r="B1794" s="413"/>
      <c r="C1794" s="414"/>
      <c r="D1794" s="414"/>
      <c r="E1794" s="50"/>
      <c r="F1794" s="403">
        <v>4883</v>
      </c>
      <c r="G1794" s="406">
        <v>16062</v>
      </c>
      <c r="H1794" s="50"/>
      <c r="I1794" s="50"/>
      <c r="J1794" s="306"/>
    </row>
    <row r="1795" spans="2:10">
      <c r="B1795" s="413"/>
      <c r="C1795" s="414"/>
      <c r="D1795" s="414"/>
      <c r="E1795" s="50"/>
      <c r="F1795" s="403">
        <v>4884</v>
      </c>
      <c r="G1795" s="406">
        <v>15651</v>
      </c>
      <c r="H1795" s="50"/>
      <c r="I1795" s="50"/>
      <c r="J1795" s="306"/>
    </row>
    <row r="1796" spans="2:10">
      <c r="B1796" s="413"/>
      <c r="C1796" s="414"/>
      <c r="D1796" s="414"/>
      <c r="E1796" s="50"/>
      <c r="F1796" s="403">
        <v>4885</v>
      </c>
      <c r="G1796" s="406">
        <v>16242</v>
      </c>
      <c r="H1796" s="50"/>
      <c r="I1796" s="50"/>
      <c r="J1796" s="306"/>
    </row>
    <row r="1797" spans="2:10">
      <c r="B1797" s="413"/>
      <c r="C1797" s="414"/>
      <c r="D1797" s="414"/>
      <c r="E1797" s="50"/>
      <c r="F1797" s="403">
        <v>4886</v>
      </c>
      <c r="G1797" s="406">
        <v>16692</v>
      </c>
      <c r="H1797" s="50"/>
      <c r="I1797" s="50"/>
      <c r="J1797" s="306"/>
    </row>
    <row r="1798" spans="2:10">
      <c r="B1798" s="413"/>
      <c r="C1798" s="414"/>
      <c r="D1798" s="414"/>
      <c r="E1798" s="50"/>
      <c r="F1798" s="403">
        <v>4887</v>
      </c>
      <c r="G1798" s="406">
        <v>16054</v>
      </c>
      <c r="H1798" s="50"/>
      <c r="I1798" s="50"/>
      <c r="J1798" s="306"/>
    </row>
    <row r="1799" spans="2:10">
      <c r="B1799" s="413"/>
      <c r="C1799" s="414"/>
      <c r="D1799" s="414"/>
      <c r="E1799" s="50"/>
      <c r="F1799" s="403">
        <v>4888</v>
      </c>
      <c r="G1799" s="406">
        <v>16223</v>
      </c>
      <c r="H1799" s="50"/>
      <c r="I1799" s="50"/>
      <c r="J1799" s="306"/>
    </row>
    <row r="1800" spans="2:10">
      <c r="B1800" s="413"/>
      <c r="C1800" s="414"/>
      <c r="D1800" s="414"/>
      <c r="E1800" s="50"/>
      <c r="F1800" s="403">
        <v>4890</v>
      </c>
      <c r="G1800" s="406">
        <v>16560</v>
      </c>
      <c r="H1800" s="50"/>
      <c r="I1800" s="50"/>
      <c r="J1800" s="306"/>
    </row>
    <row r="1801" spans="2:10">
      <c r="B1801" s="413"/>
      <c r="C1801" s="414"/>
      <c r="D1801" s="414"/>
      <c r="E1801" s="50"/>
      <c r="F1801" s="403">
        <v>4891</v>
      </c>
      <c r="G1801" s="406">
        <v>16560</v>
      </c>
      <c r="H1801" s="50"/>
      <c r="I1801" s="50"/>
      <c r="J1801" s="306"/>
    </row>
    <row r="1802" spans="2:10">
      <c r="B1802" s="413"/>
      <c r="C1802" s="414"/>
      <c r="D1802" s="414"/>
      <c r="E1802" s="50"/>
      <c r="F1802" s="403">
        <v>4895</v>
      </c>
      <c r="G1802" s="406">
        <v>13833</v>
      </c>
      <c r="H1802" s="50"/>
      <c r="I1802" s="50"/>
      <c r="J1802" s="306"/>
    </row>
    <row r="1803" spans="2:10">
      <c r="B1803" s="413"/>
      <c r="C1803" s="414"/>
      <c r="D1803" s="414"/>
      <c r="E1803" s="50"/>
      <c r="F1803" s="403">
        <v>5000</v>
      </c>
      <c r="G1803" s="406">
        <v>11825</v>
      </c>
      <c r="H1803" s="50"/>
      <c r="I1803" s="50"/>
      <c r="J1803" s="306"/>
    </row>
    <row r="1804" spans="2:10">
      <c r="B1804" s="413"/>
      <c r="C1804" s="414"/>
      <c r="D1804" s="414"/>
      <c r="E1804" s="50"/>
      <c r="F1804" s="403">
        <v>5006</v>
      </c>
      <c r="G1804" s="406">
        <v>11538</v>
      </c>
      <c r="H1804" s="50"/>
      <c r="I1804" s="50"/>
      <c r="J1804" s="306"/>
    </row>
    <row r="1805" spans="2:10">
      <c r="B1805" s="413"/>
      <c r="C1805" s="414"/>
      <c r="D1805" s="414"/>
      <c r="E1805" s="50"/>
      <c r="F1805" s="403">
        <v>5007</v>
      </c>
      <c r="G1805" s="406">
        <v>11337</v>
      </c>
      <c r="H1805" s="50"/>
      <c r="I1805" s="50"/>
      <c r="J1805" s="306"/>
    </row>
    <row r="1806" spans="2:10">
      <c r="B1806" s="413"/>
      <c r="C1806" s="414"/>
      <c r="D1806" s="414"/>
      <c r="E1806" s="50"/>
      <c r="F1806" s="403">
        <v>5008</v>
      </c>
      <c r="G1806" s="406">
        <v>11616</v>
      </c>
      <c r="H1806" s="50"/>
      <c r="I1806" s="50"/>
      <c r="J1806" s="306"/>
    </row>
    <row r="1807" spans="2:10">
      <c r="B1807" s="413"/>
      <c r="C1807" s="414"/>
      <c r="D1807" s="414"/>
      <c r="E1807" s="50"/>
      <c r="F1807" s="403">
        <v>5009</v>
      </c>
      <c r="G1807" s="406">
        <v>11883</v>
      </c>
      <c r="H1807" s="50"/>
      <c r="I1807" s="50"/>
      <c r="J1807" s="306"/>
    </row>
    <row r="1808" spans="2:10">
      <c r="B1808" s="413"/>
      <c r="C1808" s="414"/>
      <c r="D1808" s="414"/>
      <c r="E1808" s="50"/>
      <c r="F1808" s="403">
        <v>5010</v>
      </c>
      <c r="G1808" s="406">
        <v>12131</v>
      </c>
      <c r="H1808" s="50"/>
      <c r="I1808" s="50"/>
      <c r="J1808" s="306"/>
    </row>
    <row r="1809" spans="2:10">
      <c r="B1809" s="413"/>
      <c r="C1809" s="414"/>
      <c r="D1809" s="414"/>
      <c r="E1809" s="50"/>
      <c r="F1809" s="403">
        <v>5011</v>
      </c>
      <c r="G1809" s="406">
        <v>12209</v>
      </c>
      <c r="H1809" s="50"/>
      <c r="I1809" s="50"/>
      <c r="J1809" s="306"/>
    </row>
    <row r="1810" spans="2:10">
      <c r="B1810" s="413"/>
      <c r="C1810" s="414"/>
      <c r="D1810" s="414"/>
      <c r="E1810" s="50"/>
      <c r="F1810" s="403">
        <v>5012</v>
      </c>
      <c r="G1810" s="406">
        <v>12431</v>
      </c>
      <c r="H1810" s="50"/>
      <c r="I1810" s="50"/>
      <c r="J1810" s="306"/>
    </row>
    <row r="1811" spans="2:10">
      <c r="B1811" s="413"/>
      <c r="C1811" s="414"/>
      <c r="D1811" s="414"/>
      <c r="E1811" s="50"/>
      <c r="F1811" s="403">
        <v>5013</v>
      </c>
      <c r="G1811" s="406">
        <v>12568</v>
      </c>
      <c r="H1811" s="50"/>
      <c r="I1811" s="50"/>
      <c r="J1811" s="306"/>
    </row>
    <row r="1812" spans="2:10">
      <c r="B1812" s="413"/>
      <c r="C1812" s="414"/>
      <c r="D1812" s="414"/>
      <c r="E1812" s="50"/>
      <c r="F1812" s="403">
        <v>5014</v>
      </c>
      <c r="G1812" s="406">
        <v>12373</v>
      </c>
      <c r="H1812" s="50"/>
      <c r="I1812" s="50"/>
      <c r="J1812" s="306"/>
    </row>
    <row r="1813" spans="2:10">
      <c r="B1813" s="413"/>
      <c r="C1813" s="414"/>
      <c r="D1813" s="414"/>
      <c r="E1813" s="50"/>
      <c r="F1813" s="403">
        <v>5015</v>
      </c>
      <c r="G1813" s="406">
        <v>12616</v>
      </c>
      <c r="H1813" s="50"/>
      <c r="I1813" s="50"/>
      <c r="J1813" s="306"/>
    </row>
    <row r="1814" spans="2:10">
      <c r="B1814" s="413"/>
      <c r="C1814" s="414"/>
      <c r="D1814" s="414"/>
      <c r="E1814" s="50"/>
      <c r="F1814" s="403">
        <v>5016</v>
      </c>
      <c r="G1814" s="406">
        <v>12755</v>
      </c>
      <c r="H1814" s="50"/>
      <c r="I1814" s="50"/>
      <c r="J1814" s="306"/>
    </row>
    <row r="1815" spans="2:10">
      <c r="B1815" s="413"/>
      <c r="C1815" s="414"/>
      <c r="D1815" s="414"/>
      <c r="E1815" s="50"/>
      <c r="F1815" s="403">
        <v>5017</v>
      </c>
      <c r="G1815" s="406">
        <v>12755</v>
      </c>
      <c r="H1815" s="50"/>
      <c r="I1815" s="50"/>
      <c r="J1815" s="306"/>
    </row>
    <row r="1816" spans="2:10">
      <c r="B1816" s="413"/>
      <c r="C1816" s="414"/>
      <c r="D1816" s="414"/>
      <c r="E1816" s="50"/>
      <c r="F1816" s="403">
        <v>5018</v>
      </c>
      <c r="G1816" s="406">
        <v>13002</v>
      </c>
      <c r="H1816" s="50"/>
      <c r="I1816" s="50"/>
      <c r="J1816" s="306"/>
    </row>
    <row r="1817" spans="2:10">
      <c r="B1817" s="413"/>
      <c r="C1817" s="414"/>
      <c r="D1817" s="414"/>
      <c r="E1817" s="50"/>
      <c r="F1817" s="403">
        <v>5019</v>
      </c>
      <c r="G1817" s="406">
        <v>12544</v>
      </c>
      <c r="H1817" s="50"/>
      <c r="I1817" s="50"/>
      <c r="J1817" s="306"/>
    </row>
    <row r="1818" spans="2:10">
      <c r="B1818" s="413"/>
      <c r="C1818" s="414"/>
      <c r="D1818" s="414"/>
      <c r="E1818" s="50"/>
      <c r="F1818" s="403">
        <v>5020</v>
      </c>
      <c r="G1818" s="406">
        <v>12468</v>
      </c>
      <c r="H1818" s="50"/>
      <c r="I1818" s="50"/>
      <c r="J1818" s="306"/>
    </row>
    <row r="1819" spans="2:10">
      <c r="B1819" s="413"/>
      <c r="C1819" s="414"/>
      <c r="D1819" s="414"/>
      <c r="E1819" s="50"/>
      <c r="F1819" s="403">
        <v>5021</v>
      </c>
      <c r="G1819" s="406">
        <v>12446</v>
      </c>
      <c r="H1819" s="50"/>
      <c r="I1819" s="50"/>
      <c r="J1819" s="306"/>
    </row>
    <row r="1820" spans="2:10">
      <c r="B1820" s="413"/>
      <c r="C1820" s="414"/>
      <c r="D1820" s="414"/>
      <c r="E1820" s="50"/>
      <c r="F1820" s="403">
        <v>5022</v>
      </c>
      <c r="G1820" s="406">
        <v>11797</v>
      </c>
      <c r="H1820" s="50"/>
      <c r="I1820" s="50"/>
      <c r="J1820" s="306"/>
    </row>
    <row r="1821" spans="2:10">
      <c r="B1821" s="413"/>
      <c r="C1821" s="414"/>
      <c r="D1821" s="414"/>
      <c r="E1821" s="50"/>
      <c r="F1821" s="403">
        <v>5023</v>
      </c>
      <c r="G1821" s="406">
        <v>12274</v>
      </c>
      <c r="H1821" s="50"/>
      <c r="I1821" s="50"/>
      <c r="J1821" s="306"/>
    </row>
    <row r="1822" spans="2:10">
      <c r="B1822" s="413"/>
      <c r="C1822" s="414"/>
      <c r="D1822" s="414"/>
      <c r="E1822" s="50"/>
      <c r="F1822" s="403">
        <v>5024</v>
      </c>
      <c r="G1822" s="406">
        <v>11042</v>
      </c>
      <c r="H1822" s="50"/>
      <c r="I1822" s="50"/>
      <c r="J1822" s="306"/>
    </row>
    <row r="1823" spans="2:10">
      <c r="B1823" s="413"/>
      <c r="C1823" s="414"/>
      <c r="D1823" s="414"/>
      <c r="E1823" s="50"/>
      <c r="F1823" s="403">
        <v>5025</v>
      </c>
      <c r="G1823" s="406">
        <v>11923</v>
      </c>
      <c r="H1823" s="50"/>
      <c r="I1823" s="50"/>
      <c r="J1823" s="306"/>
    </row>
    <row r="1824" spans="2:10">
      <c r="B1824" s="413"/>
      <c r="C1824" s="414"/>
      <c r="D1824" s="414"/>
      <c r="E1824" s="50"/>
      <c r="F1824" s="403">
        <v>5031</v>
      </c>
      <c r="G1824" s="406">
        <v>11271</v>
      </c>
      <c r="H1824" s="50"/>
      <c r="I1824" s="50"/>
      <c r="J1824" s="306"/>
    </row>
    <row r="1825" spans="2:10">
      <c r="B1825" s="413"/>
      <c r="C1825" s="414"/>
      <c r="D1825" s="414"/>
      <c r="E1825" s="50"/>
      <c r="F1825" s="403">
        <v>5032</v>
      </c>
      <c r="G1825" s="406">
        <v>11171</v>
      </c>
      <c r="H1825" s="50"/>
      <c r="I1825" s="50"/>
      <c r="J1825" s="306"/>
    </row>
    <row r="1826" spans="2:10">
      <c r="B1826" s="413"/>
      <c r="C1826" s="414"/>
      <c r="D1826" s="414"/>
      <c r="E1826" s="50"/>
      <c r="F1826" s="403">
        <v>5033</v>
      </c>
      <c r="G1826" s="406">
        <v>10753</v>
      </c>
      <c r="H1826" s="50"/>
      <c r="I1826" s="50"/>
      <c r="J1826" s="306"/>
    </row>
    <row r="1827" spans="2:10">
      <c r="B1827" s="413"/>
      <c r="C1827" s="414"/>
      <c r="D1827" s="414"/>
      <c r="E1827" s="50"/>
      <c r="F1827" s="403">
        <v>5034</v>
      </c>
      <c r="G1827" s="406">
        <v>10641</v>
      </c>
      <c r="H1827" s="50"/>
      <c r="I1827" s="50"/>
      <c r="J1827" s="306"/>
    </row>
    <row r="1828" spans="2:10">
      <c r="B1828" s="413"/>
      <c r="C1828" s="414"/>
      <c r="D1828" s="414"/>
      <c r="E1828" s="50"/>
      <c r="F1828" s="403">
        <v>5035</v>
      </c>
      <c r="G1828" s="406">
        <v>10765</v>
      </c>
      <c r="H1828" s="50"/>
      <c r="I1828" s="50"/>
      <c r="J1828" s="306"/>
    </row>
    <row r="1829" spans="2:10">
      <c r="B1829" s="413"/>
      <c r="C1829" s="414"/>
      <c r="D1829" s="414"/>
      <c r="E1829" s="50"/>
      <c r="F1829" s="403">
        <v>5037</v>
      </c>
      <c r="G1829" s="406">
        <v>9063</v>
      </c>
      <c r="H1829" s="50"/>
      <c r="I1829" s="50"/>
      <c r="J1829" s="306"/>
    </row>
    <row r="1830" spans="2:10">
      <c r="B1830" s="413"/>
      <c r="C1830" s="414"/>
      <c r="D1830" s="414"/>
      <c r="E1830" s="50"/>
      <c r="F1830" s="403">
        <v>5038</v>
      </c>
      <c r="G1830" s="406">
        <v>8753</v>
      </c>
      <c r="H1830" s="50"/>
      <c r="I1830" s="50"/>
      <c r="J1830" s="306"/>
    </row>
    <row r="1831" spans="2:10">
      <c r="B1831" s="413"/>
      <c r="C1831" s="414"/>
      <c r="D1831" s="414"/>
      <c r="E1831" s="50"/>
      <c r="F1831" s="403">
        <v>5039</v>
      </c>
      <c r="G1831" s="406">
        <v>9860</v>
      </c>
      <c r="H1831" s="50"/>
      <c r="I1831" s="50"/>
      <c r="J1831" s="306"/>
    </row>
    <row r="1832" spans="2:10">
      <c r="B1832" s="413"/>
      <c r="C1832" s="414"/>
      <c r="D1832" s="414"/>
      <c r="E1832" s="50"/>
      <c r="F1832" s="403">
        <v>5040</v>
      </c>
      <c r="G1832" s="406">
        <v>8838</v>
      </c>
      <c r="H1832" s="50"/>
      <c r="I1832" s="50"/>
      <c r="J1832" s="306"/>
    </row>
    <row r="1833" spans="2:10">
      <c r="B1833" s="413"/>
      <c r="C1833" s="414"/>
      <c r="D1833" s="414"/>
      <c r="E1833" s="50"/>
      <c r="F1833" s="403">
        <v>5041</v>
      </c>
      <c r="G1833" s="406">
        <v>11787</v>
      </c>
      <c r="H1833" s="50"/>
      <c r="I1833" s="50"/>
      <c r="J1833" s="306"/>
    </row>
    <row r="1834" spans="2:10">
      <c r="B1834" s="413"/>
      <c r="C1834" s="414"/>
      <c r="D1834" s="414"/>
      <c r="E1834" s="50"/>
      <c r="F1834" s="403">
        <v>5042</v>
      </c>
      <c r="G1834" s="406">
        <v>12597</v>
      </c>
      <c r="H1834" s="50"/>
      <c r="I1834" s="50"/>
      <c r="J1834" s="306"/>
    </row>
    <row r="1835" spans="2:10">
      <c r="B1835" s="413"/>
      <c r="C1835" s="414"/>
      <c r="D1835" s="414"/>
      <c r="E1835" s="50"/>
      <c r="F1835" s="403">
        <v>5043</v>
      </c>
      <c r="G1835" s="406">
        <v>10599</v>
      </c>
      <c r="H1835" s="50"/>
      <c r="I1835" s="50"/>
      <c r="J1835" s="306"/>
    </row>
    <row r="1836" spans="2:10">
      <c r="B1836" s="413"/>
      <c r="C1836" s="414"/>
      <c r="D1836" s="414"/>
      <c r="E1836" s="50"/>
      <c r="F1836" s="403">
        <v>5044</v>
      </c>
      <c r="G1836" s="406">
        <v>11468</v>
      </c>
      <c r="H1836" s="50"/>
      <c r="I1836" s="50"/>
      <c r="J1836" s="306"/>
    </row>
    <row r="1837" spans="2:10">
      <c r="B1837" s="413"/>
      <c r="C1837" s="414"/>
      <c r="D1837" s="414"/>
      <c r="E1837" s="50"/>
      <c r="F1837" s="403">
        <v>5045</v>
      </c>
      <c r="G1837" s="406">
        <v>9316</v>
      </c>
      <c r="H1837" s="50"/>
      <c r="I1837" s="50"/>
      <c r="J1837" s="306"/>
    </row>
    <row r="1838" spans="2:10">
      <c r="B1838" s="413"/>
      <c r="C1838" s="414"/>
      <c r="D1838" s="414"/>
      <c r="E1838" s="50"/>
      <c r="F1838" s="403">
        <v>5046</v>
      </c>
      <c r="G1838" s="406">
        <v>12715</v>
      </c>
      <c r="H1838" s="50"/>
      <c r="I1838" s="50"/>
      <c r="J1838" s="306"/>
    </row>
    <row r="1839" spans="2:10">
      <c r="B1839" s="413"/>
      <c r="C1839" s="414"/>
      <c r="D1839" s="414"/>
      <c r="E1839" s="50"/>
      <c r="F1839" s="403">
        <v>5047</v>
      </c>
      <c r="G1839" s="406">
        <v>13588</v>
      </c>
      <c r="H1839" s="50"/>
      <c r="I1839" s="50"/>
      <c r="J1839" s="306"/>
    </row>
    <row r="1840" spans="2:10">
      <c r="B1840" s="413"/>
      <c r="C1840" s="414"/>
      <c r="D1840" s="414"/>
      <c r="E1840" s="50"/>
      <c r="F1840" s="403">
        <v>5048</v>
      </c>
      <c r="G1840" s="406">
        <v>12994</v>
      </c>
      <c r="H1840" s="50"/>
      <c r="I1840" s="50"/>
      <c r="J1840" s="306"/>
    </row>
    <row r="1841" spans="2:10">
      <c r="B1841" s="413"/>
      <c r="C1841" s="414"/>
      <c r="D1841" s="414"/>
      <c r="E1841" s="50"/>
      <c r="F1841" s="403">
        <v>5049</v>
      </c>
      <c r="G1841" s="406">
        <v>14322</v>
      </c>
      <c r="H1841" s="50"/>
      <c r="I1841" s="50"/>
      <c r="J1841" s="306"/>
    </row>
    <row r="1842" spans="2:10">
      <c r="B1842" s="413"/>
      <c r="C1842" s="414"/>
      <c r="D1842" s="414"/>
      <c r="E1842" s="50"/>
      <c r="F1842" s="403">
        <v>5050</v>
      </c>
      <c r="G1842" s="406">
        <v>12731</v>
      </c>
      <c r="H1842" s="50"/>
      <c r="I1842" s="50"/>
      <c r="J1842" s="306"/>
    </row>
    <row r="1843" spans="2:10">
      <c r="B1843" s="413"/>
      <c r="C1843" s="414"/>
      <c r="D1843" s="414"/>
      <c r="E1843" s="50"/>
      <c r="F1843" s="403">
        <v>5051</v>
      </c>
      <c r="G1843" s="406">
        <v>13373</v>
      </c>
      <c r="H1843" s="50"/>
      <c r="I1843" s="50"/>
      <c r="J1843" s="306"/>
    </row>
    <row r="1844" spans="2:10">
      <c r="B1844" s="413"/>
      <c r="C1844" s="414"/>
      <c r="D1844" s="414"/>
      <c r="E1844" s="50"/>
      <c r="F1844" s="403">
        <v>5052</v>
      </c>
      <c r="G1844" s="406">
        <v>12839</v>
      </c>
      <c r="H1844" s="50"/>
      <c r="I1844" s="50"/>
      <c r="J1844" s="306"/>
    </row>
    <row r="1845" spans="2:10">
      <c r="B1845" s="413"/>
      <c r="C1845" s="414"/>
      <c r="D1845" s="414"/>
      <c r="E1845" s="50"/>
      <c r="F1845" s="403">
        <v>5061</v>
      </c>
      <c r="G1845" s="406">
        <v>11684</v>
      </c>
      <c r="H1845" s="50"/>
      <c r="I1845" s="50"/>
      <c r="J1845" s="306"/>
    </row>
    <row r="1846" spans="2:10">
      <c r="B1846" s="413"/>
      <c r="C1846" s="414"/>
      <c r="D1846" s="414"/>
      <c r="E1846" s="50"/>
      <c r="F1846" s="403">
        <v>5062</v>
      </c>
      <c r="G1846" s="406">
        <v>12173</v>
      </c>
      <c r="H1846" s="50"/>
      <c r="I1846" s="50"/>
      <c r="J1846" s="306"/>
    </row>
    <row r="1847" spans="2:10">
      <c r="B1847" s="413"/>
      <c r="C1847" s="414"/>
      <c r="D1847" s="414"/>
      <c r="E1847" s="50"/>
      <c r="F1847" s="403">
        <v>5063</v>
      </c>
      <c r="G1847" s="406">
        <v>11801</v>
      </c>
      <c r="H1847" s="50"/>
      <c r="I1847" s="50"/>
      <c r="J1847" s="306"/>
    </row>
    <row r="1848" spans="2:10">
      <c r="B1848" s="413"/>
      <c r="C1848" s="414"/>
      <c r="D1848" s="414"/>
      <c r="E1848" s="50"/>
      <c r="F1848" s="403">
        <v>5064</v>
      </c>
      <c r="G1848" s="406">
        <v>12202</v>
      </c>
      <c r="H1848" s="50"/>
      <c r="I1848" s="50"/>
      <c r="J1848" s="306"/>
    </row>
    <row r="1849" spans="2:10">
      <c r="B1849" s="413"/>
      <c r="C1849" s="414"/>
      <c r="D1849" s="414"/>
      <c r="E1849" s="50"/>
      <c r="F1849" s="403">
        <v>5065</v>
      </c>
      <c r="G1849" s="406">
        <v>12141</v>
      </c>
      <c r="H1849" s="50"/>
      <c r="I1849" s="50"/>
      <c r="J1849" s="306"/>
    </row>
    <row r="1850" spans="2:10">
      <c r="B1850" s="413"/>
      <c r="C1850" s="414"/>
      <c r="D1850" s="414"/>
      <c r="E1850" s="50"/>
      <c r="F1850" s="403">
        <v>5066</v>
      </c>
      <c r="G1850" s="406">
        <v>12194</v>
      </c>
      <c r="H1850" s="50"/>
      <c r="I1850" s="50"/>
      <c r="J1850" s="306"/>
    </row>
    <row r="1851" spans="2:10">
      <c r="B1851" s="413"/>
      <c r="C1851" s="414"/>
      <c r="D1851" s="414"/>
      <c r="E1851" s="50"/>
      <c r="F1851" s="403">
        <v>5067</v>
      </c>
      <c r="G1851" s="406">
        <v>12066</v>
      </c>
      <c r="H1851" s="50"/>
      <c r="I1851" s="50"/>
      <c r="J1851" s="306"/>
    </row>
    <row r="1852" spans="2:10">
      <c r="B1852" s="413"/>
      <c r="C1852" s="414"/>
      <c r="D1852" s="414"/>
      <c r="E1852" s="50"/>
      <c r="F1852" s="403">
        <v>5068</v>
      </c>
      <c r="G1852" s="406">
        <v>12188</v>
      </c>
      <c r="H1852" s="50"/>
      <c r="I1852" s="50"/>
      <c r="J1852" s="306"/>
    </row>
    <row r="1853" spans="2:10">
      <c r="B1853" s="413"/>
      <c r="C1853" s="414"/>
      <c r="D1853" s="414"/>
      <c r="E1853" s="50"/>
      <c r="F1853" s="403">
        <v>5069</v>
      </c>
      <c r="G1853" s="406">
        <v>12017</v>
      </c>
      <c r="H1853" s="50"/>
      <c r="I1853" s="50"/>
      <c r="J1853" s="306"/>
    </row>
    <row r="1854" spans="2:10">
      <c r="B1854" s="413"/>
      <c r="C1854" s="414"/>
      <c r="D1854" s="414"/>
      <c r="E1854" s="50"/>
      <c r="F1854" s="403">
        <v>5070</v>
      </c>
      <c r="G1854" s="406">
        <v>12274</v>
      </c>
      <c r="H1854" s="50"/>
      <c r="I1854" s="50"/>
      <c r="J1854" s="306"/>
    </row>
    <row r="1855" spans="2:10">
      <c r="B1855" s="413"/>
      <c r="C1855" s="414"/>
      <c r="D1855" s="414"/>
      <c r="E1855" s="50"/>
      <c r="F1855" s="403">
        <v>5072</v>
      </c>
      <c r="G1855" s="406">
        <v>12988</v>
      </c>
      <c r="H1855" s="50"/>
      <c r="I1855" s="50"/>
      <c r="J1855" s="306"/>
    </row>
    <row r="1856" spans="2:10">
      <c r="B1856" s="413"/>
      <c r="C1856" s="414"/>
      <c r="D1856" s="414"/>
      <c r="E1856" s="50"/>
      <c r="F1856" s="403">
        <v>5073</v>
      </c>
      <c r="G1856" s="406">
        <v>13197</v>
      </c>
      <c r="H1856" s="50"/>
      <c r="I1856" s="50"/>
      <c r="J1856" s="306"/>
    </row>
    <row r="1857" spans="2:10">
      <c r="B1857" s="413"/>
      <c r="C1857" s="414"/>
      <c r="D1857" s="414"/>
      <c r="E1857" s="50"/>
      <c r="F1857" s="403">
        <v>5074</v>
      </c>
      <c r="G1857" s="406">
        <v>13310</v>
      </c>
      <c r="H1857" s="50"/>
      <c r="I1857" s="50"/>
      <c r="J1857" s="306"/>
    </row>
    <row r="1858" spans="2:10">
      <c r="B1858" s="413"/>
      <c r="C1858" s="414"/>
      <c r="D1858" s="414"/>
      <c r="E1858" s="50"/>
      <c r="F1858" s="403">
        <v>5075</v>
      </c>
      <c r="G1858" s="406">
        <v>13365</v>
      </c>
      <c r="H1858" s="50"/>
      <c r="I1858" s="50"/>
      <c r="J1858" s="306"/>
    </row>
    <row r="1859" spans="2:10">
      <c r="B1859" s="413"/>
      <c r="C1859" s="414"/>
      <c r="D1859" s="414"/>
      <c r="E1859" s="50"/>
      <c r="F1859" s="403">
        <v>5076</v>
      </c>
      <c r="G1859" s="406">
        <v>13451</v>
      </c>
      <c r="H1859" s="50"/>
      <c r="I1859" s="50"/>
      <c r="J1859" s="306"/>
    </row>
    <row r="1860" spans="2:10">
      <c r="B1860" s="413"/>
      <c r="C1860" s="414"/>
      <c r="D1860" s="414"/>
      <c r="E1860" s="50"/>
      <c r="F1860" s="403">
        <v>5081</v>
      </c>
      <c r="G1860" s="406">
        <v>11909</v>
      </c>
      <c r="H1860" s="50"/>
      <c r="I1860" s="50"/>
      <c r="J1860" s="306"/>
    </row>
    <row r="1861" spans="2:10">
      <c r="B1861" s="413"/>
      <c r="C1861" s="414"/>
      <c r="D1861" s="414"/>
      <c r="E1861" s="50"/>
      <c r="F1861" s="403">
        <v>5082</v>
      </c>
      <c r="G1861" s="406">
        <v>11544</v>
      </c>
      <c r="H1861" s="50"/>
      <c r="I1861" s="50"/>
      <c r="J1861" s="306"/>
    </row>
    <row r="1862" spans="2:10">
      <c r="B1862" s="413"/>
      <c r="C1862" s="414"/>
      <c r="D1862" s="414"/>
      <c r="E1862" s="50"/>
      <c r="F1862" s="403">
        <v>5083</v>
      </c>
      <c r="G1862" s="406">
        <v>12351</v>
      </c>
      <c r="H1862" s="50"/>
      <c r="I1862" s="50"/>
      <c r="J1862" s="306"/>
    </row>
    <row r="1863" spans="2:10">
      <c r="B1863" s="413"/>
      <c r="C1863" s="414"/>
      <c r="D1863" s="414"/>
      <c r="E1863" s="50"/>
      <c r="F1863" s="403">
        <v>5084</v>
      </c>
      <c r="G1863" s="406">
        <v>12287</v>
      </c>
      <c r="H1863" s="50"/>
      <c r="I1863" s="50"/>
      <c r="J1863" s="306"/>
    </row>
    <row r="1864" spans="2:10">
      <c r="B1864" s="413"/>
      <c r="C1864" s="414"/>
      <c r="D1864" s="414"/>
      <c r="E1864" s="50"/>
      <c r="F1864" s="403">
        <v>5085</v>
      </c>
      <c r="G1864" s="406">
        <v>12989</v>
      </c>
      <c r="H1864" s="50"/>
      <c r="I1864" s="50"/>
      <c r="J1864" s="306"/>
    </row>
    <row r="1865" spans="2:10">
      <c r="B1865" s="413"/>
      <c r="C1865" s="414"/>
      <c r="D1865" s="414"/>
      <c r="E1865" s="50"/>
      <c r="F1865" s="403">
        <v>5086</v>
      </c>
      <c r="G1865" s="406">
        <v>13253</v>
      </c>
      <c r="H1865" s="50"/>
      <c r="I1865" s="50"/>
      <c r="J1865" s="306"/>
    </row>
    <row r="1866" spans="2:10">
      <c r="B1866" s="413"/>
      <c r="C1866" s="414"/>
      <c r="D1866" s="414"/>
      <c r="E1866" s="50"/>
      <c r="F1866" s="403">
        <v>5087</v>
      </c>
      <c r="G1866" s="406">
        <v>13058</v>
      </c>
      <c r="H1866" s="50"/>
      <c r="I1866" s="50"/>
      <c r="J1866" s="306"/>
    </row>
    <row r="1867" spans="2:10">
      <c r="B1867" s="413"/>
      <c r="C1867" s="414"/>
      <c r="D1867" s="414"/>
      <c r="E1867" s="50"/>
      <c r="F1867" s="403">
        <v>5088</v>
      </c>
      <c r="G1867" s="406">
        <v>13485</v>
      </c>
      <c r="H1867" s="50"/>
      <c r="I1867" s="50"/>
      <c r="J1867" s="306"/>
    </row>
    <row r="1868" spans="2:10">
      <c r="B1868" s="413"/>
      <c r="C1868" s="414"/>
      <c r="D1868" s="414"/>
      <c r="E1868" s="50"/>
      <c r="F1868" s="403">
        <v>5089</v>
      </c>
      <c r="G1868" s="406">
        <v>13717</v>
      </c>
      <c r="H1868" s="50"/>
      <c r="I1868" s="50"/>
      <c r="J1868" s="306"/>
    </row>
    <row r="1869" spans="2:10">
      <c r="B1869" s="413"/>
      <c r="C1869" s="414"/>
      <c r="D1869" s="414"/>
      <c r="E1869" s="50"/>
      <c r="F1869" s="403">
        <v>5090</v>
      </c>
      <c r="G1869" s="406">
        <v>13815</v>
      </c>
      <c r="H1869" s="50"/>
      <c r="I1869" s="50"/>
      <c r="J1869" s="306"/>
    </row>
    <row r="1870" spans="2:10">
      <c r="B1870" s="413"/>
      <c r="C1870" s="414"/>
      <c r="D1870" s="414"/>
      <c r="E1870" s="50"/>
      <c r="F1870" s="403">
        <v>5091</v>
      </c>
      <c r="G1870" s="406">
        <v>14051</v>
      </c>
      <c r="H1870" s="50"/>
      <c r="I1870" s="50"/>
      <c r="J1870" s="306"/>
    </row>
    <row r="1871" spans="2:10">
      <c r="B1871" s="413"/>
      <c r="C1871" s="414"/>
      <c r="D1871" s="414"/>
      <c r="E1871" s="50"/>
      <c r="F1871" s="403">
        <v>5092</v>
      </c>
      <c r="G1871" s="406">
        <v>13975</v>
      </c>
      <c r="H1871" s="50"/>
      <c r="I1871" s="50"/>
      <c r="J1871" s="306"/>
    </row>
    <row r="1872" spans="2:10">
      <c r="B1872" s="413"/>
      <c r="C1872" s="414"/>
      <c r="D1872" s="414"/>
      <c r="E1872" s="50"/>
      <c r="F1872" s="403">
        <v>5093</v>
      </c>
      <c r="G1872" s="406">
        <v>13775</v>
      </c>
      <c r="H1872" s="50"/>
      <c r="I1872" s="50"/>
      <c r="J1872" s="306"/>
    </row>
    <row r="1873" spans="2:10">
      <c r="B1873" s="413"/>
      <c r="C1873" s="414"/>
      <c r="D1873" s="414"/>
      <c r="E1873" s="50"/>
      <c r="F1873" s="403">
        <v>5094</v>
      </c>
      <c r="G1873" s="406">
        <v>13396</v>
      </c>
      <c r="H1873" s="50"/>
      <c r="I1873" s="50"/>
      <c r="J1873" s="306"/>
    </row>
    <row r="1874" spans="2:10">
      <c r="B1874" s="413"/>
      <c r="C1874" s="414"/>
      <c r="D1874" s="414"/>
      <c r="E1874" s="50"/>
      <c r="F1874" s="403">
        <v>5095</v>
      </c>
      <c r="G1874" s="406">
        <v>14208</v>
      </c>
      <c r="H1874" s="50"/>
      <c r="I1874" s="50"/>
      <c r="J1874" s="306"/>
    </row>
    <row r="1875" spans="2:10">
      <c r="B1875" s="413"/>
      <c r="C1875" s="414"/>
      <c r="D1875" s="414"/>
      <c r="E1875" s="50"/>
      <c r="F1875" s="403">
        <v>5096</v>
      </c>
      <c r="G1875" s="406">
        <v>14171</v>
      </c>
      <c r="H1875" s="50"/>
      <c r="I1875" s="50"/>
      <c r="J1875" s="306"/>
    </row>
    <row r="1876" spans="2:10">
      <c r="B1876" s="413"/>
      <c r="C1876" s="414"/>
      <c r="D1876" s="414"/>
      <c r="E1876" s="50"/>
      <c r="F1876" s="403">
        <v>5097</v>
      </c>
      <c r="G1876" s="406">
        <v>14129</v>
      </c>
      <c r="H1876" s="50"/>
      <c r="I1876" s="50"/>
      <c r="J1876" s="306"/>
    </row>
    <row r="1877" spans="2:10">
      <c r="B1877" s="413"/>
      <c r="C1877" s="414"/>
      <c r="D1877" s="414"/>
      <c r="E1877" s="50"/>
      <c r="F1877" s="403">
        <v>5098</v>
      </c>
      <c r="G1877" s="406">
        <v>13714</v>
      </c>
      <c r="H1877" s="50"/>
      <c r="I1877" s="50"/>
      <c r="J1877" s="306"/>
    </row>
    <row r="1878" spans="2:10">
      <c r="B1878" s="413"/>
      <c r="C1878" s="414"/>
      <c r="D1878" s="414"/>
      <c r="E1878" s="50"/>
      <c r="F1878" s="403">
        <v>5106</v>
      </c>
      <c r="G1878" s="406">
        <v>14440</v>
      </c>
      <c r="H1878" s="50"/>
      <c r="I1878" s="50"/>
      <c r="J1878" s="306"/>
    </row>
    <row r="1879" spans="2:10">
      <c r="B1879" s="413"/>
      <c r="C1879" s="414"/>
      <c r="D1879" s="414"/>
      <c r="E1879" s="50"/>
      <c r="F1879" s="403">
        <v>5107</v>
      </c>
      <c r="G1879" s="406">
        <v>14440</v>
      </c>
      <c r="H1879" s="50"/>
      <c r="I1879" s="50"/>
      <c r="J1879" s="306"/>
    </row>
    <row r="1880" spans="2:10">
      <c r="B1880" s="413"/>
      <c r="C1880" s="414"/>
      <c r="D1880" s="414"/>
      <c r="E1880" s="50"/>
      <c r="F1880" s="403">
        <v>5108</v>
      </c>
      <c r="G1880" s="406">
        <v>14498</v>
      </c>
      <c r="H1880" s="50"/>
      <c r="I1880" s="50"/>
      <c r="J1880" s="306"/>
    </row>
    <row r="1881" spans="2:10">
      <c r="B1881" s="413"/>
      <c r="C1881" s="414"/>
      <c r="D1881" s="414"/>
      <c r="E1881" s="50"/>
      <c r="F1881" s="403">
        <v>5109</v>
      </c>
      <c r="G1881" s="406">
        <v>14388</v>
      </c>
      <c r="H1881" s="50"/>
      <c r="I1881" s="50"/>
      <c r="J1881" s="306"/>
    </row>
    <row r="1882" spans="2:10">
      <c r="B1882" s="413"/>
      <c r="C1882" s="414"/>
      <c r="D1882" s="414"/>
      <c r="E1882" s="50"/>
      <c r="F1882" s="403">
        <v>5110</v>
      </c>
      <c r="G1882" s="406">
        <v>14294</v>
      </c>
      <c r="H1882" s="50"/>
      <c r="I1882" s="50"/>
      <c r="J1882" s="306"/>
    </row>
    <row r="1883" spans="2:10">
      <c r="B1883" s="413"/>
      <c r="C1883" s="414"/>
      <c r="D1883" s="414"/>
      <c r="E1883" s="50"/>
      <c r="F1883" s="403">
        <v>5111</v>
      </c>
      <c r="G1883" s="406">
        <v>14491</v>
      </c>
      <c r="H1883" s="50"/>
      <c r="I1883" s="50"/>
      <c r="J1883" s="306"/>
    </row>
    <row r="1884" spans="2:10">
      <c r="B1884" s="413"/>
      <c r="C1884" s="414"/>
      <c r="D1884" s="414"/>
      <c r="E1884" s="50"/>
      <c r="F1884" s="403">
        <v>5112</v>
      </c>
      <c r="G1884" s="406">
        <v>14463</v>
      </c>
      <c r="H1884" s="50"/>
      <c r="I1884" s="50"/>
      <c r="J1884" s="306"/>
    </row>
    <row r="1885" spans="2:10">
      <c r="B1885" s="413"/>
      <c r="C1885" s="414"/>
      <c r="D1885" s="414"/>
      <c r="E1885" s="50"/>
      <c r="F1885" s="403">
        <v>5113</v>
      </c>
      <c r="G1885" s="406">
        <v>14416</v>
      </c>
      <c r="H1885" s="50"/>
      <c r="I1885" s="50"/>
      <c r="J1885" s="306"/>
    </row>
    <row r="1886" spans="2:10">
      <c r="B1886" s="413"/>
      <c r="C1886" s="414"/>
      <c r="D1886" s="414"/>
      <c r="E1886" s="50"/>
      <c r="F1886" s="403">
        <v>5114</v>
      </c>
      <c r="G1886" s="406">
        <v>14396</v>
      </c>
      <c r="H1886" s="50"/>
      <c r="I1886" s="50"/>
      <c r="J1886" s="306"/>
    </row>
    <row r="1887" spans="2:10">
      <c r="B1887" s="413"/>
      <c r="C1887" s="414"/>
      <c r="D1887" s="414"/>
      <c r="E1887" s="50"/>
      <c r="F1887" s="403">
        <v>5115</v>
      </c>
      <c r="G1887" s="406">
        <v>14386</v>
      </c>
      <c r="H1887" s="50"/>
      <c r="I1887" s="50"/>
      <c r="J1887" s="306"/>
    </row>
    <row r="1888" spans="2:10">
      <c r="B1888" s="413"/>
      <c r="C1888" s="414"/>
      <c r="D1888" s="414"/>
      <c r="E1888" s="50"/>
      <c r="F1888" s="403">
        <v>5116</v>
      </c>
      <c r="G1888" s="406">
        <v>14387</v>
      </c>
      <c r="H1888" s="50"/>
      <c r="I1888" s="50"/>
      <c r="J1888" s="306"/>
    </row>
    <row r="1889" spans="2:10">
      <c r="B1889" s="413"/>
      <c r="C1889" s="414"/>
      <c r="D1889" s="414"/>
      <c r="E1889" s="50"/>
      <c r="F1889" s="403">
        <v>5117</v>
      </c>
      <c r="G1889" s="406">
        <v>14387</v>
      </c>
      <c r="H1889" s="50"/>
      <c r="I1889" s="50"/>
      <c r="J1889" s="306"/>
    </row>
    <row r="1890" spans="2:10">
      <c r="B1890" s="413"/>
      <c r="C1890" s="414"/>
      <c r="D1890" s="414"/>
      <c r="E1890" s="50"/>
      <c r="F1890" s="403">
        <v>5118</v>
      </c>
      <c r="G1890" s="406">
        <v>14386</v>
      </c>
      <c r="H1890" s="50"/>
      <c r="I1890" s="50"/>
      <c r="J1890" s="306"/>
    </row>
    <row r="1891" spans="2:10">
      <c r="B1891" s="413"/>
      <c r="C1891" s="414"/>
      <c r="D1891" s="414"/>
      <c r="E1891" s="50"/>
      <c r="F1891" s="403">
        <v>5120</v>
      </c>
      <c r="G1891" s="406">
        <v>13459</v>
      </c>
      <c r="H1891" s="50"/>
      <c r="I1891" s="50"/>
      <c r="J1891" s="306"/>
    </row>
    <row r="1892" spans="2:10">
      <c r="B1892" s="413"/>
      <c r="C1892" s="414"/>
      <c r="D1892" s="414"/>
      <c r="E1892" s="50"/>
      <c r="F1892" s="403">
        <v>5121</v>
      </c>
      <c r="G1892" s="406">
        <v>14429</v>
      </c>
      <c r="H1892" s="50"/>
      <c r="I1892" s="50"/>
      <c r="J1892" s="306"/>
    </row>
    <row r="1893" spans="2:10">
      <c r="B1893" s="413"/>
      <c r="C1893" s="414"/>
      <c r="D1893" s="414"/>
      <c r="E1893" s="50"/>
      <c r="F1893" s="403">
        <v>5125</v>
      </c>
      <c r="G1893" s="406">
        <v>14299</v>
      </c>
      <c r="H1893" s="50"/>
      <c r="I1893" s="50"/>
      <c r="J1893" s="306"/>
    </row>
    <row r="1894" spans="2:10">
      <c r="B1894" s="413"/>
      <c r="C1894" s="414"/>
      <c r="D1894" s="414"/>
      <c r="E1894" s="50"/>
      <c r="F1894" s="403">
        <v>5126</v>
      </c>
      <c r="G1894" s="406">
        <v>14227</v>
      </c>
      <c r="H1894" s="50"/>
      <c r="I1894" s="50"/>
      <c r="J1894" s="306"/>
    </row>
    <row r="1895" spans="2:10">
      <c r="B1895" s="413"/>
      <c r="C1895" s="414"/>
      <c r="D1895" s="414"/>
      <c r="E1895" s="50"/>
      <c r="F1895" s="403">
        <v>5127</v>
      </c>
      <c r="G1895" s="406">
        <v>14244</v>
      </c>
      <c r="H1895" s="50"/>
      <c r="I1895" s="50"/>
      <c r="J1895" s="306"/>
    </row>
    <row r="1896" spans="2:10">
      <c r="B1896" s="413"/>
      <c r="C1896" s="414"/>
      <c r="D1896" s="414"/>
      <c r="E1896" s="50"/>
      <c r="F1896" s="403">
        <v>5131</v>
      </c>
      <c r="G1896" s="406">
        <v>14222</v>
      </c>
      <c r="H1896" s="50"/>
      <c r="I1896" s="50"/>
      <c r="J1896" s="306"/>
    </row>
    <row r="1897" spans="2:10">
      <c r="B1897" s="413"/>
      <c r="C1897" s="414"/>
      <c r="D1897" s="414"/>
      <c r="E1897" s="50"/>
      <c r="F1897" s="403">
        <v>5132</v>
      </c>
      <c r="G1897" s="406">
        <v>13894</v>
      </c>
      <c r="H1897" s="50"/>
      <c r="I1897" s="50"/>
      <c r="J1897" s="306"/>
    </row>
    <row r="1898" spans="2:10">
      <c r="B1898" s="413"/>
      <c r="C1898" s="414"/>
      <c r="D1898" s="414"/>
      <c r="E1898" s="50"/>
      <c r="F1898" s="403">
        <v>5133</v>
      </c>
      <c r="G1898" s="406">
        <v>14222</v>
      </c>
      <c r="H1898" s="50"/>
      <c r="I1898" s="50"/>
      <c r="J1898" s="306"/>
    </row>
    <row r="1899" spans="2:10">
      <c r="B1899" s="413"/>
      <c r="C1899" s="414"/>
      <c r="D1899" s="414"/>
      <c r="E1899" s="50"/>
      <c r="F1899" s="403">
        <v>5134</v>
      </c>
      <c r="G1899" s="406">
        <v>13585</v>
      </c>
      <c r="H1899" s="50"/>
      <c r="I1899" s="50"/>
      <c r="J1899" s="306"/>
    </row>
    <row r="1900" spans="2:10">
      <c r="B1900" s="413"/>
      <c r="C1900" s="414"/>
      <c r="D1900" s="414"/>
      <c r="E1900" s="50"/>
      <c r="F1900" s="403">
        <v>5136</v>
      </c>
      <c r="G1900" s="406">
        <v>13017</v>
      </c>
      <c r="H1900" s="50"/>
      <c r="I1900" s="50"/>
      <c r="J1900" s="306"/>
    </row>
    <row r="1901" spans="2:10">
      <c r="B1901" s="413"/>
      <c r="C1901" s="414"/>
      <c r="D1901" s="414"/>
      <c r="E1901" s="50"/>
      <c r="F1901" s="403">
        <v>5137</v>
      </c>
      <c r="G1901" s="406">
        <v>13017</v>
      </c>
      <c r="H1901" s="50"/>
      <c r="I1901" s="50"/>
      <c r="J1901" s="306"/>
    </row>
    <row r="1902" spans="2:10">
      <c r="B1902" s="413"/>
      <c r="C1902" s="414"/>
      <c r="D1902" s="414"/>
      <c r="E1902" s="50"/>
      <c r="F1902" s="403">
        <v>5138</v>
      </c>
      <c r="G1902" s="406">
        <v>13017</v>
      </c>
      <c r="H1902" s="50"/>
      <c r="I1902" s="50"/>
      <c r="J1902" s="306"/>
    </row>
    <row r="1903" spans="2:10">
      <c r="B1903" s="413"/>
      <c r="C1903" s="414"/>
      <c r="D1903" s="414"/>
      <c r="E1903" s="50"/>
      <c r="F1903" s="403">
        <v>5139</v>
      </c>
      <c r="G1903" s="406">
        <v>16410</v>
      </c>
      <c r="H1903" s="50"/>
      <c r="I1903" s="50"/>
      <c r="J1903" s="306"/>
    </row>
    <row r="1904" spans="2:10">
      <c r="B1904" s="413"/>
      <c r="C1904" s="414"/>
      <c r="D1904" s="414"/>
      <c r="E1904" s="50"/>
      <c r="F1904" s="403">
        <v>5140</v>
      </c>
      <c r="G1904" s="406">
        <v>12902</v>
      </c>
      <c r="H1904" s="50"/>
      <c r="I1904" s="50"/>
      <c r="J1904" s="306"/>
    </row>
    <row r="1905" spans="2:10">
      <c r="B1905" s="413"/>
      <c r="C1905" s="414"/>
      <c r="D1905" s="414"/>
      <c r="E1905" s="50"/>
      <c r="F1905" s="403">
        <v>5141</v>
      </c>
      <c r="G1905" s="406">
        <v>12902</v>
      </c>
      <c r="H1905" s="50"/>
      <c r="I1905" s="50"/>
      <c r="J1905" s="306"/>
    </row>
    <row r="1906" spans="2:10">
      <c r="B1906" s="413"/>
      <c r="C1906" s="414"/>
      <c r="D1906" s="414"/>
      <c r="E1906" s="50"/>
      <c r="F1906" s="403">
        <v>5142</v>
      </c>
      <c r="G1906" s="406">
        <v>13017</v>
      </c>
      <c r="H1906" s="50"/>
      <c r="I1906" s="50"/>
      <c r="J1906" s="306"/>
    </row>
    <row r="1907" spans="2:10">
      <c r="B1907" s="413"/>
      <c r="C1907" s="414"/>
      <c r="D1907" s="414"/>
      <c r="E1907" s="50"/>
      <c r="F1907" s="403">
        <v>5144</v>
      </c>
      <c r="G1907" s="406">
        <v>14247</v>
      </c>
      <c r="H1907" s="50"/>
      <c r="I1907" s="50"/>
      <c r="J1907" s="306"/>
    </row>
    <row r="1908" spans="2:10">
      <c r="B1908" s="413"/>
      <c r="C1908" s="414"/>
      <c r="D1908" s="414"/>
      <c r="E1908" s="50"/>
      <c r="F1908" s="403">
        <v>5150</v>
      </c>
      <c r="G1908" s="406">
        <v>12305</v>
      </c>
      <c r="H1908" s="50"/>
      <c r="I1908" s="50"/>
      <c r="J1908" s="306"/>
    </row>
    <row r="1909" spans="2:10">
      <c r="B1909" s="413"/>
      <c r="C1909" s="414"/>
      <c r="D1909" s="414"/>
      <c r="E1909" s="50"/>
      <c r="F1909" s="403">
        <v>5151</v>
      </c>
      <c r="G1909" s="406">
        <v>12902</v>
      </c>
      <c r="H1909" s="50"/>
      <c r="I1909" s="50"/>
      <c r="J1909" s="306"/>
    </row>
    <row r="1910" spans="2:10">
      <c r="B1910" s="413"/>
      <c r="C1910" s="414"/>
      <c r="D1910" s="414"/>
      <c r="E1910" s="50"/>
      <c r="F1910" s="403">
        <v>5152</v>
      </c>
      <c r="G1910" s="406">
        <v>12833</v>
      </c>
      <c r="H1910" s="50"/>
      <c r="I1910" s="50"/>
      <c r="J1910" s="306"/>
    </row>
    <row r="1911" spans="2:10">
      <c r="B1911" s="413"/>
      <c r="C1911" s="414"/>
      <c r="D1911" s="414"/>
      <c r="E1911" s="50"/>
      <c r="F1911" s="403">
        <v>5153</v>
      </c>
      <c r="G1911" s="406">
        <v>16590</v>
      </c>
      <c r="H1911" s="50"/>
      <c r="I1911" s="50"/>
      <c r="J1911" s="306"/>
    </row>
    <row r="1912" spans="2:10">
      <c r="B1912" s="413"/>
      <c r="C1912" s="414"/>
      <c r="D1912" s="414"/>
      <c r="E1912" s="50"/>
      <c r="F1912" s="403">
        <v>5154</v>
      </c>
      <c r="G1912" s="406">
        <v>15290</v>
      </c>
      <c r="H1912" s="50"/>
      <c r="I1912" s="50"/>
      <c r="J1912" s="306"/>
    </row>
    <row r="1913" spans="2:10">
      <c r="B1913" s="413"/>
      <c r="C1913" s="414"/>
      <c r="D1913" s="414"/>
      <c r="E1913" s="50"/>
      <c r="F1913" s="403">
        <v>5155</v>
      </c>
      <c r="G1913" s="406">
        <v>16346</v>
      </c>
      <c r="H1913" s="50"/>
      <c r="I1913" s="50"/>
      <c r="J1913" s="306"/>
    </row>
    <row r="1914" spans="2:10">
      <c r="B1914" s="413"/>
      <c r="C1914" s="414"/>
      <c r="D1914" s="414"/>
      <c r="E1914" s="50"/>
      <c r="F1914" s="403">
        <v>5156</v>
      </c>
      <c r="G1914" s="406">
        <v>13205</v>
      </c>
      <c r="H1914" s="50"/>
      <c r="I1914" s="50"/>
      <c r="J1914" s="306"/>
    </row>
    <row r="1915" spans="2:10">
      <c r="B1915" s="413"/>
      <c r="C1915" s="414"/>
      <c r="D1915" s="414"/>
      <c r="E1915" s="50"/>
      <c r="F1915" s="403">
        <v>5157</v>
      </c>
      <c r="G1915" s="406">
        <v>14334</v>
      </c>
      <c r="H1915" s="50"/>
      <c r="I1915" s="50"/>
      <c r="J1915" s="306"/>
    </row>
    <row r="1916" spans="2:10">
      <c r="B1916" s="413"/>
      <c r="C1916" s="414"/>
      <c r="D1916" s="414"/>
      <c r="E1916" s="50"/>
      <c r="F1916" s="403">
        <v>5158</v>
      </c>
      <c r="G1916" s="406">
        <v>14472</v>
      </c>
      <c r="H1916" s="50"/>
      <c r="I1916" s="50"/>
      <c r="J1916" s="306"/>
    </row>
    <row r="1917" spans="2:10">
      <c r="B1917" s="413"/>
      <c r="C1917" s="414"/>
      <c r="D1917" s="414"/>
      <c r="E1917" s="50"/>
      <c r="F1917" s="403">
        <v>5159</v>
      </c>
      <c r="G1917" s="406">
        <v>14155</v>
      </c>
      <c r="H1917" s="50"/>
      <c r="I1917" s="50"/>
      <c r="J1917" s="306"/>
    </row>
    <row r="1918" spans="2:10">
      <c r="B1918" s="413"/>
      <c r="C1918" s="414"/>
      <c r="D1918" s="414"/>
      <c r="E1918" s="50"/>
      <c r="F1918" s="403">
        <v>5160</v>
      </c>
      <c r="G1918" s="406">
        <v>14414</v>
      </c>
      <c r="H1918" s="50"/>
      <c r="I1918" s="50"/>
      <c r="J1918" s="306"/>
    </row>
    <row r="1919" spans="2:10">
      <c r="B1919" s="413"/>
      <c r="C1919" s="414"/>
      <c r="D1919" s="414"/>
      <c r="E1919" s="50"/>
      <c r="F1919" s="403">
        <v>5161</v>
      </c>
      <c r="G1919" s="406">
        <v>14477</v>
      </c>
      <c r="H1919" s="50"/>
      <c r="I1919" s="50"/>
      <c r="J1919" s="306"/>
    </row>
    <row r="1920" spans="2:10">
      <c r="B1920" s="413"/>
      <c r="C1920" s="414"/>
      <c r="D1920" s="414"/>
      <c r="E1920" s="50"/>
      <c r="F1920" s="403">
        <v>5162</v>
      </c>
      <c r="G1920" s="406">
        <v>14477</v>
      </c>
      <c r="H1920" s="50"/>
      <c r="I1920" s="50"/>
      <c r="J1920" s="306"/>
    </row>
    <row r="1921" spans="2:10">
      <c r="B1921" s="413"/>
      <c r="C1921" s="414"/>
      <c r="D1921" s="414"/>
      <c r="E1921" s="50"/>
      <c r="F1921" s="403">
        <v>5163</v>
      </c>
      <c r="G1921" s="406">
        <v>14398</v>
      </c>
      <c r="H1921" s="50"/>
      <c r="I1921" s="50"/>
      <c r="J1921" s="306"/>
    </row>
    <row r="1922" spans="2:10">
      <c r="B1922" s="413"/>
      <c r="C1922" s="414"/>
      <c r="D1922" s="414"/>
      <c r="E1922" s="50"/>
      <c r="F1922" s="403">
        <v>5164</v>
      </c>
      <c r="G1922" s="406">
        <v>14410</v>
      </c>
      <c r="H1922" s="50"/>
      <c r="I1922" s="50"/>
      <c r="J1922" s="306"/>
    </row>
    <row r="1923" spans="2:10">
      <c r="B1923" s="413"/>
      <c r="C1923" s="414"/>
      <c r="D1923" s="414"/>
      <c r="E1923" s="50"/>
      <c r="F1923" s="403">
        <v>5165</v>
      </c>
      <c r="G1923" s="406">
        <v>14129</v>
      </c>
      <c r="H1923" s="50"/>
      <c r="I1923" s="50"/>
      <c r="J1923" s="306"/>
    </row>
    <row r="1924" spans="2:10">
      <c r="B1924" s="413"/>
      <c r="C1924" s="414"/>
      <c r="D1924" s="414"/>
      <c r="E1924" s="50"/>
      <c r="F1924" s="403">
        <v>5166</v>
      </c>
      <c r="G1924" s="406">
        <v>14351</v>
      </c>
      <c r="H1924" s="50"/>
      <c r="I1924" s="50"/>
      <c r="J1924" s="306"/>
    </row>
    <row r="1925" spans="2:10">
      <c r="B1925" s="413"/>
      <c r="C1925" s="414"/>
      <c r="D1925" s="414"/>
      <c r="E1925" s="50"/>
      <c r="F1925" s="403">
        <v>5167</v>
      </c>
      <c r="G1925" s="406">
        <v>14129</v>
      </c>
      <c r="H1925" s="50"/>
      <c r="I1925" s="50"/>
      <c r="J1925" s="306"/>
    </row>
    <row r="1926" spans="2:10">
      <c r="B1926" s="413"/>
      <c r="C1926" s="414"/>
      <c r="D1926" s="414"/>
      <c r="E1926" s="50"/>
      <c r="F1926" s="403">
        <v>5168</v>
      </c>
      <c r="G1926" s="406">
        <v>14192</v>
      </c>
      <c r="H1926" s="50"/>
      <c r="I1926" s="50"/>
      <c r="J1926" s="306"/>
    </row>
    <row r="1927" spans="2:10">
      <c r="B1927" s="413"/>
      <c r="C1927" s="414"/>
      <c r="D1927" s="414"/>
      <c r="E1927" s="50"/>
      <c r="F1927" s="403">
        <v>5169</v>
      </c>
      <c r="G1927" s="406">
        <v>14032</v>
      </c>
      <c r="H1927" s="50"/>
      <c r="I1927" s="50"/>
      <c r="J1927" s="306"/>
    </row>
    <row r="1928" spans="2:10">
      <c r="B1928" s="413"/>
      <c r="C1928" s="414"/>
      <c r="D1928" s="414"/>
      <c r="E1928" s="50"/>
      <c r="F1928" s="403">
        <v>5170</v>
      </c>
      <c r="G1928" s="406">
        <v>13842</v>
      </c>
      <c r="H1928" s="50"/>
      <c r="I1928" s="50"/>
      <c r="J1928" s="306"/>
    </row>
    <row r="1929" spans="2:10">
      <c r="B1929" s="413"/>
      <c r="C1929" s="414"/>
      <c r="D1929" s="414"/>
      <c r="E1929" s="50"/>
      <c r="F1929" s="403">
        <v>5171</v>
      </c>
      <c r="G1929" s="406">
        <v>14067</v>
      </c>
      <c r="H1929" s="50"/>
      <c r="I1929" s="50"/>
      <c r="J1929" s="306"/>
    </row>
    <row r="1930" spans="2:10">
      <c r="B1930" s="413"/>
      <c r="C1930" s="414"/>
      <c r="D1930" s="414"/>
      <c r="E1930" s="50"/>
      <c r="F1930" s="403">
        <v>5172</v>
      </c>
      <c r="G1930" s="406">
        <v>13862</v>
      </c>
      <c r="H1930" s="50"/>
      <c r="I1930" s="50"/>
      <c r="J1930" s="306"/>
    </row>
    <row r="1931" spans="2:10">
      <c r="B1931" s="413"/>
      <c r="C1931" s="414"/>
      <c r="D1931" s="414"/>
      <c r="E1931" s="50"/>
      <c r="F1931" s="403">
        <v>5173</v>
      </c>
      <c r="G1931" s="406">
        <v>13859</v>
      </c>
      <c r="H1931" s="50"/>
      <c r="I1931" s="50"/>
      <c r="J1931" s="306"/>
    </row>
    <row r="1932" spans="2:10">
      <c r="B1932" s="413"/>
      <c r="C1932" s="414"/>
      <c r="D1932" s="414"/>
      <c r="E1932" s="50"/>
      <c r="F1932" s="403">
        <v>5174</v>
      </c>
      <c r="G1932" s="406">
        <v>13878</v>
      </c>
      <c r="H1932" s="50"/>
      <c r="I1932" s="50"/>
      <c r="J1932" s="306"/>
    </row>
    <row r="1933" spans="2:10">
      <c r="B1933" s="413"/>
      <c r="C1933" s="414"/>
      <c r="D1933" s="414"/>
      <c r="E1933" s="50"/>
      <c r="F1933" s="403">
        <v>5201</v>
      </c>
      <c r="G1933" s="406">
        <v>16248</v>
      </c>
      <c r="H1933" s="50"/>
      <c r="I1933" s="50"/>
      <c r="J1933" s="306"/>
    </row>
    <row r="1934" spans="2:10">
      <c r="B1934" s="413"/>
      <c r="C1934" s="414"/>
      <c r="D1934" s="414"/>
      <c r="E1934" s="50"/>
      <c r="F1934" s="403">
        <v>5202</v>
      </c>
      <c r="G1934" s="406">
        <v>14023</v>
      </c>
      <c r="H1934" s="50"/>
      <c r="I1934" s="50"/>
      <c r="J1934" s="306"/>
    </row>
    <row r="1935" spans="2:10">
      <c r="B1935" s="413"/>
      <c r="C1935" s="414"/>
      <c r="D1935" s="414"/>
      <c r="E1935" s="50"/>
      <c r="F1935" s="403">
        <v>5203</v>
      </c>
      <c r="G1935" s="406">
        <v>14094</v>
      </c>
      <c r="H1935" s="50"/>
      <c r="I1935" s="50"/>
      <c r="J1935" s="306"/>
    </row>
    <row r="1936" spans="2:10">
      <c r="B1936" s="413"/>
      <c r="C1936" s="414"/>
      <c r="D1936" s="414"/>
      <c r="E1936" s="50"/>
      <c r="F1936" s="403">
        <v>5204</v>
      </c>
      <c r="G1936" s="406">
        <v>14033</v>
      </c>
      <c r="H1936" s="50"/>
      <c r="I1936" s="50"/>
      <c r="J1936" s="306"/>
    </row>
    <row r="1937" spans="2:10">
      <c r="B1937" s="413"/>
      <c r="C1937" s="414"/>
      <c r="D1937" s="414"/>
      <c r="E1937" s="50"/>
      <c r="F1937" s="403">
        <v>5210</v>
      </c>
      <c r="G1937" s="406">
        <v>13885</v>
      </c>
      <c r="H1937" s="50"/>
      <c r="I1937" s="50"/>
      <c r="J1937" s="306"/>
    </row>
    <row r="1938" spans="2:10">
      <c r="B1938" s="413"/>
      <c r="C1938" s="414"/>
      <c r="D1938" s="414"/>
      <c r="E1938" s="50"/>
      <c r="F1938" s="403">
        <v>5211</v>
      </c>
      <c r="G1938" s="406">
        <v>14102</v>
      </c>
      <c r="H1938" s="50"/>
      <c r="I1938" s="50"/>
      <c r="J1938" s="306"/>
    </row>
    <row r="1939" spans="2:10">
      <c r="B1939" s="413"/>
      <c r="C1939" s="414"/>
      <c r="D1939" s="414"/>
      <c r="E1939" s="50"/>
      <c r="F1939" s="403">
        <v>5212</v>
      </c>
      <c r="G1939" s="406">
        <v>14170</v>
      </c>
      <c r="H1939" s="50"/>
      <c r="I1939" s="50"/>
      <c r="J1939" s="306"/>
    </row>
    <row r="1940" spans="2:10">
      <c r="B1940" s="413"/>
      <c r="C1940" s="414"/>
      <c r="D1940" s="414"/>
      <c r="E1940" s="50"/>
      <c r="F1940" s="403">
        <v>5213</v>
      </c>
      <c r="G1940" s="406">
        <v>14170</v>
      </c>
      <c r="H1940" s="50"/>
      <c r="I1940" s="50"/>
      <c r="J1940" s="306"/>
    </row>
    <row r="1941" spans="2:10">
      <c r="B1941" s="413"/>
      <c r="C1941" s="414"/>
      <c r="D1941" s="414"/>
      <c r="E1941" s="50"/>
      <c r="F1941" s="403">
        <v>5214</v>
      </c>
      <c r="G1941" s="406">
        <v>14622</v>
      </c>
      <c r="H1941" s="50"/>
      <c r="I1941" s="50"/>
      <c r="J1941" s="306"/>
    </row>
    <row r="1942" spans="2:10">
      <c r="B1942" s="413"/>
      <c r="C1942" s="414"/>
      <c r="D1942" s="414"/>
      <c r="E1942" s="50"/>
      <c r="F1942" s="403">
        <v>5231</v>
      </c>
      <c r="G1942" s="406">
        <v>15649</v>
      </c>
      <c r="H1942" s="50"/>
      <c r="I1942" s="50"/>
      <c r="J1942" s="306"/>
    </row>
    <row r="1943" spans="2:10">
      <c r="B1943" s="413"/>
      <c r="C1943" s="414"/>
      <c r="D1943" s="414"/>
      <c r="E1943" s="50"/>
      <c r="F1943" s="403">
        <v>5232</v>
      </c>
      <c r="G1943" s="406">
        <v>16357</v>
      </c>
      <c r="H1943" s="50"/>
      <c r="I1943" s="50"/>
      <c r="J1943" s="306"/>
    </row>
    <row r="1944" spans="2:10">
      <c r="B1944" s="413"/>
      <c r="C1944" s="414"/>
      <c r="D1944" s="414"/>
      <c r="E1944" s="50"/>
      <c r="F1944" s="403">
        <v>5233</v>
      </c>
      <c r="G1944" s="406">
        <v>16323</v>
      </c>
      <c r="H1944" s="50"/>
      <c r="I1944" s="50"/>
      <c r="J1944" s="306"/>
    </row>
    <row r="1945" spans="2:10">
      <c r="B1945" s="413"/>
      <c r="C1945" s="414"/>
      <c r="D1945" s="414"/>
      <c r="E1945" s="50"/>
      <c r="F1945" s="403">
        <v>5234</v>
      </c>
      <c r="G1945" s="406">
        <v>16341</v>
      </c>
      <c r="H1945" s="50"/>
      <c r="I1945" s="50"/>
      <c r="J1945" s="306"/>
    </row>
    <row r="1946" spans="2:10">
      <c r="B1946" s="413"/>
      <c r="C1946" s="414"/>
      <c r="D1946" s="414"/>
      <c r="E1946" s="50"/>
      <c r="F1946" s="403">
        <v>5235</v>
      </c>
      <c r="G1946" s="406">
        <v>16094</v>
      </c>
      <c r="H1946" s="50"/>
      <c r="I1946" s="50"/>
      <c r="J1946" s="306"/>
    </row>
    <row r="1947" spans="2:10">
      <c r="B1947" s="413"/>
      <c r="C1947" s="414"/>
      <c r="D1947" s="414"/>
      <c r="E1947" s="50"/>
      <c r="F1947" s="403">
        <v>5236</v>
      </c>
      <c r="G1947" s="406">
        <v>16272</v>
      </c>
      <c r="H1947" s="50"/>
      <c r="I1947" s="50"/>
      <c r="J1947" s="306"/>
    </row>
    <row r="1948" spans="2:10">
      <c r="B1948" s="413"/>
      <c r="C1948" s="414"/>
      <c r="D1948" s="414"/>
      <c r="E1948" s="50"/>
      <c r="F1948" s="403">
        <v>5237</v>
      </c>
      <c r="G1948" s="406">
        <v>16223</v>
      </c>
      <c r="H1948" s="50"/>
      <c r="I1948" s="50"/>
      <c r="J1948" s="306"/>
    </row>
    <row r="1949" spans="2:10">
      <c r="B1949" s="413"/>
      <c r="C1949" s="414"/>
      <c r="D1949" s="414"/>
      <c r="E1949" s="50"/>
      <c r="F1949" s="403">
        <v>5238</v>
      </c>
      <c r="G1949" s="406">
        <v>16026</v>
      </c>
      <c r="H1949" s="50"/>
      <c r="I1949" s="50"/>
      <c r="J1949" s="306"/>
    </row>
    <row r="1950" spans="2:10">
      <c r="B1950" s="413"/>
      <c r="C1950" s="414"/>
      <c r="D1950" s="414"/>
      <c r="E1950" s="50"/>
      <c r="F1950" s="403">
        <v>5240</v>
      </c>
      <c r="G1950" s="406">
        <v>16410</v>
      </c>
      <c r="H1950" s="50"/>
      <c r="I1950" s="50"/>
      <c r="J1950" s="306"/>
    </row>
    <row r="1951" spans="2:10">
      <c r="B1951" s="413"/>
      <c r="C1951" s="414"/>
      <c r="D1951" s="414"/>
      <c r="E1951" s="50"/>
      <c r="F1951" s="403">
        <v>5241</v>
      </c>
      <c r="G1951" s="406">
        <v>16368</v>
      </c>
      <c r="H1951" s="50"/>
      <c r="I1951" s="50"/>
      <c r="J1951" s="306"/>
    </row>
    <row r="1952" spans="2:10">
      <c r="B1952" s="413"/>
      <c r="C1952" s="414"/>
      <c r="D1952" s="414"/>
      <c r="E1952" s="50"/>
      <c r="F1952" s="403">
        <v>5242</v>
      </c>
      <c r="G1952" s="406">
        <v>16574</v>
      </c>
      <c r="H1952" s="50"/>
      <c r="I1952" s="50"/>
      <c r="J1952" s="306"/>
    </row>
    <row r="1953" spans="2:10">
      <c r="B1953" s="413"/>
      <c r="C1953" s="414"/>
      <c r="D1953" s="414"/>
      <c r="E1953" s="50"/>
      <c r="F1953" s="403">
        <v>5243</v>
      </c>
      <c r="G1953" s="406">
        <v>16574</v>
      </c>
      <c r="H1953" s="50"/>
      <c r="I1953" s="50"/>
      <c r="J1953" s="306"/>
    </row>
    <row r="1954" spans="2:10">
      <c r="B1954" s="413"/>
      <c r="C1954" s="414"/>
      <c r="D1954" s="414"/>
      <c r="E1954" s="50"/>
      <c r="F1954" s="403">
        <v>5244</v>
      </c>
      <c r="G1954" s="406">
        <v>16447</v>
      </c>
      <c r="H1954" s="50"/>
      <c r="I1954" s="50"/>
      <c r="J1954" s="306"/>
    </row>
    <row r="1955" spans="2:10">
      <c r="B1955" s="413"/>
      <c r="C1955" s="414"/>
      <c r="D1955" s="414"/>
      <c r="E1955" s="50"/>
      <c r="F1955" s="403">
        <v>5245</v>
      </c>
      <c r="G1955" s="406">
        <v>16574</v>
      </c>
      <c r="H1955" s="50"/>
      <c r="I1955" s="50"/>
      <c r="J1955" s="306"/>
    </row>
    <row r="1956" spans="2:10">
      <c r="B1956" s="413"/>
      <c r="C1956" s="414"/>
      <c r="D1956" s="414"/>
      <c r="E1956" s="50"/>
      <c r="F1956" s="403">
        <v>5250</v>
      </c>
      <c r="G1956" s="406">
        <v>16593</v>
      </c>
      <c r="H1956" s="50"/>
      <c r="I1956" s="50"/>
      <c r="J1956" s="306"/>
    </row>
    <row r="1957" spans="2:10">
      <c r="B1957" s="413"/>
      <c r="C1957" s="414"/>
      <c r="D1957" s="414"/>
      <c r="E1957" s="50"/>
      <c r="F1957" s="403">
        <v>5251</v>
      </c>
      <c r="G1957" s="406">
        <v>16595</v>
      </c>
      <c r="H1957" s="50"/>
      <c r="I1957" s="50"/>
      <c r="J1957" s="306"/>
    </row>
    <row r="1958" spans="2:10">
      <c r="B1958" s="413"/>
      <c r="C1958" s="414"/>
      <c r="D1958" s="414"/>
      <c r="E1958" s="50"/>
      <c r="F1958" s="403">
        <v>5252</v>
      </c>
      <c r="G1958" s="406">
        <v>16573</v>
      </c>
      <c r="H1958" s="50"/>
      <c r="I1958" s="50"/>
      <c r="J1958" s="306"/>
    </row>
    <row r="1959" spans="2:10">
      <c r="B1959" s="413"/>
      <c r="C1959" s="414"/>
      <c r="D1959" s="414"/>
      <c r="E1959" s="50"/>
      <c r="F1959" s="403">
        <v>5253</v>
      </c>
      <c r="G1959" s="406">
        <v>16366</v>
      </c>
      <c r="H1959" s="50"/>
      <c r="I1959" s="50"/>
      <c r="J1959" s="306"/>
    </row>
    <row r="1960" spans="2:10">
      <c r="B1960" s="413"/>
      <c r="C1960" s="414"/>
      <c r="D1960" s="414"/>
      <c r="E1960" s="50"/>
      <c r="F1960" s="403">
        <v>5254</v>
      </c>
      <c r="G1960" s="406">
        <v>16267</v>
      </c>
      <c r="H1960" s="50"/>
      <c r="I1960" s="50"/>
      <c r="J1960" s="306"/>
    </row>
    <row r="1961" spans="2:10">
      <c r="B1961" s="413"/>
      <c r="C1961" s="414"/>
      <c r="D1961" s="414"/>
      <c r="E1961" s="50"/>
      <c r="F1961" s="403">
        <v>5255</v>
      </c>
      <c r="G1961" s="406">
        <v>16525</v>
      </c>
      <c r="H1961" s="50"/>
      <c r="I1961" s="50"/>
      <c r="J1961" s="306"/>
    </row>
    <row r="1962" spans="2:10">
      <c r="B1962" s="413"/>
      <c r="C1962" s="414"/>
      <c r="D1962" s="414"/>
      <c r="E1962" s="50"/>
      <c r="F1962" s="403">
        <v>5256</v>
      </c>
      <c r="G1962" s="406">
        <v>15691</v>
      </c>
      <c r="H1962" s="50"/>
      <c r="I1962" s="50"/>
      <c r="J1962" s="306"/>
    </row>
    <row r="1963" spans="2:10">
      <c r="B1963" s="413"/>
      <c r="C1963" s="414"/>
      <c r="D1963" s="414"/>
      <c r="E1963" s="50"/>
      <c r="F1963" s="403">
        <v>5259</v>
      </c>
      <c r="G1963" s="406">
        <v>16269</v>
      </c>
      <c r="H1963" s="50"/>
      <c r="I1963" s="50"/>
      <c r="J1963" s="306"/>
    </row>
    <row r="1964" spans="2:10">
      <c r="B1964" s="413"/>
      <c r="C1964" s="414"/>
      <c r="D1964" s="414"/>
      <c r="E1964" s="50"/>
      <c r="F1964" s="403">
        <v>5260</v>
      </c>
      <c r="G1964" s="406">
        <v>16199</v>
      </c>
      <c r="H1964" s="50"/>
      <c r="I1964" s="50"/>
      <c r="J1964" s="306"/>
    </row>
    <row r="1965" spans="2:10">
      <c r="B1965" s="413"/>
      <c r="C1965" s="414"/>
      <c r="D1965" s="414"/>
      <c r="E1965" s="50"/>
      <c r="F1965" s="403">
        <v>5261</v>
      </c>
      <c r="G1965" s="406">
        <v>17028</v>
      </c>
      <c r="H1965" s="50"/>
      <c r="I1965" s="50"/>
      <c r="J1965" s="306"/>
    </row>
    <row r="1966" spans="2:10">
      <c r="B1966" s="413"/>
      <c r="C1966" s="414"/>
      <c r="D1966" s="414"/>
      <c r="E1966" s="50"/>
      <c r="F1966" s="403">
        <v>5262</v>
      </c>
      <c r="G1966" s="406">
        <v>15679</v>
      </c>
      <c r="H1966" s="50"/>
      <c r="I1966" s="50"/>
      <c r="J1966" s="306"/>
    </row>
    <row r="1967" spans="2:10">
      <c r="B1967" s="413"/>
      <c r="C1967" s="414"/>
      <c r="D1967" s="414"/>
      <c r="E1967" s="50"/>
      <c r="F1967" s="403">
        <v>5263</v>
      </c>
      <c r="G1967" s="406">
        <v>14968</v>
      </c>
      <c r="H1967" s="50"/>
      <c r="I1967" s="50"/>
      <c r="J1967" s="306"/>
    </row>
    <row r="1968" spans="2:10">
      <c r="B1968" s="413"/>
      <c r="C1968" s="414"/>
      <c r="D1968" s="414"/>
      <c r="E1968" s="50"/>
      <c r="F1968" s="403">
        <v>5264</v>
      </c>
      <c r="G1968" s="406">
        <v>15087</v>
      </c>
      <c r="H1968" s="50"/>
      <c r="I1968" s="50"/>
      <c r="J1968" s="306"/>
    </row>
    <row r="1969" spans="2:10">
      <c r="B1969" s="413"/>
      <c r="C1969" s="414"/>
      <c r="D1969" s="414"/>
      <c r="E1969" s="50"/>
      <c r="F1969" s="403">
        <v>5265</v>
      </c>
      <c r="G1969" s="406">
        <v>16826</v>
      </c>
      <c r="H1969" s="50"/>
      <c r="I1969" s="50"/>
      <c r="J1969" s="306"/>
    </row>
    <row r="1970" spans="2:10">
      <c r="B1970" s="413"/>
      <c r="C1970" s="414"/>
      <c r="D1970" s="414"/>
      <c r="E1970" s="50"/>
      <c r="F1970" s="403">
        <v>5266</v>
      </c>
      <c r="G1970" s="406">
        <v>20363</v>
      </c>
      <c r="H1970" s="50"/>
      <c r="I1970" s="50"/>
      <c r="J1970" s="306"/>
    </row>
    <row r="1971" spans="2:10">
      <c r="B1971" s="413"/>
      <c r="C1971" s="414"/>
      <c r="D1971" s="414"/>
      <c r="E1971" s="50"/>
      <c r="F1971" s="403">
        <v>5267</v>
      </c>
      <c r="G1971" s="406">
        <v>20816</v>
      </c>
      <c r="H1971" s="50"/>
      <c r="I1971" s="50"/>
      <c r="J1971" s="306"/>
    </row>
    <row r="1972" spans="2:10">
      <c r="B1972" s="413"/>
      <c r="C1972" s="414"/>
      <c r="D1972" s="414"/>
      <c r="E1972" s="50"/>
      <c r="F1972" s="403">
        <v>5268</v>
      </c>
      <c r="G1972" s="406">
        <v>20816</v>
      </c>
      <c r="H1972" s="50"/>
      <c r="I1972" s="50"/>
      <c r="J1972" s="306"/>
    </row>
    <row r="1973" spans="2:10">
      <c r="B1973" s="413"/>
      <c r="C1973" s="414"/>
      <c r="D1973" s="414"/>
      <c r="E1973" s="50"/>
      <c r="F1973" s="403">
        <v>5269</v>
      </c>
      <c r="G1973" s="406">
        <v>20220</v>
      </c>
      <c r="H1973" s="50"/>
      <c r="I1973" s="50"/>
      <c r="J1973" s="306"/>
    </row>
    <row r="1974" spans="2:10">
      <c r="B1974" s="413"/>
      <c r="C1974" s="414"/>
      <c r="D1974" s="414"/>
      <c r="E1974" s="50"/>
      <c r="F1974" s="403">
        <v>5270</v>
      </c>
      <c r="G1974" s="406">
        <v>20242</v>
      </c>
      <c r="H1974" s="50"/>
      <c r="I1974" s="50"/>
      <c r="J1974" s="306"/>
    </row>
    <row r="1975" spans="2:10">
      <c r="B1975" s="413"/>
      <c r="C1975" s="414"/>
      <c r="D1975" s="414"/>
      <c r="E1975" s="50"/>
      <c r="F1975" s="403">
        <v>5271</v>
      </c>
      <c r="G1975" s="406">
        <v>15978</v>
      </c>
      <c r="H1975" s="50"/>
      <c r="I1975" s="50"/>
      <c r="J1975" s="306"/>
    </row>
    <row r="1976" spans="2:10">
      <c r="B1976" s="413"/>
      <c r="C1976" s="414"/>
      <c r="D1976" s="414"/>
      <c r="E1976" s="50"/>
      <c r="F1976" s="403">
        <v>5272</v>
      </c>
      <c r="G1976" s="406">
        <v>15778</v>
      </c>
      <c r="H1976" s="50"/>
      <c r="I1976" s="50"/>
      <c r="J1976" s="306"/>
    </row>
    <row r="1977" spans="2:10">
      <c r="B1977" s="413"/>
      <c r="C1977" s="414"/>
      <c r="D1977" s="414"/>
      <c r="E1977" s="50"/>
      <c r="F1977" s="403">
        <v>5273</v>
      </c>
      <c r="G1977" s="406">
        <v>15967</v>
      </c>
      <c r="H1977" s="50"/>
      <c r="I1977" s="50"/>
      <c r="J1977" s="306"/>
    </row>
    <row r="1978" spans="2:10">
      <c r="B1978" s="413"/>
      <c r="C1978" s="414"/>
      <c r="D1978" s="414"/>
      <c r="E1978" s="50"/>
      <c r="F1978" s="403">
        <v>5275</v>
      </c>
      <c r="G1978" s="406">
        <v>17234</v>
      </c>
      <c r="H1978" s="50"/>
      <c r="I1978" s="50"/>
      <c r="J1978" s="306"/>
    </row>
    <row r="1979" spans="2:10">
      <c r="B1979" s="413"/>
      <c r="C1979" s="414"/>
      <c r="D1979" s="414"/>
      <c r="E1979" s="50"/>
      <c r="F1979" s="403">
        <v>5276</v>
      </c>
      <c r="G1979" s="406">
        <v>15869</v>
      </c>
      <c r="H1979" s="50"/>
      <c r="I1979" s="50"/>
      <c r="J1979" s="306"/>
    </row>
    <row r="1980" spans="2:10">
      <c r="B1980" s="413"/>
      <c r="C1980" s="414"/>
      <c r="D1980" s="414"/>
      <c r="E1980" s="50"/>
      <c r="F1980" s="403">
        <v>5277</v>
      </c>
      <c r="G1980" s="406">
        <v>15142</v>
      </c>
      <c r="H1980" s="50"/>
      <c r="I1980" s="50"/>
      <c r="J1980" s="306"/>
    </row>
    <row r="1981" spans="2:10">
      <c r="B1981" s="413"/>
      <c r="C1981" s="414"/>
      <c r="D1981" s="414"/>
      <c r="E1981" s="50"/>
      <c r="F1981" s="403">
        <v>5278</v>
      </c>
      <c r="G1981" s="406">
        <v>15511</v>
      </c>
      <c r="H1981" s="50"/>
      <c r="I1981" s="50"/>
      <c r="J1981" s="306"/>
    </row>
    <row r="1982" spans="2:10">
      <c r="B1982" s="413"/>
      <c r="C1982" s="414"/>
      <c r="D1982" s="414"/>
      <c r="E1982" s="50"/>
      <c r="F1982" s="403">
        <v>5279</v>
      </c>
      <c r="G1982" s="406">
        <v>15275</v>
      </c>
      <c r="H1982" s="50"/>
      <c r="I1982" s="50"/>
      <c r="J1982" s="306"/>
    </row>
    <row r="1983" spans="2:10">
      <c r="B1983" s="413"/>
      <c r="C1983" s="414"/>
      <c r="D1983" s="414"/>
      <c r="E1983" s="50"/>
      <c r="F1983" s="403">
        <v>5280</v>
      </c>
      <c r="G1983" s="406">
        <v>15673</v>
      </c>
      <c r="H1983" s="50"/>
      <c r="I1983" s="50"/>
      <c r="J1983" s="306"/>
    </row>
    <row r="1984" spans="2:10">
      <c r="B1984" s="413"/>
      <c r="C1984" s="414"/>
      <c r="D1984" s="414"/>
      <c r="E1984" s="50"/>
      <c r="F1984" s="403">
        <v>5290</v>
      </c>
      <c r="G1984" s="406">
        <v>15183</v>
      </c>
      <c r="H1984" s="50"/>
      <c r="I1984" s="50"/>
      <c r="J1984" s="306"/>
    </row>
    <row r="1985" spans="2:10">
      <c r="B1985" s="413"/>
      <c r="C1985" s="414"/>
      <c r="D1985" s="414"/>
      <c r="E1985" s="50"/>
      <c r="F1985" s="403">
        <v>5291</v>
      </c>
      <c r="G1985" s="406">
        <v>15287</v>
      </c>
      <c r="H1985" s="50"/>
      <c r="I1985" s="50"/>
      <c r="J1985" s="306"/>
    </row>
    <row r="1986" spans="2:10">
      <c r="B1986" s="413"/>
      <c r="C1986" s="414"/>
      <c r="D1986" s="414"/>
      <c r="E1986" s="50"/>
      <c r="F1986" s="403">
        <v>5301</v>
      </c>
      <c r="G1986" s="406">
        <v>17030</v>
      </c>
      <c r="H1986" s="50"/>
      <c r="I1986" s="50"/>
      <c r="J1986" s="306"/>
    </row>
    <row r="1987" spans="2:10">
      <c r="B1987" s="413"/>
      <c r="C1987" s="414"/>
      <c r="D1987" s="414"/>
      <c r="E1987" s="50"/>
      <c r="F1987" s="403">
        <v>5302</v>
      </c>
      <c r="G1987" s="406">
        <v>22016</v>
      </c>
      <c r="H1987" s="50"/>
      <c r="I1987" s="50"/>
      <c r="J1987" s="306"/>
    </row>
    <row r="1988" spans="2:10">
      <c r="B1988" s="413"/>
      <c r="C1988" s="414"/>
      <c r="D1988" s="414"/>
      <c r="E1988" s="50"/>
      <c r="F1988" s="403">
        <v>5303</v>
      </c>
      <c r="G1988" s="406">
        <v>21689</v>
      </c>
      <c r="H1988" s="50"/>
      <c r="I1988" s="50"/>
      <c r="J1988" s="306"/>
    </row>
    <row r="1989" spans="2:10">
      <c r="B1989" s="413"/>
      <c r="C1989" s="414"/>
      <c r="D1989" s="414"/>
      <c r="E1989" s="50"/>
      <c r="F1989" s="403">
        <v>5304</v>
      </c>
      <c r="G1989" s="406">
        <v>23217</v>
      </c>
      <c r="H1989" s="50"/>
      <c r="I1989" s="50"/>
      <c r="J1989" s="306"/>
    </row>
    <row r="1990" spans="2:10">
      <c r="B1990" s="413"/>
      <c r="C1990" s="414"/>
      <c r="D1990" s="414"/>
      <c r="E1990" s="50"/>
      <c r="F1990" s="403">
        <v>5306</v>
      </c>
      <c r="G1990" s="406">
        <v>16237</v>
      </c>
      <c r="H1990" s="50"/>
      <c r="I1990" s="50"/>
      <c r="J1990" s="306"/>
    </row>
    <row r="1991" spans="2:10">
      <c r="B1991" s="413"/>
      <c r="C1991" s="414"/>
      <c r="D1991" s="414"/>
      <c r="E1991" s="50"/>
      <c r="F1991" s="403">
        <v>5307</v>
      </c>
      <c r="G1991" s="406">
        <v>21601</v>
      </c>
      <c r="H1991" s="50"/>
      <c r="I1991" s="50"/>
      <c r="J1991" s="306"/>
    </row>
    <row r="1992" spans="2:10">
      <c r="B1992" s="413"/>
      <c r="C1992" s="414"/>
      <c r="D1992" s="414"/>
      <c r="E1992" s="50"/>
      <c r="F1992" s="403">
        <v>5308</v>
      </c>
      <c r="G1992" s="406">
        <v>15761</v>
      </c>
      <c r="H1992" s="50"/>
      <c r="I1992" s="50"/>
      <c r="J1992" s="306"/>
    </row>
    <row r="1993" spans="2:10">
      <c r="B1993" s="413"/>
      <c r="C1993" s="414"/>
      <c r="D1993" s="414"/>
      <c r="E1993" s="50"/>
      <c r="F1993" s="403">
        <v>5309</v>
      </c>
      <c r="G1993" s="406">
        <v>20606</v>
      </c>
      <c r="H1993" s="50"/>
      <c r="I1993" s="50"/>
      <c r="J1993" s="306"/>
    </row>
    <row r="1994" spans="2:10">
      <c r="B1994" s="413"/>
      <c r="C1994" s="414"/>
      <c r="D1994" s="414"/>
      <c r="E1994" s="50"/>
      <c r="F1994" s="403">
        <v>5310</v>
      </c>
      <c r="G1994" s="406">
        <v>18339</v>
      </c>
      <c r="H1994" s="50"/>
      <c r="I1994" s="50"/>
      <c r="J1994" s="306"/>
    </row>
    <row r="1995" spans="2:10">
      <c r="B1995" s="413"/>
      <c r="C1995" s="414"/>
      <c r="D1995" s="414"/>
      <c r="E1995" s="50"/>
      <c r="F1995" s="403">
        <v>5311</v>
      </c>
      <c r="G1995" s="406">
        <v>15657</v>
      </c>
      <c r="H1995" s="50"/>
      <c r="I1995" s="50"/>
      <c r="J1995" s="306"/>
    </row>
    <row r="1996" spans="2:10">
      <c r="B1996" s="413"/>
      <c r="C1996" s="414"/>
      <c r="D1996" s="414"/>
      <c r="E1996" s="50"/>
      <c r="F1996" s="403">
        <v>5312</v>
      </c>
      <c r="G1996" s="406">
        <v>15657</v>
      </c>
      <c r="H1996" s="50"/>
      <c r="I1996" s="50"/>
      <c r="J1996" s="306"/>
    </row>
    <row r="1997" spans="2:10">
      <c r="B1997" s="413"/>
      <c r="C1997" s="414"/>
      <c r="D1997" s="414"/>
      <c r="E1997" s="50"/>
      <c r="F1997" s="403">
        <v>5320</v>
      </c>
      <c r="G1997" s="406">
        <v>17218</v>
      </c>
      <c r="H1997" s="50"/>
      <c r="I1997" s="50"/>
      <c r="J1997" s="306"/>
    </row>
    <row r="1998" spans="2:10">
      <c r="B1998" s="413"/>
      <c r="C1998" s="414"/>
      <c r="D1998" s="414"/>
      <c r="E1998" s="50"/>
      <c r="F1998" s="403">
        <v>5321</v>
      </c>
      <c r="G1998" s="406">
        <v>16897</v>
      </c>
      <c r="H1998" s="50"/>
      <c r="I1998" s="50"/>
      <c r="J1998" s="306"/>
    </row>
    <row r="1999" spans="2:10">
      <c r="B1999" s="413"/>
      <c r="C1999" s="414"/>
      <c r="D1999" s="414"/>
      <c r="E1999" s="50"/>
      <c r="F1999" s="403">
        <v>5322</v>
      </c>
      <c r="G1999" s="406">
        <v>16857</v>
      </c>
      <c r="H1999" s="50"/>
      <c r="I1999" s="50"/>
      <c r="J1999" s="306"/>
    </row>
    <row r="2000" spans="2:10">
      <c r="B2000" s="413"/>
      <c r="C2000" s="414"/>
      <c r="D2000" s="414"/>
      <c r="E2000" s="50"/>
      <c r="F2000" s="403">
        <v>5330</v>
      </c>
      <c r="G2000" s="406">
        <v>16660</v>
      </c>
      <c r="H2000" s="50"/>
      <c r="I2000" s="50"/>
      <c r="J2000" s="306"/>
    </row>
    <row r="2001" spans="2:10">
      <c r="B2001" s="413"/>
      <c r="C2001" s="414"/>
      <c r="D2001" s="414"/>
      <c r="E2001" s="50"/>
      <c r="F2001" s="403">
        <v>5331</v>
      </c>
      <c r="G2001" s="406">
        <v>16000</v>
      </c>
      <c r="H2001" s="50"/>
      <c r="I2001" s="50"/>
      <c r="J2001" s="306"/>
    </row>
    <row r="2002" spans="2:10">
      <c r="B2002" s="413"/>
      <c r="C2002" s="414"/>
      <c r="D2002" s="414"/>
      <c r="E2002" s="50"/>
      <c r="F2002" s="403">
        <v>5332</v>
      </c>
      <c r="G2002" s="406">
        <v>16000</v>
      </c>
      <c r="H2002" s="50"/>
      <c r="I2002" s="50"/>
      <c r="J2002" s="306"/>
    </row>
    <row r="2003" spans="2:10">
      <c r="B2003" s="413"/>
      <c r="C2003" s="414"/>
      <c r="D2003" s="414"/>
      <c r="E2003" s="50"/>
      <c r="F2003" s="403">
        <v>5333</v>
      </c>
      <c r="G2003" s="406">
        <v>15657</v>
      </c>
      <c r="H2003" s="50"/>
      <c r="I2003" s="50"/>
      <c r="J2003" s="306"/>
    </row>
    <row r="2004" spans="2:10">
      <c r="B2004" s="413"/>
      <c r="C2004" s="414"/>
      <c r="D2004" s="414"/>
      <c r="E2004" s="50"/>
      <c r="F2004" s="403">
        <v>5340</v>
      </c>
      <c r="G2004" s="406">
        <v>15828</v>
      </c>
      <c r="H2004" s="50"/>
      <c r="I2004" s="50"/>
      <c r="J2004" s="306"/>
    </row>
    <row r="2005" spans="2:10">
      <c r="B2005" s="413"/>
      <c r="C2005" s="414"/>
      <c r="D2005" s="414"/>
      <c r="E2005" s="50"/>
      <c r="F2005" s="403">
        <v>5341</v>
      </c>
      <c r="G2005" s="406">
        <v>16604</v>
      </c>
      <c r="H2005" s="50"/>
      <c r="I2005" s="50"/>
      <c r="J2005" s="306"/>
    </row>
    <row r="2006" spans="2:10">
      <c r="B2006" s="413"/>
      <c r="C2006" s="414"/>
      <c r="D2006" s="414"/>
      <c r="E2006" s="50"/>
      <c r="F2006" s="403">
        <v>5342</v>
      </c>
      <c r="G2006" s="406">
        <v>15833</v>
      </c>
      <c r="H2006" s="50"/>
      <c r="I2006" s="50"/>
      <c r="J2006" s="306"/>
    </row>
    <row r="2007" spans="2:10">
      <c r="B2007" s="413"/>
      <c r="C2007" s="414"/>
      <c r="D2007" s="414"/>
      <c r="E2007" s="50"/>
      <c r="F2007" s="403">
        <v>5343</v>
      </c>
      <c r="G2007" s="406">
        <v>15756</v>
      </c>
      <c r="H2007" s="50"/>
      <c r="I2007" s="50"/>
      <c r="J2007" s="306"/>
    </row>
    <row r="2008" spans="2:10">
      <c r="B2008" s="413"/>
      <c r="C2008" s="414"/>
      <c r="D2008" s="414"/>
      <c r="E2008" s="50"/>
      <c r="F2008" s="403">
        <v>5344</v>
      </c>
      <c r="G2008" s="406">
        <v>15833</v>
      </c>
      <c r="H2008" s="50"/>
      <c r="I2008" s="50"/>
      <c r="J2008" s="306"/>
    </row>
    <row r="2009" spans="2:10">
      <c r="B2009" s="413"/>
      <c r="C2009" s="414"/>
      <c r="D2009" s="414"/>
      <c r="E2009" s="50"/>
      <c r="F2009" s="403">
        <v>5345</v>
      </c>
      <c r="G2009" s="406">
        <v>16000</v>
      </c>
      <c r="H2009" s="50"/>
      <c r="I2009" s="50"/>
      <c r="J2009" s="306"/>
    </row>
    <row r="2010" spans="2:10">
      <c r="B2010" s="413"/>
      <c r="C2010" s="414"/>
      <c r="D2010" s="414"/>
      <c r="E2010" s="50"/>
      <c r="F2010" s="403">
        <v>5346</v>
      </c>
      <c r="G2010" s="406">
        <v>16000</v>
      </c>
      <c r="H2010" s="50"/>
      <c r="I2010" s="50"/>
      <c r="J2010" s="306"/>
    </row>
    <row r="2011" spans="2:10">
      <c r="B2011" s="413"/>
      <c r="C2011" s="414"/>
      <c r="D2011" s="414"/>
      <c r="E2011" s="50"/>
      <c r="F2011" s="403">
        <v>5350</v>
      </c>
      <c r="G2011" s="406">
        <v>15667</v>
      </c>
      <c r="H2011" s="50"/>
      <c r="I2011" s="50"/>
      <c r="J2011" s="306"/>
    </row>
    <row r="2012" spans="2:10">
      <c r="B2012" s="413"/>
      <c r="C2012" s="414"/>
      <c r="D2012" s="414"/>
      <c r="E2012" s="50"/>
      <c r="F2012" s="403">
        <v>5351</v>
      </c>
      <c r="G2012" s="406">
        <v>15043</v>
      </c>
      <c r="H2012" s="50"/>
      <c r="I2012" s="50"/>
      <c r="J2012" s="306"/>
    </row>
    <row r="2013" spans="2:10">
      <c r="B2013" s="413"/>
      <c r="C2013" s="414"/>
      <c r="D2013" s="414"/>
      <c r="E2013" s="50"/>
      <c r="F2013" s="403">
        <v>5352</v>
      </c>
      <c r="G2013" s="406">
        <v>16661</v>
      </c>
      <c r="H2013" s="50"/>
      <c r="I2013" s="50"/>
      <c r="J2013" s="306"/>
    </row>
    <row r="2014" spans="2:10">
      <c r="B2014" s="413"/>
      <c r="C2014" s="414"/>
      <c r="D2014" s="414"/>
      <c r="E2014" s="50"/>
      <c r="F2014" s="403">
        <v>5353</v>
      </c>
      <c r="G2014" s="406">
        <v>16133</v>
      </c>
      <c r="H2014" s="50"/>
      <c r="I2014" s="50"/>
      <c r="J2014" s="306"/>
    </row>
    <row r="2015" spans="2:10">
      <c r="B2015" s="413"/>
      <c r="C2015" s="414"/>
      <c r="D2015" s="414"/>
      <c r="E2015" s="50"/>
      <c r="F2015" s="403">
        <v>5354</v>
      </c>
      <c r="G2015" s="406">
        <v>16138</v>
      </c>
      <c r="H2015" s="50"/>
      <c r="I2015" s="50"/>
      <c r="J2015" s="306"/>
    </row>
    <row r="2016" spans="2:10">
      <c r="B2016" s="413"/>
      <c r="C2016" s="414"/>
      <c r="D2016" s="414"/>
      <c r="E2016" s="50"/>
      <c r="F2016" s="403">
        <v>5355</v>
      </c>
      <c r="G2016" s="406">
        <v>17133</v>
      </c>
      <c r="H2016" s="50"/>
      <c r="I2016" s="50"/>
      <c r="J2016" s="306"/>
    </row>
    <row r="2017" spans="2:10">
      <c r="B2017" s="413"/>
      <c r="C2017" s="414"/>
      <c r="D2017" s="414"/>
      <c r="E2017" s="50"/>
      <c r="F2017" s="403">
        <v>5356</v>
      </c>
      <c r="G2017" s="406">
        <v>17175</v>
      </c>
      <c r="H2017" s="50"/>
      <c r="I2017" s="50"/>
      <c r="J2017" s="306"/>
    </row>
    <row r="2018" spans="2:10">
      <c r="B2018" s="413"/>
      <c r="C2018" s="414"/>
      <c r="D2018" s="414"/>
      <c r="E2018" s="50"/>
      <c r="F2018" s="403">
        <v>5357</v>
      </c>
      <c r="G2018" s="406">
        <v>17410</v>
      </c>
      <c r="H2018" s="50"/>
      <c r="I2018" s="50"/>
      <c r="J2018" s="306"/>
    </row>
    <row r="2019" spans="2:10">
      <c r="B2019" s="413"/>
      <c r="C2019" s="414"/>
      <c r="D2019" s="414"/>
      <c r="E2019" s="50"/>
      <c r="F2019" s="403">
        <v>5360</v>
      </c>
      <c r="G2019" s="406">
        <v>17133</v>
      </c>
      <c r="H2019" s="50"/>
      <c r="I2019" s="50"/>
      <c r="J2019" s="306"/>
    </row>
    <row r="2020" spans="2:10">
      <c r="B2020" s="413"/>
      <c r="C2020" s="414"/>
      <c r="D2020" s="414"/>
      <c r="E2020" s="50"/>
      <c r="F2020" s="403">
        <v>5371</v>
      </c>
      <c r="G2020" s="406">
        <v>17069</v>
      </c>
      <c r="H2020" s="50"/>
      <c r="I2020" s="50"/>
      <c r="J2020" s="306"/>
    </row>
    <row r="2021" spans="2:10">
      <c r="B2021" s="413"/>
      <c r="C2021" s="414"/>
      <c r="D2021" s="414"/>
      <c r="E2021" s="50"/>
      <c r="F2021" s="403">
        <v>5372</v>
      </c>
      <c r="G2021" s="406">
        <v>17168</v>
      </c>
      <c r="H2021" s="50"/>
      <c r="I2021" s="50"/>
      <c r="J2021" s="306"/>
    </row>
    <row r="2022" spans="2:10">
      <c r="B2022" s="413"/>
      <c r="C2022" s="414"/>
      <c r="D2022" s="414"/>
      <c r="E2022" s="50"/>
      <c r="F2022" s="403">
        <v>5373</v>
      </c>
      <c r="G2022" s="406">
        <v>17265</v>
      </c>
      <c r="H2022" s="50"/>
      <c r="I2022" s="50"/>
      <c r="J2022" s="306"/>
    </row>
    <row r="2023" spans="2:10">
      <c r="B2023" s="413"/>
      <c r="C2023" s="414"/>
      <c r="D2023" s="414"/>
      <c r="E2023" s="50"/>
      <c r="F2023" s="403">
        <v>5374</v>
      </c>
      <c r="G2023" s="406">
        <v>17598</v>
      </c>
      <c r="H2023" s="50"/>
      <c r="I2023" s="50"/>
      <c r="J2023" s="306"/>
    </row>
    <row r="2024" spans="2:10">
      <c r="B2024" s="413"/>
      <c r="C2024" s="414"/>
      <c r="D2024" s="414"/>
      <c r="E2024" s="50"/>
      <c r="F2024" s="403">
        <v>5381</v>
      </c>
      <c r="G2024" s="406">
        <v>17839</v>
      </c>
      <c r="H2024" s="50"/>
      <c r="I2024" s="50"/>
      <c r="J2024" s="306"/>
    </row>
    <row r="2025" spans="2:10">
      <c r="B2025" s="413"/>
      <c r="C2025" s="414"/>
      <c r="D2025" s="414"/>
      <c r="E2025" s="50"/>
      <c r="F2025" s="403">
        <v>5400</v>
      </c>
      <c r="G2025" s="406">
        <v>17181</v>
      </c>
      <c r="H2025" s="50"/>
      <c r="I2025" s="50"/>
      <c r="J2025" s="306"/>
    </row>
    <row r="2026" spans="2:10">
      <c r="B2026" s="413"/>
      <c r="C2026" s="414"/>
      <c r="D2026" s="414"/>
      <c r="E2026" s="50"/>
      <c r="F2026" s="403">
        <v>5401</v>
      </c>
      <c r="G2026" s="406">
        <v>19546</v>
      </c>
      <c r="H2026" s="50"/>
      <c r="I2026" s="50"/>
      <c r="J2026" s="306"/>
    </row>
    <row r="2027" spans="2:10">
      <c r="B2027" s="413"/>
      <c r="C2027" s="414"/>
      <c r="D2027" s="414"/>
      <c r="E2027" s="50"/>
      <c r="F2027" s="403">
        <v>5410</v>
      </c>
      <c r="G2027" s="406">
        <v>17513</v>
      </c>
      <c r="H2027" s="50"/>
      <c r="I2027" s="50"/>
      <c r="J2027" s="306"/>
    </row>
    <row r="2028" spans="2:10">
      <c r="B2028" s="413"/>
      <c r="C2028" s="414"/>
      <c r="D2028" s="414"/>
      <c r="E2028" s="50"/>
      <c r="F2028" s="403">
        <v>5411</v>
      </c>
      <c r="G2028" s="406">
        <v>17786</v>
      </c>
      <c r="H2028" s="50"/>
      <c r="I2028" s="50"/>
      <c r="J2028" s="306"/>
    </row>
    <row r="2029" spans="2:10">
      <c r="B2029" s="413"/>
      <c r="C2029" s="414"/>
      <c r="D2029" s="414"/>
      <c r="E2029" s="50"/>
      <c r="F2029" s="403">
        <v>5412</v>
      </c>
      <c r="G2029" s="406">
        <v>17809</v>
      </c>
      <c r="H2029" s="50"/>
      <c r="I2029" s="50"/>
      <c r="J2029" s="306"/>
    </row>
    <row r="2030" spans="2:10">
      <c r="B2030" s="413"/>
      <c r="C2030" s="414"/>
      <c r="D2030" s="414"/>
      <c r="E2030" s="50"/>
      <c r="F2030" s="403">
        <v>5413</v>
      </c>
      <c r="G2030" s="406">
        <v>17560</v>
      </c>
      <c r="H2030" s="50"/>
      <c r="I2030" s="50"/>
      <c r="J2030" s="306"/>
    </row>
    <row r="2031" spans="2:10">
      <c r="B2031" s="413"/>
      <c r="C2031" s="414"/>
      <c r="D2031" s="414"/>
      <c r="E2031" s="50"/>
      <c r="F2031" s="403">
        <v>5414</v>
      </c>
      <c r="G2031" s="406">
        <v>15761</v>
      </c>
      <c r="H2031" s="50"/>
      <c r="I2031" s="50"/>
      <c r="J2031" s="306"/>
    </row>
    <row r="2032" spans="2:10">
      <c r="B2032" s="413"/>
      <c r="C2032" s="414"/>
      <c r="D2032" s="414"/>
      <c r="E2032" s="50"/>
      <c r="F2032" s="403">
        <v>5415</v>
      </c>
      <c r="G2032" s="406">
        <v>15761</v>
      </c>
      <c r="H2032" s="50"/>
      <c r="I2032" s="50"/>
      <c r="J2032" s="306"/>
    </row>
    <row r="2033" spans="2:10">
      <c r="B2033" s="413"/>
      <c r="C2033" s="414"/>
      <c r="D2033" s="414"/>
      <c r="E2033" s="50"/>
      <c r="F2033" s="403">
        <v>5416</v>
      </c>
      <c r="G2033" s="406">
        <v>15373</v>
      </c>
      <c r="H2033" s="50"/>
      <c r="I2033" s="50"/>
      <c r="J2033" s="306"/>
    </row>
    <row r="2034" spans="2:10">
      <c r="B2034" s="413"/>
      <c r="C2034" s="414"/>
      <c r="D2034" s="414"/>
      <c r="E2034" s="50"/>
      <c r="F2034" s="403">
        <v>5417</v>
      </c>
      <c r="G2034" s="406">
        <v>17044</v>
      </c>
      <c r="H2034" s="50"/>
      <c r="I2034" s="50"/>
      <c r="J2034" s="306"/>
    </row>
    <row r="2035" spans="2:10">
      <c r="B2035" s="413"/>
      <c r="C2035" s="414"/>
      <c r="D2035" s="414"/>
      <c r="E2035" s="50"/>
      <c r="F2035" s="403">
        <v>5418</v>
      </c>
      <c r="G2035" s="406">
        <v>17417</v>
      </c>
      <c r="H2035" s="50"/>
      <c r="I2035" s="50"/>
      <c r="J2035" s="306"/>
    </row>
    <row r="2036" spans="2:10">
      <c r="B2036" s="413"/>
      <c r="C2036" s="414"/>
      <c r="D2036" s="414"/>
      <c r="E2036" s="50"/>
      <c r="F2036" s="403">
        <v>5419</v>
      </c>
      <c r="G2036" s="406">
        <v>17417</v>
      </c>
      <c r="H2036" s="50"/>
      <c r="I2036" s="50"/>
      <c r="J2036" s="306"/>
    </row>
    <row r="2037" spans="2:10">
      <c r="B2037" s="413"/>
      <c r="C2037" s="414"/>
      <c r="D2037" s="414"/>
      <c r="E2037" s="50"/>
      <c r="F2037" s="403">
        <v>5420</v>
      </c>
      <c r="G2037" s="406">
        <v>17568</v>
      </c>
      <c r="H2037" s="50"/>
      <c r="I2037" s="50"/>
      <c r="J2037" s="306"/>
    </row>
    <row r="2038" spans="2:10">
      <c r="B2038" s="413"/>
      <c r="C2038" s="414"/>
      <c r="D2038" s="414"/>
      <c r="E2038" s="50"/>
      <c r="F2038" s="403">
        <v>5421</v>
      </c>
      <c r="G2038" s="406">
        <v>17568</v>
      </c>
      <c r="H2038" s="50"/>
      <c r="I2038" s="50"/>
      <c r="J2038" s="306"/>
    </row>
    <row r="2039" spans="2:10">
      <c r="B2039" s="413"/>
      <c r="C2039" s="414"/>
      <c r="D2039" s="414"/>
      <c r="E2039" s="50"/>
      <c r="F2039" s="403">
        <v>5422</v>
      </c>
      <c r="G2039" s="406">
        <v>16963</v>
      </c>
      <c r="H2039" s="50"/>
      <c r="I2039" s="50"/>
      <c r="J2039" s="306"/>
    </row>
    <row r="2040" spans="2:10">
      <c r="B2040" s="413"/>
      <c r="C2040" s="414"/>
      <c r="D2040" s="414"/>
      <c r="E2040" s="50"/>
      <c r="F2040" s="403">
        <v>5431</v>
      </c>
      <c r="G2040" s="406">
        <v>15592</v>
      </c>
      <c r="H2040" s="50"/>
      <c r="I2040" s="50"/>
      <c r="J2040" s="306"/>
    </row>
    <row r="2041" spans="2:10">
      <c r="B2041" s="413"/>
      <c r="C2041" s="414"/>
      <c r="D2041" s="414"/>
      <c r="E2041" s="50"/>
      <c r="F2041" s="403">
        <v>5432</v>
      </c>
      <c r="G2041" s="406">
        <v>15732</v>
      </c>
      <c r="H2041" s="50"/>
      <c r="I2041" s="50"/>
      <c r="J2041" s="306"/>
    </row>
    <row r="2042" spans="2:10">
      <c r="B2042" s="413"/>
      <c r="C2042" s="414"/>
      <c r="D2042" s="414"/>
      <c r="E2042" s="50"/>
      <c r="F2042" s="403">
        <v>5433</v>
      </c>
      <c r="G2042" s="406">
        <v>12741</v>
      </c>
      <c r="H2042" s="50"/>
      <c r="I2042" s="50"/>
      <c r="J2042" s="306"/>
    </row>
    <row r="2043" spans="2:10">
      <c r="B2043" s="413"/>
      <c r="C2043" s="414"/>
      <c r="D2043" s="414"/>
      <c r="E2043" s="50"/>
      <c r="F2043" s="403">
        <v>5434</v>
      </c>
      <c r="G2043" s="406">
        <v>16090</v>
      </c>
      <c r="H2043" s="50"/>
      <c r="I2043" s="50"/>
      <c r="J2043" s="306"/>
    </row>
    <row r="2044" spans="2:10">
      <c r="B2044" s="413"/>
      <c r="C2044" s="414"/>
      <c r="D2044" s="414"/>
      <c r="E2044" s="50"/>
      <c r="F2044" s="403">
        <v>5440</v>
      </c>
      <c r="G2044" s="406">
        <v>17411</v>
      </c>
      <c r="H2044" s="50"/>
      <c r="I2044" s="50"/>
      <c r="J2044" s="306"/>
    </row>
    <row r="2045" spans="2:10">
      <c r="B2045" s="413"/>
      <c r="C2045" s="414"/>
      <c r="D2045" s="414"/>
      <c r="E2045" s="50"/>
      <c r="F2045" s="403">
        <v>5451</v>
      </c>
      <c r="G2045" s="406">
        <v>15761</v>
      </c>
      <c r="H2045" s="50"/>
      <c r="I2045" s="50"/>
      <c r="J2045" s="306"/>
    </row>
    <row r="2046" spans="2:10">
      <c r="B2046" s="413"/>
      <c r="C2046" s="414"/>
      <c r="D2046" s="414"/>
      <c r="E2046" s="50"/>
      <c r="F2046" s="403">
        <v>5452</v>
      </c>
      <c r="G2046" s="406">
        <v>13804</v>
      </c>
      <c r="H2046" s="50"/>
      <c r="I2046" s="50"/>
      <c r="J2046" s="306"/>
    </row>
    <row r="2047" spans="2:10">
      <c r="B2047" s="413"/>
      <c r="C2047" s="414"/>
      <c r="D2047" s="414"/>
      <c r="E2047" s="50"/>
      <c r="F2047" s="403">
        <v>5453</v>
      </c>
      <c r="G2047" s="406">
        <v>12696</v>
      </c>
      <c r="H2047" s="50"/>
      <c r="I2047" s="50"/>
      <c r="J2047" s="306"/>
    </row>
    <row r="2048" spans="2:10">
      <c r="B2048" s="413"/>
      <c r="C2048" s="414"/>
      <c r="D2048" s="414"/>
      <c r="E2048" s="50"/>
      <c r="F2048" s="403">
        <v>5454</v>
      </c>
      <c r="G2048" s="406">
        <v>15848</v>
      </c>
      <c r="H2048" s="50"/>
      <c r="I2048" s="50"/>
      <c r="J2048" s="306"/>
    </row>
    <row r="2049" spans="2:10">
      <c r="B2049" s="413"/>
      <c r="C2049" s="414"/>
      <c r="D2049" s="414"/>
      <c r="E2049" s="50"/>
      <c r="F2049" s="403">
        <v>5455</v>
      </c>
      <c r="G2049" s="406">
        <v>13958</v>
      </c>
      <c r="H2049" s="50"/>
      <c r="I2049" s="50"/>
      <c r="J2049" s="306"/>
    </row>
    <row r="2050" spans="2:10">
      <c r="B2050" s="413"/>
      <c r="C2050" s="414"/>
      <c r="D2050" s="414"/>
      <c r="E2050" s="50"/>
      <c r="F2050" s="403">
        <v>5460</v>
      </c>
      <c r="G2050" s="406">
        <v>19765</v>
      </c>
      <c r="H2050" s="50"/>
      <c r="I2050" s="50"/>
      <c r="J2050" s="306"/>
    </row>
    <row r="2051" spans="2:10">
      <c r="B2051" s="413"/>
      <c r="C2051" s="414"/>
      <c r="D2051" s="414"/>
      <c r="E2051" s="50"/>
      <c r="F2051" s="403">
        <v>5461</v>
      </c>
      <c r="G2051" s="406">
        <v>12424</v>
      </c>
      <c r="H2051" s="50"/>
      <c r="I2051" s="50"/>
      <c r="J2051" s="306"/>
    </row>
    <row r="2052" spans="2:10">
      <c r="B2052" s="413"/>
      <c r="C2052" s="414"/>
      <c r="D2052" s="414"/>
      <c r="E2052" s="50"/>
      <c r="F2052" s="403">
        <v>5462</v>
      </c>
      <c r="G2052" s="406">
        <v>12696</v>
      </c>
      <c r="H2052" s="50"/>
      <c r="I2052" s="50"/>
      <c r="J2052" s="306"/>
    </row>
    <row r="2053" spans="2:10">
      <c r="B2053" s="413"/>
      <c r="C2053" s="414"/>
      <c r="D2053" s="414"/>
      <c r="E2053" s="50"/>
      <c r="F2053" s="403">
        <v>5464</v>
      </c>
      <c r="G2053" s="406">
        <v>13601</v>
      </c>
      <c r="H2053" s="50"/>
      <c r="I2053" s="50"/>
      <c r="J2053" s="306"/>
    </row>
    <row r="2054" spans="2:10">
      <c r="B2054" s="413"/>
      <c r="C2054" s="414"/>
      <c r="D2054" s="414"/>
      <c r="E2054" s="50"/>
      <c r="F2054" s="403">
        <v>5470</v>
      </c>
      <c r="G2054" s="406">
        <v>13652</v>
      </c>
      <c r="H2054" s="50"/>
      <c r="I2054" s="50"/>
      <c r="J2054" s="306"/>
    </row>
    <row r="2055" spans="2:10">
      <c r="B2055" s="413"/>
      <c r="C2055" s="414"/>
      <c r="D2055" s="414"/>
      <c r="E2055" s="50"/>
      <c r="F2055" s="403">
        <v>5471</v>
      </c>
      <c r="G2055" s="406">
        <v>14737</v>
      </c>
      <c r="H2055" s="50"/>
      <c r="I2055" s="50"/>
      <c r="J2055" s="306"/>
    </row>
    <row r="2056" spans="2:10">
      <c r="B2056" s="413"/>
      <c r="C2056" s="414"/>
      <c r="D2056" s="414"/>
      <c r="E2056" s="50"/>
      <c r="F2056" s="403">
        <v>5472</v>
      </c>
      <c r="G2056" s="406">
        <v>14737</v>
      </c>
      <c r="H2056" s="50"/>
      <c r="I2056" s="50"/>
      <c r="J2056" s="306"/>
    </row>
    <row r="2057" spans="2:10">
      <c r="B2057" s="413"/>
      <c r="C2057" s="414"/>
      <c r="D2057" s="414"/>
      <c r="E2057" s="50"/>
      <c r="F2057" s="403">
        <v>5473</v>
      </c>
      <c r="G2057" s="406">
        <v>13353</v>
      </c>
      <c r="H2057" s="50"/>
      <c r="I2057" s="50"/>
      <c r="J2057" s="306"/>
    </row>
    <row r="2058" spans="2:10">
      <c r="B2058" s="413"/>
      <c r="C2058" s="414"/>
      <c r="D2058" s="414"/>
      <c r="E2058" s="50"/>
      <c r="F2058" s="403">
        <v>5480</v>
      </c>
      <c r="G2058" s="406">
        <v>12766</v>
      </c>
      <c r="H2058" s="50"/>
      <c r="I2058" s="50"/>
      <c r="J2058" s="306"/>
    </row>
    <row r="2059" spans="2:10">
      <c r="B2059" s="413"/>
      <c r="C2059" s="414"/>
      <c r="D2059" s="414"/>
      <c r="E2059" s="50"/>
      <c r="F2059" s="403">
        <v>5481</v>
      </c>
      <c r="G2059" s="406">
        <v>13349</v>
      </c>
      <c r="H2059" s="50"/>
      <c r="I2059" s="50"/>
      <c r="J2059" s="306"/>
    </row>
    <row r="2060" spans="2:10">
      <c r="B2060" s="413"/>
      <c r="C2060" s="414"/>
      <c r="D2060" s="414"/>
      <c r="E2060" s="50"/>
      <c r="F2060" s="403">
        <v>5482</v>
      </c>
      <c r="G2060" s="406">
        <v>13161</v>
      </c>
      <c r="H2060" s="50"/>
      <c r="I2060" s="50"/>
      <c r="J2060" s="306"/>
    </row>
    <row r="2061" spans="2:10">
      <c r="B2061" s="413"/>
      <c r="C2061" s="414"/>
      <c r="D2061" s="414"/>
      <c r="E2061" s="50"/>
      <c r="F2061" s="403">
        <v>5483</v>
      </c>
      <c r="G2061" s="406">
        <v>12664</v>
      </c>
      <c r="H2061" s="50"/>
      <c r="I2061" s="50"/>
      <c r="J2061" s="306"/>
    </row>
    <row r="2062" spans="2:10">
      <c r="B2062" s="413"/>
      <c r="C2062" s="414"/>
      <c r="D2062" s="414"/>
      <c r="E2062" s="50"/>
      <c r="F2062" s="403">
        <v>5485</v>
      </c>
      <c r="G2062" s="406">
        <v>12741</v>
      </c>
      <c r="H2062" s="50"/>
      <c r="I2062" s="50"/>
      <c r="J2062" s="306"/>
    </row>
    <row r="2063" spans="2:10">
      <c r="B2063" s="413"/>
      <c r="C2063" s="414"/>
      <c r="D2063" s="414"/>
      <c r="E2063" s="50"/>
      <c r="F2063" s="403">
        <v>5490</v>
      </c>
      <c r="G2063" s="406">
        <v>14428</v>
      </c>
      <c r="H2063" s="50"/>
      <c r="I2063" s="50"/>
      <c r="J2063" s="306"/>
    </row>
    <row r="2064" spans="2:10">
      <c r="B2064" s="413"/>
      <c r="C2064" s="414"/>
      <c r="D2064" s="414"/>
      <c r="E2064" s="50"/>
      <c r="F2064" s="403">
        <v>5491</v>
      </c>
      <c r="G2064" s="406">
        <v>15848</v>
      </c>
      <c r="H2064" s="50"/>
      <c r="I2064" s="50"/>
      <c r="J2064" s="306"/>
    </row>
    <row r="2065" spans="2:10">
      <c r="B2065" s="413"/>
      <c r="C2065" s="414"/>
      <c r="D2065" s="414"/>
      <c r="E2065" s="50"/>
      <c r="F2065" s="403">
        <v>5493</v>
      </c>
      <c r="G2065" s="406">
        <v>16963</v>
      </c>
      <c r="H2065" s="50"/>
      <c r="I2065" s="50"/>
      <c r="J2065" s="306"/>
    </row>
    <row r="2066" spans="2:10">
      <c r="B2066" s="413"/>
      <c r="C2066" s="414"/>
      <c r="D2066" s="414"/>
      <c r="E2066" s="50"/>
      <c r="F2066" s="403">
        <v>5495</v>
      </c>
      <c r="G2066" s="406">
        <v>12663</v>
      </c>
      <c r="H2066" s="50"/>
      <c r="I2066" s="50"/>
      <c r="J2066" s="306"/>
    </row>
    <row r="2067" spans="2:10">
      <c r="B2067" s="413"/>
      <c r="C2067" s="414"/>
      <c r="D2067" s="414"/>
      <c r="E2067" s="50"/>
      <c r="F2067" s="403">
        <v>5501</v>
      </c>
      <c r="G2067" s="406">
        <v>19077</v>
      </c>
      <c r="H2067" s="50"/>
      <c r="I2067" s="50"/>
      <c r="J2067" s="306"/>
    </row>
    <row r="2068" spans="2:10">
      <c r="B2068" s="413"/>
      <c r="C2068" s="414"/>
      <c r="D2068" s="414"/>
      <c r="E2068" s="50"/>
      <c r="F2068" s="403">
        <v>5502</v>
      </c>
      <c r="G2068" s="406">
        <v>19765</v>
      </c>
      <c r="H2068" s="50"/>
      <c r="I2068" s="50"/>
      <c r="J2068" s="306"/>
    </row>
    <row r="2069" spans="2:10">
      <c r="B2069" s="413"/>
      <c r="C2069" s="414"/>
      <c r="D2069" s="414"/>
      <c r="E2069" s="50"/>
      <c r="F2069" s="403">
        <v>5510</v>
      </c>
      <c r="G2069" s="406">
        <v>13401</v>
      </c>
      <c r="H2069" s="50"/>
      <c r="I2069" s="50"/>
      <c r="J2069" s="306"/>
    </row>
    <row r="2070" spans="2:10">
      <c r="B2070" s="413"/>
      <c r="C2070" s="414"/>
      <c r="D2070" s="414"/>
      <c r="E2070" s="50"/>
      <c r="F2070" s="403">
        <v>5520</v>
      </c>
      <c r="G2070" s="406">
        <v>13687</v>
      </c>
      <c r="H2070" s="50"/>
      <c r="I2070" s="50"/>
      <c r="J2070" s="306"/>
    </row>
    <row r="2071" spans="2:10">
      <c r="B2071" s="413"/>
      <c r="C2071" s="414"/>
      <c r="D2071" s="414"/>
      <c r="E2071" s="50"/>
      <c r="F2071" s="403">
        <v>5521</v>
      </c>
      <c r="G2071" s="406">
        <v>13302</v>
      </c>
      <c r="H2071" s="50"/>
      <c r="I2071" s="50"/>
      <c r="J2071" s="306"/>
    </row>
    <row r="2072" spans="2:10">
      <c r="B2072" s="413"/>
      <c r="C2072" s="414"/>
      <c r="D2072" s="414"/>
      <c r="E2072" s="50"/>
      <c r="F2072" s="403">
        <v>5522</v>
      </c>
      <c r="G2072" s="406">
        <v>13458</v>
      </c>
      <c r="H2072" s="50"/>
      <c r="I2072" s="50"/>
      <c r="J2072" s="306"/>
    </row>
    <row r="2073" spans="2:10">
      <c r="B2073" s="413"/>
      <c r="C2073" s="414"/>
      <c r="D2073" s="414"/>
      <c r="E2073" s="50"/>
      <c r="F2073" s="403">
        <v>5523</v>
      </c>
      <c r="G2073" s="406">
        <v>12693</v>
      </c>
      <c r="H2073" s="50"/>
      <c r="I2073" s="50"/>
      <c r="J2073" s="306"/>
    </row>
    <row r="2074" spans="2:10">
      <c r="B2074" s="413"/>
      <c r="C2074" s="414"/>
      <c r="D2074" s="414"/>
      <c r="E2074" s="50"/>
      <c r="F2074" s="403">
        <v>5540</v>
      </c>
      <c r="G2074" s="406">
        <v>12693</v>
      </c>
      <c r="H2074" s="50"/>
      <c r="I2074" s="50"/>
      <c r="J2074" s="306"/>
    </row>
    <row r="2075" spans="2:10">
      <c r="B2075" s="413"/>
      <c r="C2075" s="414"/>
      <c r="D2075" s="414"/>
      <c r="E2075" s="50"/>
      <c r="F2075" s="403">
        <v>5550</v>
      </c>
      <c r="G2075" s="406">
        <v>12290</v>
      </c>
      <c r="H2075" s="50"/>
      <c r="I2075" s="50"/>
      <c r="J2075" s="306"/>
    </row>
    <row r="2076" spans="2:10">
      <c r="B2076" s="413"/>
      <c r="C2076" s="414"/>
      <c r="D2076" s="414"/>
      <c r="E2076" s="50"/>
      <c r="F2076" s="403">
        <v>5552</v>
      </c>
      <c r="G2076" s="406">
        <v>13849</v>
      </c>
      <c r="H2076" s="50"/>
      <c r="I2076" s="50"/>
      <c r="J2076" s="306"/>
    </row>
    <row r="2077" spans="2:10">
      <c r="B2077" s="413"/>
      <c r="C2077" s="414"/>
      <c r="D2077" s="414"/>
      <c r="E2077" s="50"/>
      <c r="F2077" s="403">
        <v>5554</v>
      </c>
      <c r="G2077" s="406">
        <v>13776</v>
      </c>
      <c r="H2077" s="50"/>
      <c r="I2077" s="50"/>
      <c r="J2077" s="306"/>
    </row>
    <row r="2078" spans="2:10">
      <c r="B2078" s="413"/>
      <c r="C2078" s="414"/>
      <c r="D2078" s="414"/>
      <c r="E2078" s="50"/>
      <c r="F2078" s="403">
        <v>5555</v>
      </c>
      <c r="G2078" s="406">
        <v>13732</v>
      </c>
      <c r="H2078" s="50"/>
      <c r="I2078" s="50"/>
      <c r="J2078" s="306"/>
    </row>
    <row r="2079" spans="2:10">
      <c r="B2079" s="413"/>
      <c r="C2079" s="414"/>
      <c r="D2079" s="414"/>
      <c r="E2079" s="50"/>
      <c r="F2079" s="403">
        <v>5556</v>
      </c>
      <c r="G2079" s="406">
        <v>13841</v>
      </c>
      <c r="H2079" s="50"/>
      <c r="I2079" s="50"/>
      <c r="J2079" s="306"/>
    </row>
    <row r="2080" spans="2:10">
      <c r="B2080" s="413"/>
      <c r="C2080" s="414"/>
      <c r="D2080" s="414"/>
      <c r="E2080" s="50"/>
      <c r="F2080" s="403">
        <v>5558</v>
      </c>
      <c r="G2080" s="406">
        <v>13936</v>
      </c>
      <c r="H2080" s="50"/>
      <c r="I2080" s="50"/>
      <c r="J2080" s="306"/>
    </row>
    <row r="2081" spans="2:10">
      <c r="B2081" s="413"/>
      <c r="C2081" s="414"/>
      <c r="D2081" s="414"/>
      <c r="E2081" s="50"/>
      <c r="F2081" s="403">
        <v>5560</v>
      </c>
      <c r="G2081" s="406">
        <v>13727</v>
      </c>
      <c r="H2081" s="50"/>
      <c r="I2081" s="50"/>
      <c r="J2081" s="306"/>
    </row>
    <row r="2082" spans="2:10">
      <c r="B2082" s="413"/>
      <c r="C2082" s="414"/>
      <c r="D2082" s="414"/>
      <c r="E2082" s="50"/>
      <c r="F2082" s="403">
        <v>5570</v>
      </c>
      <c r="G2082" s="406">
        <v>13413</v>
      </c>
      <c r="H2082" s="50"/>
      <c r="I2082" s="50"/>
      <c r="J2082" s="306"/>
    </row>
    <row r="2083" spans="2:10">
      <c r="B2083" s="413"/>
      <c r="C2083" s="414"/>
      <c r="D2083" s="414"/>
      <c r="E2083" s="50"/>
      <c r="F2083" s="403">
        <v>5571</v>
      </c>
      <c r="G2083" s="406">
        <v>14195</v>
      </c>
      <c r="H2083" s="50"/>
      <c r="I2083" s="50"/>
      <c r="J2083" s="306"/>
    </row>
    <row r="2084" spans="2:10">
      <c r="B2084" s="413"/>
      <c r="C2084" s="414"/>
      <c r="D2084" s="414"/>
      <c r="E2084" s="50"/>
      <c r="F2084" s="403">
        <v>5572</v>
      </c>
      <c r="G2084" s="406">
        <v>14195</v>
      </c>
      <c r="H2084" s="50"/>
      <c r="I2084" s="50"/>
      <c r="J2084" s="306"/>
    </row>
    <row r="2085" spans="2:10">
      <c r="B2085" s="413"/>
      <c r="C2085" s="414"/>
      <c r="D2085" s="414"/>
      <c r="E2085" s="50"/>
      <c r="F2085" s="403">
        <v>5573</v>
      </c>
      <c r="G2085" s="406">
        <v>14195</v>
      </c>
      <c r="H2085" s="50"/>
      <c r="I2085" s="50"/>
      <c r="J2085" s="306"/>
    </row>
    <row r="2086" spans="2:10">
      <c r="B2086" s="413"/>
      <c r="C2086" s="414"/>
      <c r="D2086" s="414"/>
      <c r="E2086" s="50"/>
      <c r="F2086" s="403">
        <v>5575</v>
      </c>
      <c r="G2086" s="406">
        <v>15029</v>
      </c>
      <c r="H2086" s="50"/>
      <c r="I2086" s="50"/>
      <c r="J2086" s="306"/>
    </row>
    <row r="2087" spans="2:10">
      <c r="B2087" s="413"/>
      <c r="C2087" s="414"/>
      <c r="D2087" s="414"/>
      <c r="E2087" s="50"/>
      <c r="F2087" s="403">
        <v>5576</v>
      </c>
      <c r="G2087" s="406">
        <v>15150</v>
      </c>
      <c r="H2087" s="50"/>
      <c r="I2087" s="50"/>
      <c r="J2087" s="306"/>
    </row>
    <row r="2088" spans="2:10">
      <c r="B2088" s="413"/>
      <c r="C2088" s="414"/>
      <c r="D2088" s="414"/>
      <c r="E2088" s="50"/>
      <c r="F2088" s="403">
        <v>5577</v>
      </c>
      <c r="G2088" s="406">
        <v>15007</v>
      </c>
      <c r="H2088" s="50"/>
      <c r="I2088" s="50"/>
      <c r="J2088" s="306"/>
    </row>
    <row r="2089" spans="2:10">
      <c r="B2089" s="413"/>
      <c r="C2089" s="414"/>
      <c r="D2089" s="414"/>
      <c r="E2089" s="50"/>
      <c r="F2089" s="403">
        <v>5580</v>
      </c>
      <c r="G2089" s="406">
        <v>14254</v>
      </c>
      <c r="H2089" s="50"/>
      <c r="I2089" s="50"/>
      <c r="J2089" s="306"/>
    </row>
    <row r="2090" spans="2:10">
      <c r="B2090" s="413"/>
      <c r="C2090" s="414"/>
      <c r="D2090" s="414"/>
      <c r="E2090" s="50"/>
      <c r="F2090" s="403">
        <v>5581</v>
      </c>
      <c r="G2090" s="406">
        <v>13837</v>
      </c>
      <c r="H2090" s="50"/>
      <c r="I2090" s="50"/>
      <c r="J2090" s="306"/>
    </row>
    <row r="2091" spans="2:10">
      <c r="B2091" s="413"/>
      <c r="C2091" s="414"/>
      <c r="D2091" s="414"/>
      <c r="E2091" s="50"/>
      <c r="F2091" s="403">
        <v>5582</v>
      </c>
      <c r="G2091" s="406">
        <v>13837</v>
      </c>
      <c r="H2091" s="50"/>
      <c r="I2091" s="50"/>
      <c r="J2091" s="306"/>
    </row>
    <row r="2092" spans="2:10">
      <c r="B2092" s="413"/>
      <c r="C2092" s="414"/>
      <c r="D2092" s="414"/>
      <c r="E2092" s="50"/>
      <c r="F2092" s="403">
        <v>5583</v>
      </c>
      <c r="G2092" s="406">
        <v>14677</v>
      </c>
      <c r="H2092" s="50"/>
      <c r="I2092" s="50"/>
      <c r="J2092" s="306"/>
    </row>
    <row r="2093" spans="2:10">
      <c r="B2093" s="413"/>
      <c r="C2093" s="414"/>
      <c r="D2093" s="414"/>
      <c r="E2093" s="50"/>
      <c r="F2093" s="403">
        <v>5600</v>
      </c>
      <c r="G2093" s="406">
        <v>12646</v>
      </c>
      <c r="H2093" s="50"/>
      <c r="I2093" s="50"/>
      <c r="J2093" s="306"/>
    </row>
    <row r="2094" spans="2:10">
      <c r="B2094" s="413"/>
      <c r="C2094" s="414"/>
      <c r="D2094" s="414"/>
      <c r="E2094" s="50"/>
      <c r="F2094" s="403">
        <v>5601</v>
      </c>
      <c r="G2094" s="406">
        <v>12654</v>
      </c>
      <c r="H2094" s="50"/>
      <c r="I2094" s="50"/>
      <c r="J2094" s="306"/>
    </row>
    <row r="2095" spans="2:10">
      <c r="B2095" s="413"/>
      <c r="C2095" s="414"/>
      <c r="D2095" s="414"/>
      <c r="E2095" s="50"/>
      <c r="F2095" s="403">
        <v>5602</v>
      </c>
      <c r="G2095" s="406">
        <v>12658</v>
      </c>
      <c r="H2095" s="50"/>
      <c r="I2095" s="50"/>
      <c r="J2095" s="306"/>
    </row>
    <row r="2096" spans="2:10">
      <c r="B2096" s="413"/>
      <c r="C2096" s="414"/>
      <c r="D2096" s="414"/>
      <c r="E2096" s="50"/>
      <c r="F2096" s="403">
        <v>5603</v>
      </c>
      <c r="G2096" s="406">
        <v>12714</v>
      </c>
      <c r="H2096" s="50"/>
      <c r="I2096" s="50"/>
      <c r="J2096" s="306"/>
    </row>
    <row r="2097" spans="2:10">
      <c r="B2097" s="413"/>
      <c r="C2097" s="414"/>
      <c r="D2097" s="414"/>
      <c r="E2097" s="50"/>
      <c r="F2097" s="403">
        <v>5604</v>
      </c>
      <c r="G2097" s="406">
        <v>13123</v>
      </c>
      <c r="H2097" s="50"/>
      <c r="I2097" s="50"/>
      <c r="J2097" s="306"/>
    </row>
    <row r="2098" spans="2:10">
      <c r="B2098" s="413"/>
      <c r="C2098" s="414"/>
      <c r="D2098" s="414"/>
      <c r="E2098" s="50"/>
      <c r="F2098" s="403">
        <v>5605</v>
      </c>
      <c r="G2098" s="406">
        <v>15036</v>
      </c>
      <c r="H2098" s="50"/>
      <c r="I2098" s="50"/>
      <c r="J2098" s="306"/>
    </row>
    <row r="2099" spans="2:10">
      <c r="B2099" s="413"/>
      <c r="C2099" s="414"/>
      <c r="D2099" s="414"/>
      <c r="E2099" s="50"/>
      <c r="F2099" s="403">
        <v>5606</v>
      </c>
      <c r="G2099" s="406">
        <v>15036</v>
      </c>
      <c r="H2099" s="50"/>
      <c r="I2099" s="50"/>
      <c r="J2099" s="306"/>
    </row>
    <row r="2100" spans="2:10">
      <c r="B2100" s="413"/>
      <c r="C2100" s="414"/>
      <c r="D2100" s="414"/>
      <c r="E2100" s="50"/>
      <c r="F2100" s="403">
        <v>5607</v>
      </c>
      <c r="G2100" s="406">
        <v>14784</v>
      </c>
      <c r="H2100" s="50"/>
      <c r="I2100" s="50"/>
      <c r="J2100" s="306"/>
    </row>
    <row r="2101" spans="2:10">
      <c r="B2101" s="413"/>
      <c r="C2101" s="414"/>
      <c r="D2101" s="414"/>
      <c r="E2101" s="50"/>
      <c r="F2101" s="403">
        <v>5608</v>
      </c>
      <c r="G2101" s="406">
        <v>12647</v>
      </c>
      <c r="H2101" s="50"/>
      <c r="I2101" s="50"/>
      <c r="J2101" s="306"/>
    </row>
    <row r="2102" spans="2:10">
      <c r="B2102" s="413"/>
      <c r="C2102" s="414"/>
      <c r="D2102" s="414"/>
      <c r="E2102" s="50"/>
      <c r="F2102" s="403">
        <v>5609</v>
      </c>
      <c r="G2102" s="406">
        <v>12647</v>
      </c>
      <c r="H2102" s="50"/>
      <c r="I2102" s="50"/>
      <c r="J2102" s="306"/>
    </row>
    <row r="2103" spans="2:10">
      <c r="B2103" s="413"/>
      <c r="C2103" s="414"/>
      <c r="D2103" s="414"/>
      <c r="E2103" s="50"/>
      <c r="F2103" s="403">
        <v>5630</v>
      </c>
      <c r="G2103" s="406">
        <v>15036</v>
      </c>
      <c r="H2103" s="50"/>
      <c r="I2103" s="50"/>
      <c r="J2103" s="306"/>
    </row>
    <row r="2104" spans="2:10">
      <c r="B2104" s="413"/>
      <c r="C2104" s="414"/>
      <c r="D2104" s="414"/>
      <c r="E2104" s="50"/>
      <c r="F2104" s="403">
        <v>5631</v>
      </c>
      <c r="G2104" s="406">
        <v>15036</v>
      </c>
      <c r="H2104" s="50"/>
      <c r="I2104" s="50"/>
      <c r="J2104" s="306"/>
    </row>
    <row r="2105" spans="2:10">
      <c r="B2105" s="413"/>
      <c r="C2105" s="414"/>
      <c r="D2105" s="414"/>
      <c r="E2105" s="50"/>
      <c r="F2105" s="403">
        <v>5632</v>
      </c>
      <c r="G2105" s="406">
        <v>15036</v>
      </c>
      <c r="H2105" s="50"/>
      <c r="I2105" s="50"/>
      <c r="J2105" s="306"/>
    </row>
    <row r="2106" spans="2:10">
      <c r="B2106" s="413"/>
      <c r="C2106" s="414"/>
      <c r="D2106" s="414"/>
      <c r="E2106" s="50"/>
      <c r="F2106" s="403">
        <v>5633</v>
      </c>
      <c r="G2106" s="406">
        <v>13094</v>
      </c>
      <c r="H2106" s="50"/>
      <c r="I2106" s="50"/>
      <c r="J2106" s="306"/>
    </row>
    <row r="2107" spans="2:10">
      <c r="B2107" s="413"/>
      <c r="C2107" s="414"/>
      <c r="D2107" s="414"/>
      <c r="E2107" s="50"/>
      <c r="F2107" s="403">
        <v>5640</v>
      </c>
      <c r="G2107" s="406">
        <v>12730</v>
      </c>
      <c r="H2107" s="50"/>
      <c r="I2107" s="50"/>
      <c r="J2107" s="306"/>
    </row>
    <row r="2108" spans="2:10">
      <c r="B2108" s="413"/>
      <c r="C2108" s="414"/>
      <c r="D2108" s="414"/>
      <c r="E2108" s="50"/>
      <c r="F2108" s="403">
        <v>5641</v>
      </c>
      <c r="G2108" s="406">
        <v>12730</v>
      </c>
      <c r="H2108" s="50"/>
      <c r="I2108" s="50"/>
      <c r="J2108" s="306"/>
    </row>
    <row r="2109" spans="2:10">
      <c r="B2109" s="413"/>
      <c r="C2109" s="414"/>
      <c r="D2109" s="414"/>
      <c r="E2109" s="50"/>
      <c r="F2109" s="403">
        <v>5642</v>
      </c>
      <c r="G2109" s="406">
        <v>12730</v>
      </c>
      <c r="H2109" s="50"/>
      <c r="I2109" s="50"/>
      <c r="J2109" s="306"/>
    </row>
    <row r="2110" spans="2:10">
      <c r="B2110" s="413"/>
      <c r="C2110" s="414"/>
      <c r="D2110" s="414"/>
      <c r="E2110" s="50"/>
      <c r="F2110" s="403">
        <v>5650</v>
      </c>
      <c r="G2110" s="406">
        <v>12910</v>
      </c>
      <c r="H2110" s="50"/>
      <c r="I2110" s="50"/>
      <c r="J2110" s="306"/>
    </row>
    <row r="2111" spans="2:10">
      <c r="B2111" s="413"/>
      <c r="C2111" s="414"/>
      <c r="D2111" s="414"/>
      <c r="E2111" s="50"/>
      <c r="F2111" s="403">
        <v>5651</v>
      </c>
      <c r="G2111" s="406">
        <v>13072</v>
      </c>
      <c r="H2111" s="50"/>
      <c r="I2111" s="50"/>
      <c r="J2111" s="306"/>
    </row>
    <row r="2112" spans="2:10">
      <c r="B2112" s="413"/>
      <c r="C2112" s="414"/>
      <c r="D2112" s="414"/>
      <c r="E2112" s="50"/>
      <c r="F2112" s="403">
        <v>5652</v>
      </c>
      <c r="G2112" s="406">
        <v>13550</v>
      </c>
      <c r="H2112" s="50"/>
      <c r="I2112" s="50"/>
      <c r="J2112" s="306"/>
    </row>
    <row r="2113" spans="2:10">
      <c r="B2113" s="413"/>
      <c r="C2113" s="414"/>
      <c r="D2113" s="414"/>
      <c r="E2113" s="50"/>
      <c r="F2113" s="403">
        <v>5653</v>
      </c>
      <c r="G2113" s="406">
        <v>13550</v>
      </c>
      <c r="H2113" s="50"/>
      <c r="I2113" s="50"/>
      <c r="J2113" s="306"/>
    </row>
    <row r="2114" spans="2:10">
      <c r="B2114" s="413"/>
      <c r="C2114" s="414"/>
      <c r="D2114" s="414"/>
      <c r="E2114" s="50"/>
      <c r="F2114" s="403">
        <v>5654</v>
      </c>
      <c r="G2114" s="406">
        <v>13550</v>
      </c>
      <c r="H2114" s="50"/>
      <c r="I2114" s="50"/>
      <c r="J2114" s="306"/>
    </row>
    <row r="2115" spans="2:10">
      <c r="B2115" s="413"/>
      <c r="C2115" s="414"/>
      <c r="D2115" s="414"/>
      <c r="E2115" s="50"/>
      <c r="F2115" s="403">
        <v>5655</v>
      </c>
      <c r="G2115" s="406">
        <v>13708</v>
      </c>
      <c r="H2115" s="50"/>
      <c r="I2115" s="50"/>
      <c r="J2115" s="306"/>
    </row>
    <row r="2116" spans="2:10">
      <c r="B2116" s="413"/>
      <c r="C2116" s="414"/>
      <c r="D2116" s="414"/>
      <c r="E2116" s="50"/>
      <c r="F2116" s="403">
        <v>5660</v>
      </c>
      <c r="G2116" s="406">
        <v>13708</v>
      </c>
      <c r="H2116" s="50"/>
      <c r="I2116" s="50"/>
      <c r="J2116" s="306"/>
    </row>
    <row r="2117" spans="2:10">
      <c r="B2117" s="413"/>
      <c r="C2117" s="414"/>
      <c r="D2117" s="414"/>
      <c r="E2117" s="50"/>
      <c r="F2117" s="403">
        <v>5661</v>
      </c>
      <c r="G2117" s="406">
        <v>13708</v>
      </c>
      <c r="H2117" s="50"/>
      <c r="I2117" s="50"/>
      <c r="J2117" s="306"/>
    </row>
    <row r="2118" spans="2:10">
      <c r="B2118" s="413"/>
      <c r="C2118" s="414"/>
      <c r="D2118" s="414"/>
      <c r="E2118" s="50"/>
      <c r="F2118" s="403">
        <v>5670</v>
      </c>
      <c r="G2118" s="406">
        <v>13798</v>
      </c>
      <c r="H2118" s="50"/>
      <c r="I2118" s="50"/>
      <c r="J2118" s="306"/>
    </row>
    <row r="2119" spans="2:10">
      <c r="B2119" s="413"/>
      <c r="C2119" s="414"/>
      <c r="D2119" s="414"/>
      <c r="E2119" s="50"/>
      <c r="F2119" s="403">
        <v>5671</v>
      </c>
      <c r="G2119" s="406">
        <v>13798</v>
      </c>
      <c r="H2119" s="50"/>
      <c r="I2119" s="50"/>
      <c r="J2119" s="306"/>
    </row>
    <row r="2120" spans="2:10">
      <c r="B2120" s="413"/>
      <c r="C2120" s="414"/>
      <c r="D2120" s="414"/>
      <c r="E2120" s="50"/>
      <c r="F2120" s="403">
        <v>5680</v>
      </c>
      <c r="G2120" s="406">
        <v>13708</v>
      </c>
      <c r="H2120" s="50"/>
      <c r="I2120" s="50"/>
      <c r="J2120" s="306"/>
    </row>
    <row r="2121" spans="2:10">
      <c r="B2121" s="413"/>
      <c r="C2121" s="414"/>
      <c r="D2121" s="414"/>
      <c r="E2121" s="50"/>
      <c r="F2121" s="403">
        <v>5690</v>
      </c>
      <c r="G2121" s="406">
        <v>15358</v>
      </c>
      <c r="H2121" s="50"/>
      <c r="I2121" s="50"/>
      <c r="J2121" s="306"/>
    </row>
    <row r="2122" spans="2:10">
      <c r="B2122" s="413"/>
      <c r="C2122" s="414"/>
      <c r="D2122" s="414"/>
      <c r="E2122" s="50"/>
      <c r="F2122" s="403">
        <v>5700</v>
      </c>
      <c r="G2122" s="406">
        <v>12646</v>
      </c>
      <c r="H2122" s="50"/>
      <c r="I2122" s="50"/>
      <c r="J2122" s="306"/>
    </row>
    <row r="2123" spans="2:10">
      <c r="B2123" s="413"/>
      <c r="C2123" s="414"/>
      <c r="D2123" s="414"/>
      <c r="E2123" s="50"/>
      <c r="F2123" s="403">
        <v>5710</v>
      </c>
      <c r="G2123" s="406">
        <v>17076</v>
      </c>
      <c r="H2123" s="50"/>
      <c r="I2123" s="50"/>
      <c r="J2123" s="306"/>
    </row>
    <row r="2124" spans="2:10">
      <c r="B2124" s="413"/>
      <c r="C2124" s="414"/>
      <c r="D2124" s="414"/>
      <c r="E2124" s="50"/>
      <c r="F2124" s="403">
        <v>5720</v>
      </c>
      <c r="G2124" s="406">
        <v>17076</v>
      </c>
      <c r="H2124" s="50"/>
      <c r="I2124" s="50"/>
      <c r="J2124" s="306"/>
    </row>
    <row r="2125" spans="2:10">
      <c r="B2125" s="413"/>
      <c r="C2125" s="414"/>
      <c r="D2125" s="414"/>
      <c r="E2125" s="50"/>
      <c r="F2125" s="403">
        <v>5722</v>
      </c>
      <c r="G2125" s="406">
        <v>15387</v>
      </c>
      <c r="H2125" s="50"/>
      <c r="I2125" s="50"/>
      <c r="J2125" s="306"/>
    </row>
    <row r="2126" spans="2:10">
      <c r="B2126" s="413"/>
      <c r="C2126" s="414"/>
      <c r="D2126" s="414"/>
      <c r="E2126" s="50"/>
      <c r="F2126" s="403">
        <v>5723</v>
      </c>
      <c r="G2126" s="406">
        <v>17076</v>
      </c>
      <c r="H2126" s="50"/>
      <c r="I2126" s="50"/>
      <c r="J2126" s="306"/>
    </row>
    <row r="2127" spans="2:10">
      <c r="B2127" s="413"/>
      <c r="C2127" s="414"/>
      <c r="D2127" s="414"/>
      <c r="E2127" s="50"/>
      <c r="F2127" s="403">
        <v>5724</v>
      </c>
      <c r="G2127" s="406">
        <v>17412</v>
      </c>
      <c r="H2127" s="50"/>
      <c r="I2127" s="50"/>
      <c r="J2127" s="306"/>
    </row>
    <row r="2128" spans="2:10">
      <c r="B2128" s="413"/>
      <c r="C2128" s="414"/>
      <c r="D2128" s="414"/>
      <c r="E2128" s="50"/>
      <c r="F2128" s="403">
        <v>5725</v>
      </c>
      <c r="G2128" s="406">
        <v>17076</v>
      </c>
      <c r="H2128" s="50"/>
      <c r="I2128" s="50"/>
      <c r="J2128" s="306"/>
    </row>
    <row r="2129" spans="2:10">
      <c r="B2129" s="413"/>
      <c r="C2129" s="414"/>
      <c r="D2129" s="414"/>
      <c r="E2129" s="50"/>
      <c r="F2129" s="403">
        <v>5730</v>
      </c>
      <c r="G2129" s="406">
        <v>16510</v>
      </c>
      <c r="H2129" s="50"/>
      <c r="I2129" s="50"/>
      <c r="J2129" s="306"/>
    </row>
    <row r="2130" spans="2:10">
      <c r="B2130" s="413"/>
      <c r="C2130" s="414"/>
      <c r="D2130" s="414"/>
      <c r="E2130" s="50"/>
      <c r="F2130" s="403">
        <v>5731</v>
      </c>
      <c r="G2130" s="406">
        <v>17507</v>
      </c>
      <c r="H2130" s="50"/>
      <c r="I2130" s="50"/>
      <c r="J2130" s="306"/>
    </row>
    <row r="2131" spans="2:10">
      <c r="B2131" s="413"/>
      <c r="C2131" s="414"/>
      <c r="D2131" s="414"/>
      <c r="E2131" s="50"/>
      <c r="F2131" s="403">
        <v>5732</v>
      </c>
      <c r="G2131" s="406">
        <v>16510</v>
      </c>
      <c r="H2131" s="50"/>
      <c r="I2131" s="50"/>
      <c r="J2131" s="306"/>
    </row>
    <row r="2132" spans="2:10">
      <c r="B2132" s="413"/>
      <c r="C2132" s="414"/>
      <c r="D2132" s="414"/>
      <c r="E2132" s="50"/>
      <c r="F2132" s="403">
        <v>5733</v>
      </c>
      <c r="G2132" s="406">
        <v>16227</v>
      </c>
      <c r="H2132" s="50"/>
      <c r="I2132" s="50"/>
      <c r="J2132" s="306"/>
    </row>
    <row r="2133" spans="2:10">
      <c r="B2133" s="413"/>
      <c r="C2133" s="414"/>
      <c r="D2133" s="414"/>
      <c r="E2133" s="50"/>
      <c r="F2133" s="403">
        <v>5734</v>
      </c>
      <c r="G2133" s="406">
        <v>17443</v>
      </c>
      <c r="H2133" s="50"/>
      <c r="I2133" s="50"/>
      <c r="J2133" s="306"/>
    </row>
    <row r="2134" spans="2:10">
      <c r="B2134" s="413"/>
      <c r="C2134" s="414"/>
      <c r="D2134" s="414"/>
      <c r="E2134" s="50"/>
      <c r="F2134" s="403">
        <v>5950</v>
      </c>
      <c r="G2134" s="406">
        <v>10687</v>
      </c>
      <c r="H2134" s="50"/>
      <c r="I2134" s="50"/>
      <c r="J2134" s="306"/>
    </row>
    <row r="2135" spans="2:10">
      <c r="B2135" s="413"/>
      <c r="C2135" s="414"/>
      <c r="D2135" s="414"/>
      <c r="E2135" s="50"/>
      <c r="F2135" s="403">
        <v>6000</v>
      </c>
      <c r="G2135" s="406">
        <v>13774</v>
      </c>
      <c r="H2135" s="50"/>
      <c r="I2135" s="50"/>
      <c r="J2135" s="306"/>
    </row>
    <row r="2136" spans="2:10">
      <c r="B2136" s="413"/>
      <c r="C2136" s="414"/>
      <c r="D2136" s="414"/>
      <c r="E2136" s="50"/>
      <c r="F2136" s="403">
        <v>6003</v>
      </c>
      <c r="G2136" s="406">
        <v>13494</v>
      </c>
      <c r="H2136" s="50"/>
      <c r="I2136" s="50"/>
      <c r="J2136" s="306"/>
    </row>
    <row r="2137" spans="2:10">
      <c r="B2137" s="413"/>
      <c r="C2137" s="414"/>
      <c r="D2137" s="414"/>
      <c r="E2137" s="50"/>
      <c r="F2137" s="403">
        <v>6004</v>
      </c>
      <c r="G2137" s="406">
        <v>14215</v>
      </c>
      <c r="H2137" s="50"/>
      <c r="I2137" s="50"/>
      <c r="J2137" s="306"/>
    </row>
    <row r="2138" spans="2:10">
      <c r="B2138" s="413"/>
      <c r="C2138" s="414"/>
      <c r="D2138" s="414"/>
      <c r="E2138" s="50"/>
      <c r="F2138" s="403">
        <v>6005</v>
      </c>
      <c r="G2138" s="406">
        <v>13001</v>
      </c>
      <c r="H2138" s="50"/>
      <c r="I2138" s="50"/>
      <c r="J2138" s="306"/>
    </row>
    <row r="2139" spans="2:10">
      <c r="B2139" s="413"/>
      <c r="C2139" s="414"/>
      <c r="D2139" s="414"/>
      <c r="E2139" s="50"/>
      <c r="F2139" s="403">
        <v>6006</v>
      </c>
      <c r="G2139" s="406">
        <v>13794</v>
      </c>
      <c r="H2139" s="50"/>
      <c r="I2139" s="50"/>
      <c r="J2139" s="306"/>
    </row>
    <row r="2140" spans="2:10">
      <c r="B2140" s="413"/>
      <c r="C2140" s="414"/>
      <c r="D2140" s="414"/>
      <c r="E2140" s="50"/>
      <c r="F2140" s="403">
        <v>6007</v>
      </c>
      <c r="G2140" s="406">
        <v>12693</v>
      </c>
      <c r="H2140" s="50"/>
      <c r="I2140" s="50"/>
      <c r="J2140" s="306"/>
    </row>
    <row r="2141" spans="2:10">
      <c r="B2141" s="413"/>
      <c r="C2141" s="414"/>
      <c r="D2141" s="414"/>
      <c r="E2141" s="50"/>
      <c r="F2141" s="403">
        <v>6008</v>
      </c>
      <c r="G2141" s="406">
        <v>12303</v>
      </c>
      <c r="H2141" s="50"/>
      <c r="I2141" s="50"/>
      <c r="J2141" s="306"/>
    </row>
    <row r="2142" spans="2:10">
      <c r="B2142" s="413"/>
      <c r="C2142" s="414"/>
      <c r="D2142" s="414"/>
      <c r="E2142" s="50"/>
      <c r="F2142" s="403">
        <v>6009</v>
      </c>
      <c r="G2142" s="406">
        <v>12116</v>
      </c>
      <c r="H2142" s="50"/>
      <c r="I2142" s="50"/>
      <c r="J2142" s="306"/>
    </row>
    <row r="2143" spans="2:10">
      <c r="B2143" s="413"/>
      <c r="C2143" s="414"/>
      <c r="D2143" s="414"/>
      <c r="E2143" s="50"/>
      <c r="F2143" s="403">
        <v>6010</v>
      </c>
      <c r="G2143" s="406">
        <v>12183</v>
      </c>
      <c r="H2143" s="50"/>
      <c r="I2143" s="50"/>
      <c r="J2143" s="306"/>
    </row>
    <row r="2144" spans="2:10">
      <c r="B2144" s="413"/>
      <c r="C2144" s="414"/>
      <c r="D2144" s="414"/>
      <c r="E2144" s="50"/>
      <c r="F2144" s="403">
        <v>6011</v>
      </c>
      <c r="G2144" s="406">
        <v>11898</v>
      </c>
      <c r="H2144" s="50"/>
      <c r="I2144" s="50"/>
      <c r="J2144" s="306"/>
    </row>
    <row r="2145" spans="2:10">
      <c r="B2145" s="413"/>
      <c r="C2145" s="414"/>
      <c r="D2145" s="414"/>
      <c r="E2145" s="50"/>
      <c r="F2145" s="403">
        <v>6012</v>
      </c>
      <c r="G2145" s="406">
        <v>12148</v>
      </c>
      <c r="H2145" s="50"/>
      <c r="I2145" s="50"/>
      <c r="J2145" s="306"/>
    </row>
    <row r="2146" spans="2:10">
      <c r="B2146" s="413"/>
      <c r="C2146" s="414"/>
      <c r="D2146" s="414"/>
      <c r="E2146" s="50"/>
      <c r="F2146" s="403">
        <v>6014</v>
      </c>
      <c r="G2146" s="406">
        <v>12606</v>
      </c>
      <c r="H2146" s="50"/>
      <c r="I2146" s="50"/>
      <c r="J2146" s="306"/>
    </row>
    <row r="2147" spans="2:10">
      <c r="B2147" s="413"/>
      <c r="C2147" s="414"/>
      <c r="D2147" s="414"/>
      <c r="E2147" s="50"/>
      <c r="F2147" s="403">
        <v>6015</v>
      </c>
      <c r="G2147" s="406">
        <v>12863</v>
      </c>
      <c r="H2147" s="50"/>
      <c r="I2147" s="50"/>
      <c r="J2147" s="306"/>
    </row>
    <row r="2148" spans="2:10">
      <c r="B2148" s="413"/>
      <c r="C2148" s="414"/>
      <c r="D2148" s="414"/>
      <c r="E2148" s="50"/>
      <c r="F2148" s="403">
        <v>6016</v>
      </c>
      <c r="G2148" s="406">
        <v>13475</v>
      </c>
      <c r="H2148" s="50"/>
      <c r="I2148" s="50"/>
      <c r="J2148" s="306"/>
    </row>
    <row r="2149" spans="2:10">
      <c r="B2149" s="413"/>
      <c r="C2149" s="414"/>
      <c r="D2149" s="414"/>
      <c r="E2149" s="50"/>
      <c r="F2149" s="403">
        <v>6017</v>
      </c>
      <c r="G2149" s="406">
        <v>13418</v>
      </c>
      <c r="H2149" s="50"/>
      <c r="I2149" s="50"/>
      <c r="J2149" s="306"/>
    </row>
    <row r="2150" spans="2:10">
      <c r="B2150" s="413"/>
      <c r="C2150" s="414"/>
      <c r="D2150" s="414"/>
      <c r="E2150" s="50"/>
      <c r="F2150" s="403">
        <v>6018</v>
      </c>
      <c r="G2150" s="406">
        <v>13953</v>
      </c>
      <c r="H2150" s="50"/>
      <c r="I2150" s="50"/>
      <c r="J2150" s="306"/>
    </row>
    <row r="2151" spans="2:10">
      <c r="B2151" s="413"/>
      <c r="C2151" s="414"/>
      <c r="D2151" s="414"/>
      <c r="E2151" s="50"/>
      <c r="F2151" s="403">
        <v>6019</v>
      </c>
      <c r="G2151" s="406">
        <v>13399</v>
      </c>
      <c r="H2151" s="50"/>
      <c r="I2151" s="50"/>
      <c r="J2151" s="306"/>
    </row>
    <row r="2152" spans="2:10">
      <c r="B2152" s="413"/>
      <c r="C2152" s="414"/>
      <c r="D2152" s="414"/>
      <c r="E2152" s="50"/>
      <c r="F2152" s="403">
        <v>6020</v>
      </c>
      <c r="G2152" s="406">
        <v>13321</v>
      </c>
      <c r="H2152" s="50"/>
      <c r="I2152" s="50"/>
      <c r="J2152" s="306"/>
    </row>
    <row r="2153" spans="2:10">
      <c r="B2153" s="413"/>
      <c r="C2153" s="414"/>
      <c r="D2153" s="414"/>
      <c r="E2153" s="50"/>
      <c r="F2153" s="403">
        <v>6021</v>
      </c>
      <c r="G2153" s="406">
        <v>14224</v>
      </c>
      <c r="H2153" s="50"/>
      <c r="I2153" s="50"/>
      <c r="J2153" s="306"/>
    </row>
    <row r="2154" spans="2:10">
      <c r="B2154" s="413"/>
      <c r="C2154" s="414"/>
      <c r="D2154" s="414"/>
      <c r="E2154" s="50"/>
      <c r="F2154" s="403">
        <v>6022</v>
      </c>
      <c r="G2154" s="406">
        <v>13519</v>
      </c>
      <c r="H2154" s="50"/>
      <c r="I2154" s="50"/>
      <c r="J2154" s="306"/>
    </row>
    <row r="2155" spans="2:10">
      <c r="B2155" s="413"/>
      <c r="C2155" s="414"/>
      <c r="D2155" s="414"/>
      <c r="E2155" s="50"/>
      <c r="F2155" s="403">
        <v>6023</v>
      </c>
      <c r="G2155" s="406">
        <v>13295</v>
      </c>
      <c r="H2155" s="50"/>
      <c r="I2155" s="50"/>
      <c r="J2155" s="306"/>
    </row>
    <row r="2156" spans="2:10">
      <c r="B2156" s="413"/>
      <c r="C2156" s="414"/>
      <c r="D2156" s="414"/>
      <c r="E2156" s="50"/>
      <c r="F2156" s="403">
        <v>6024</v>
      </c>
      <c r="G2156" s="406">
        <v>13321</v>
      </c>
      <c r="H2156" s="50"/>
      <c r="I2156" s="50"/>
      <c r="J2156" s="306"/>
    </row>
    <row r="2157" spans="2:10">
      <c r="B2157" s="413"/>
      <c r="C2157" s="414"/>
      <c r="D2157" s="414"/>
      <c r="E2157" s="50"/>
      <c r="F2157" s="403">
        <v>6025</v>
      </c>
      <c r="G2157" s="406">
        <v>13351</v>
      </c>
      <c r="H2157" s="50"/>
      <c r="I2157" s="50"/>
      <c r="J2157" s="306"/>
    </row>
    <row r="2158" spans="2:10">
      <c r="B2158" s="413"/>
      <c r="C2158" s="414"/>
      <c r="D2158" s="414"/>
      <c r="E2158" s="50"/>
      <c r="F2158" s="403">
        <v>6026</v>
      </c>
      <c r="G2158" s="406">
        <v>13367</v>
      </c>
      <c r="H2158" s="50"/>
      <c r="I2158" s="50"/>
      <c r="J2158" s="306"/>
    </row>
    <row r="2159" spans="2:10">
      <c r="B2159" s="413"/>
      <c r="C2159" s="414"/>
      <c r="D2159" s="414"/>
      <c r="E2159" s="50"/>
      <c r="F2159" s="403">
        <v>6027</v>
      </c>
      <c r="G2159" s="406">
        <v>13505</v>
      </c>
      <c r="H2159" s="50"/>
      <c r="I2159" s="50"/>
      <c r="J2159" s="306"/>
    </row>
    <row r="2160" spans="2:10">
      <c r="B2160" s="413"/>
      <c r="C2160" s="414"/>
      <c r="D2160" s="414"/>
      <c r="E2160" s="50"/>
      <c r="F2160" s="403">
        <v>6028</v>
      </c>
      <c r="G2160" s="406">
        <v>13740</v>
      </c>
      <c r="H2160" s="50"/>
      <c r="I2160" s="50"/>
      <c r="J2160" s="306"/>
    </row>
    <row r="2161" spans="2:10">
      <c r="B2161" s="413"/>
      <c r="C2161" s="414"/>
      <c r="D2161" s="414"/>
      <c r="E2161" s="50"/>
      <c r="F2161" s="403">
        <v>6029</v>
      </c>
      <c r="G2161" s="406">
        <v>13983</v>
      </c>
      <c r="H2161" s="50"/>
      <c r="I2161" s="50"/>
      <c r="J2161" s="306"/>
    </row>
    <row r="2162" spans="2:10">
      <c r="B2162" s="413"/>
      <c r="C2162" s="414"/>
      <c r="D2162" s="414"/>
      <c r="E2162" s="50"/>
      <c r="F2162" s="403">
        <v>6030</v>
      </c>
      <c r="G2162" s="406">
        <v>14006</v>
      </c>
      <c r="H2162" s="50"/>
      <c r="I2162" s="50"/>
      <c r="J2162" s="306"/>
    </row>
    <row r="2163" spans="2:10">
      <c r="B2163" s="413"/>
      <c r="C2163" s="414"/>
      <c r="D2163" s="414"/>
      <c r="E2163" s="50"/>
      <c r="F2163" s="403">
        <v>6031</v>
      </c>
      <c r="G2163" s="406">
        <v>13858</v>
      </c>
      <c r="H2163" s="50"/>
      <c r="I2163" s="50"/>
      <c r="J2163" s="306"/>
    </row>
    <row r="2164" spans="2:10">
      <c r="B2164" s="413"/>
      <c r="C2164" s="414"/>
      <c r="D2164" s="414"/>
      <c r="E2164" s="50"/>
      <c r="F2164" s="403">
        <v>6032</v>
      </c>
      <c r="G2164" s="406">
        <v>14050</v>
      </c>
      <c r="H2164" s="50"/>
      <c r="I2164" s="50"/>
      <c r="J2164" s="306"/>
    </row>
    <row r="2165" spans="2:10">
      <c r="B2165" s="413"/>
      <c r="C2165" s="414"/>
      <c r="D2165" s="414"/>
      <c r="E2165" s="50"/>
      <c r="F2165" s="403">
        <v>6033</v>
      </c>
      <c r="G2165" s="406">
        <v>14086</v>
      </c>
      <c r="H2165" s="50"/>
      <c r="I2165" s="50"/>
      <c r="J2165" s="306"/>
    </row>
    <row r="2166" spans="2:10">
      <c r="B2166" s="413"/>
      <c r="C2166" s="414"/>
      <c r="D2166" s="414"/>
      <c r="E2166" s="50"/>
      <c r="F2166" s="403">
        <v>6034</v>
      </c>
      <c r="G2166" s="406">
        <v>14086</v>
      </c>
      <c r="H2166" s="50"/>
      <c r="I2166" s="50"/>
      <c r="J2166" s="306"/>
    </row>
    <row r="2167" spans="2:10">
      <c r="B2167" s="413"/>
      <c r="C2167" s="414"/>
      <c r="D2167" s="414"/>
      <c r="E2167" s="50"/>
      <c r="F2167" s="403">
        <v>6035</v>
      </c>
      <c r="G2167" s="406">
        <v>14086</v>
      </c>
      <c r="H2167" s="50"/>
      <c r="I2167" s="50"/>
      <c r="J2167" s="306"/>
    </row>
    <row r="2168" spans="2:10">
      <c r="B2168" s="413"/>
      <c r="C2168" s="414"/>
      <c r="D2168" s="414"/>
      <c r="E2168" s="50"/>
      <c r="F2168" s="403">
        <v>6036</v>
      </c>
      <c r="G2168" s="406">
        <v>14086</v>
      </c>
      <c r="H2168" s="50"/>
      <c r="I2168" s="50"/>
      <c r="J2168" s="306"/>
    </row>
    <row r="2169" spans="2:10">
      <c r="B2169" s="413"/>
      <c r="C2169" s="414"/>
      <c r="D2169" s="414"/>
      <c r="E2169" s="50"/>
      <c r="F2169" s="403">
        <v>6037</v>
      </c>
      <c r="G2169" s="406">
        <v>14084</v>
      </c>
      <c r="H2169" s="50"/>
      <c r="I2169" s="50"/>
      <c r="J2169" s="306"/>
    </row>
    <row r="2170" spans="2:10">
      <c r="B2170" s="413"/>
      <c r="C2170" s="414"/>
      <c r="D2170" s="414"/>
      <c r="E2170" s="50"/>
      <c r="F2170" s="403">
        <v>6038</v>
      </c>
      <c r="G2170" s="406">
        <v>14086</v>
      </c>
      <c r="H2170" s="50"/>
      <c r="I2170" s="50"/>
      <c r="J2170" s="306"/>
    </row>
    <row r="2171" spans="2:10">
      <c r="B2171" s="413"/>
      <c r="C2171" s="414"/>
      <c r="D2171" s="414"/>
      <c r="E2171" s="50"/>
      <c r="F2171" s="403">
        <v>6041</v>
      </c>
      <c r="G2171" s="406">
        <v>14105</v>
      </c>
      <c r="H2171" s="50"/>
      <c r="I2171" s="50"/>
      <c r="J2171" s="306"/>
    </row>
    <row r="2172" spans="2:10">
      <c r="B2172" s="413"/>
      <c r="C2172" s="414"/>
      <c r="D2172" s="414"/>
      <c r="E2172" s="50"/>
      <c r="F2172" s="403">
        <v>6042</v>
      </c>
      <c r="G2172" s="406">
        <v>14105</v>
      </c>
      <c r="H2172" s="50"/>
      <c r="I2172" s="50"/>
      <c r="J2172" s="306"/>
    </row>
    <row r="2173" spans="2:10">
      <c r="B2173" s="413"/>
      <c r="C2173" s="414"/>
      <c r="D2173" s="414"/>
      <c r="E2173" s="50"/>
      <c r="F2173" s="403">
        <v>6043</v>
      </c>
      <c r="G2173" s="406">
        <v>14509</v>
      </c>
      <c r="H2173" s="50"/>
      <c r="I2173" s="50"/>
      <c r="J2173" s="306"/>
    </row>
    <row r="2174" spans="2:10">
      <c r="B2174" s="413"/>
      <c r="C2174" s="414"/>
      <c r="D2174" s="414"/>
      <c r="E2174" s="50"/>
      <c r="F2174" s="403">
        <v>6044</v>
      </c>
      <c r="G2174" s="406">
        <v>15808</v>
      </c>
      <c r="H2174" s="50"/>
      <c r="I2174" s="50"/>
      <c r="J2174" s="306"/>
    </row>
    <row r="2175" spans="2:10">
      <c r="B2175" s="413"/>
      <c r="C2175" s="414"/>
      <c r="D2175" s="414"/>
      <c r="E2175" s="50"/>
      <c r="F2175" s="403">
        <v>6050</v>
      </c>
      <c r="G2175" s="406">
        <v>13672</v>
      </c>
      <c r="H2175" s="50"/>
      <c r="I2175" s="50"/>
      <c r="J2175" s="306"/>
    </row>
    <row r="2176" spans="2:10">
      <c r="B2176" s="413"/>
      <c r="C2176" s="414"/>
      <c r="D2176" s="414"/>
      <c r="E2176" s="50"/>
      <c r="F2176" s="403">
        <v>6051</v>
      </c>
      <c r="G2176" s="406">
        <v>14750</v>
      </c>
      <c r="H2176" s="50"/>
      <c r="I2176" s="50"/>
      <c r="J2176" s="306"/>
    </row>
    <row r="2177" spans="2:10">
      <c r="B2177" s="413"/>
      <c r="C2177" s="414"/>
      <c r="D2177" s="414"/>
      <c r="E2177" s="50"/>
      <c r="F2177" s="403">
        <v>6052</v>
      </c>
      <c r="G2177" s="406">
        <v>14589</v>
      </c>
      <c r="H2177" s="50"/>
      <c r="I2177" s="50"/>
      <c r="J2177" s="306"/>
    </row>
    <row r="2178" spans="2:10">
      <c r="B2178" s="413"/>
      <c r="C2178" s="414"/>
      <c r="D2178" s="414"/>
      <c r="E2178" s="50"/>
      <c r="F2178" s="403">
        <v>6053</v>
      </c>
      <c r="G2178" s="406">
        <v>14887</v>
      </c>
      <c r="H2178" s="50"/>
      <c r="I2178" s="50"/>
      <c r="J2178" s="306"/>
    </row>
    <row r="2179" spans="2:10">
      <c r="B2179" s="413"/>
      <c r="C2179" s="414"/>
      <c r="D2179" s="414"/>
      <c r="E2179" s="50"/>
      <c r="F2179" s="403">
        <v>6054</v>
      </c>
      <c r="G2179" s="406">
        <v>14817</v>
      </c>
      <c r="H2179" s="50"/>
      <c r="I2179" s="50"/>
      <c r="J2179" s="306"/>
    </row>
    <row r="2180" spans="2:10">
      <c r="B2180" s="413"/>
      <c r="C2180" s="414"/>
      <c r="D2180" s="414"/>
      <c r="E2180" s="50"/>
      <c r="F2180" s="403">
        <v>6055</v>
      </c>
      <c r="G2180" s="406">
        <v>14634</v>
      </c>
      <c r="H2180" s="50"/>
      <c r="I2180" s="50"/>
      <c r="J2180" s="306"/>
    </row>
    <row r="2181" spans="2:10">
      <c r="B2181" s="413"/>
      <c r="C2181" s="414"/>
      <c r="D2181" s="414"/>
      <c r="E2181" s="50"/>
      <c r="F2181" s="403">
        <v>6056</v>
      </c>
      <c r="G2181" s="406">
        <v>14532</v>
      </c>
      <c r="H2181" s="50"/>
      <c r="I2181" s="50"/>
      <c r="J2181" s="306"/>
    </row>
    <row r="2182" spans="2:10">
      <c r="B2182" s="413"/>
      <c r="C2182" s="414"/>
      <c r="D2182" s="414"/>
      <c r="E2182" s="50"/>
      <c r="F2182" s="403">
        <v>6057</v>
      </c>
      <c r="G2182" s="406">
        <v>14679</v>
      </c>
      <c r="H2182" s="50"/>
      <c r="I2182" s="50"/>
      <c r="J2182" s="306"/>
    </row>
    <row r="2183" spans="2:10">
      <c r="B2183" s="413"/>
      <c r="C2183" s="414"/>
      <c r="D2183" s="414"/>
      <c r="E2183" s="50"/>
      <c r="F2183" s="403">
        <v>6058</v>
      </c>
      <c r="G2183" s="406">
        <v>14917</v>
      </c>
      <c r="H2183" s="50"/>
      <c r="I2183" s="50"/>
      <c r="J2183" s="306"/>
    </row>
    <row r="2184" spans="2:10">
      <c r="B2184" s="413"/>
      <c r="C2184" s="414"/>
      <c r="D2184" s="414"/>
      <c r="E2184" s="50"/>
      <c r="F2184" s="403">
        <v>6059</v>
      </c>
      <c r="G2184" s="406">
        <v>14491</v>
      </c>
      <c r="H2184" s="50"/>
      <c r="I2184" s="50"/>
      <c r="J2184" s="306"/>
    </row>
    <row r="2185" spans="2:10">
      <c r="B2185" s="413"/>
      <c r="C2185" s="414"/>
      <c r="D2185" s="414"/>
      <c r="E2185" s="50"/>
      <c r="F2185" s="403">
        <v>6060</v>
      </c>
      <c r="G2185" s="406">
        <v>14246</v>
      </c>
      <c r="H2185" s="50"/>
      <c r="I2185" s="50"/>
      <c r="J2185" s="306"/>
    </row>
    <row r="2186" spans="2:10">
      <c r="B2186" s="413"/>
      <c r="C2186" s="414"/>
      <c r="D2186" s="414"/>
      <c r="E2186" s="50"/>
      <c r="F2186" s="403">
        <v>6061</v>
      </c>
      <c r="G2186" s="406">
        <v>13980</v>
      </c>
      <c r="H2186" s="50"/>
      <c r="I2186" s="50"/>
      <c r="J2186" s="306"/>
    </row>
    <row r="2187" spans="2:10">
      <c r="B2187" s="413"/>
      <c r="C2187" s="414"/>
      <c r="D2187" s="414"/>
      <c r="E2187" s="50"/>
      <c r="F2187" s="403">
        <v>6062</v>
      </c>
      <c r="G2187" s="406">
        <v>14738</v>
      </c>
      <c r="H2187" s="50"/>
      <c r="I2187" s="50"/>
      <c r="J2187" s="306"/>
    </row>
    <row r="2188" spans="2:10">
      <c r="B2188" s="413"/>
      <c r="C2188" s="414"/>
      <c r="D2188" s="414"/>
      <c r="E2188" s="50"/>
      <c r="F2188" s="403">
        <v>6063</v>
      </c>
      <c r="G2188" s="406">
        <v>14475</v>
      </c>
      <c r="H2188" s="50"/>
      <c r="I2188" s="50"/>
      <c r="J2188" s="306"/>
    </row>
    <row r="2189" spans="2:10">
      <c r="B2189" s="413"/>
      <c r="C2189" s="414"/>
      <c r="D2189" s="414"/>
      <c r="E2189" s="50"/>
      <c r="F2189" s="403">
        <v>6064</v>
      </c>
      <c r="G2189" s="406">
        <v>13437</v>
      </c>
      <c r="H2189" s="50"/>
      <c r="I2189" s="50"/>
      <c r="J2189" s="306"/>
    </row>
    <row r="2190" spans="2:10">
      <c r="B2190" s="413"/>
      <c r="C2190" s="414"/>
      <c r="D2190" s="414"/>
      <c r="E2190" s="50"/>
      <c r="F2190" s="403">
        <v>6065</v>
      </c>
      <c r="G2190" s="406">
        <v>13858</v>
      </c>
      <c r="H2190" s="50"/>
      <c r="I2190" s="50"/>
      <c r="J2190" s="306"/>
    </row>
    <row r="2191" spans="2:10">
      <c r="B2191" s="413"/>
      <c r="C2191" s="414"/>
      <c r="D2191" s="414"/>
      <c r="E2191" s="50"/>
      <c r="F2191" s="403">
        <v>6066</v>
      </c>
      <c r="G2191" s="406">
        <v>13705</v>
      </c>
      <c r="H2191" s="50"/>
      <c r="I2191" s="50"/>
      <c r="J2191" s="306"/>
    </row>
    <row r="2192" spans="2:10">
      <c r="B2192" s="413"/>
      <c r="C2192" s="414"/>
      <c r="D2192" s="414"/>
      <c r="E2192" s="50"/>
      <c r="F2192" s="403">
        <v>6067</v>
      </c>
      <c r="G2192" s="406">
        <v>13705</v>
      </c>
      <c r="H2192" s="50"/>
      <c r="I2192" s="50"/>
      <c r="J2192" s="306"/>
    </row>
    <row r="2193" spans="2:10">
      <c r="B2193" s="413"/>
      <c r="C2193" s="414"/>
      <c r="D2193" s="414"/>
      <c r="E2193" s="50"/>
      <c r="F2193" s="403">
        <v>6068</v>
      </c>
      <c r="G2193" s="406">
        <v>14124</v>
      </c>
      <c r="H2193" s="50"/>
      <c r="I2193" s="50"/>
      <c r="J2193" s="306"/>
    </row>
    <row r="2194" spans="2:10">
      <c r="B2194" s="413"/>
      <c r="C2194" s="414"/>
      <c r="D2194" s="414"/>
      <c r="E2194" s="50"/>
      <c r="F2194" s="403">
        <v>6069</v>
      </c>
      <c r="G2194" s="406">
        <v>14510</v>
      </c>
      <c r="H2194" s="50"/>
      <c r="I2194" s="50"/>
      <c r="J2194" s="306"/>
    </row>
    <row r="2195" spans="2:10">
      <c r="B2195" s="413"/>
      <c r="C2195" s="414"/>
      <c r="D2195" s="414"/>
      <c r="E2195" s="50"/>
      <c r="F2195" s="403">
        <v>6070</v>
      </c>
      <c r="G2195" s="406">
        <v>14526</v>
      </c>
      <c r="H2195" s="50"/>
      <c r="I2195" s="50"/>
      <c r="J2195" s="306"/>
    </row>
    <row r="2196" spans="2:10">
      <c r="B2196" s="413"/>
      <c r="C2196" s="414"/>
      <c r="D2196" s="414"/>
      <c r="E2196" s="50"/>
      <c r="F2196" s="403">
        <v>6071</v>
      </c>
      <c r="G2196" s="406">
        <v>14409</v>
      </c>
      <c r="H2196" s="50"/>
      <c r="I2196" s="50"/>
      <c r="J2196" s="306"/>
    </row>
    <row r="2197" spans="2:10">
      <c r="B2197" s="413"/>
      <c r="C2197" s="414"/>
      <c r="D2197" s="414"/>
      <c r="E2197" s="50"/>
      <c r="F2197" s="403">
        <v>6072</v>
      </c>
      <c r="G2197" s="406">
        <v>14409</v>
      </c>
      <c r="H2197" s="50"/>
      <c r="I2197" s="50"/>
      <c r="J2197" s="306"/>
    </row>
    <row r="2198" spans="2:10">
      <c r="B2198" s="413"/>
      <c r="C2198" s="414"/>
      <c r="D2198" s="414"/>
      <c r="E2198" s="50"/>
      <c r="F2198" s="403">
        <v>6073</v>
      </c>
      <c r="G2198" s="406">
        <v>14409</v>
      </c>
      <c r="H2198" s="50"/>
      <c r="I2198" s="50"/>
      <c r="J2198" s="306"/>
    </row>
    <row r="2199" spans="2:10">
      <c r="B2199" s="413"/>
      <c r="C2199" s="414"/>
      <c r="D2199" s="414"/>
      <c r="E2199" s="50"/>
      <c r="F2199" s="403">
        <v>6074</v>
      </c>
      <c r="G2199" s="406">
        <v>14564</v>
      </c>
      <c r="H2199" s="50"/>
      <c r="I2199" s="50"/>
      <c r="J2199" s="306"/>
    </row>
    <row r="2200" spans="2:10">
      <c r="B2200" s="413"/>
      <c r="C2200" s="414"/>
      <c r="D2200" s="414"/>
      <c r="E2200" s="50"/>
      <c r="F2200" s="403">
        <v>6076</v>
      </c>
      <c r="G2200" s="406">
        <v>15020</v>
      </c>
      <c r="H2200" s="50"/>
      <c r="I2200" s="50"/>
      <c r="J2200" s="306"/>
    </row>
    <row r="2201" spans="2:10">
      <c r="B2201" s="413"/>
      <c r="C2201" s="414"/>
      <c r="D2201" s="414"/>
      <c r="E2201" s="50"/>
      <c r="F2201" s="403">
        <v>6081</v>
      </c>
      <c r="G2201" s="406">
        <v>14409</v>
      </c>
      <c r="H2201" s="50"/>
      <c r="I2201" s="50"/>
      <c r="J2201" s="306"/>
    </row>
    <row r="2202" spans="2:10">
      <c r="B2202" s="413"/>
      <c r="C2202" s="414"/>
      <c r="D2202" s="414"/>
      <c r="E2202" s="50"/>
      <c r="F2202" s="403">
        <v>6082</v>
      </c>
      <c r="G2202" s="406">
        <v>14469</v>
      </c>
      <c r="H2202" s="50"/>
      <c r="I2202" s="50"/>
      <c r="J2202" s="306"/>
    </row>
    <row r="2203" spans="2:10">
      <c r="B2203" s="413"/>
      <c r="C2203" s="414"/>
      <c r="D2203" s="414"/>
      <c r="E2203" s="50"/>
      <c r="F2203" s="403">
        <v>6083</v>
      </c>
      <c r="G2203" s="406">
        <v>14446</v>
      </c>
      <c r="H2203" s="50"/>
      <c r="I2203" s="50"/>
      <c r="J2203" s="306"/>
    </row>
    <row r="2204" spans="2:10">
      <c r="B2204" s="413"/>
      <c r="C2204" s="414"/>
      <c r="D2204" s="414"/>
      <c r="E2204" s="50"/>
      <c r="F2204" s="403">
        <v>6084</v>
      </c>
      <c r="G2204" s="406">
        <v>14281</v>
      </c>
      <c r="H2204" s="50"/>
      <c r="I2204" s="50"/>
      <c r="J2204" s="306"/>
    </row>
    <row r="2205" spans="2:10">
      <c r="B2205" s="413"/>
      <c r="C2205" s="414"/>
      <c r="D2205" s="414"/>
      <c r="E2205" s="50"/>
      <c r="F2205" s="403">
        <v>6090</v>
      </c>
      <c r="G2205" s="406">
        <v>14304</v>
      </c>
      <c r="H2205" s="50"/>
      <c r="I2205" s="50"/>
      <c r="J2205" s="306"/>
    </row>
    <row r="2206" spans="2:10">
      <c r="B2206" s="413"/>
      <c r="C2206" s="414"/>
      <c r="D2206" s="414"/>
      <c r="E2206" s="50"/>
      <c r="F2206" s="403">
        <v>6100</v>
      </c>
      <c r="G2206" s="406">
        <v>14507</v>
      </c>
      <c r="H2206" s="50"/>
      <c r="I2206" s="50"/>
      <c r="J2206" s="306"/>
    </row>
    <row r="2207" spans="2:10">
      <c r="B2207" s="413"/>
      <c r="C2207" s="414"/>
      <c r="D2207" s="414"/>
      <c r="E2207" s="50"/>
      <c r="F2207" s="403">
        <v>6101</v>
      </c>
      <c r="G2207" s="406">
        <v>14474</v>
      </c>
      <c r="H2207" s="50"/>
      <c r="I2207" s="50"/>
      <c r="J2207" s="306"/>
    </row>
    <row r="2208" spans="2:10">
      <c r="B2208" s="413"/>
      <c r="C2208" s="414"/>
      <c r="D2208" s="414"/>
      <c r="E2208" s="50"/>
      <c r="F2208" s="403">
        <v>6102</v>
      </c>
      <c r="G2208" s="406">
        <v>14524</v>
      </c>
      <c r="H2208" s="50"/>
      <c r="I2208" s="50"/>
      <c r="J2208" s="306"/>
    </row>
    <row r="2209" spans="2:10">
      <c r="B2209" s="413"/>
      <c r="C2209" s="414"/>
      <c r="D2209" s="414"/>
      <c r="E2209" s="50"/>
      <c r="F2209" s="403">
        <v>6103</v>
      </c>
      <c r="G2209" s="406">
        <v>14559</v>
      </c>
      <c r="H2209" s="50"/>
      <c r="I2209" s="50"/>
      <c r="J2209" s="306"/>
    </row>
    <row r="2210" spans="2:10">
      <c r="B2210" s="413"/>
      <c r="C2210" s="414"/>
      <c r="D2210" s="414"/>
      <c r="E2210" s="50"/>
      <c r="F2210" s="403">
        <v>6104</v>
      </c>
      <c r="G2210" s="406">
        <v>14631</v>
      </c>
      <c r="H2210" s="50"/>
      <c r="I2210" s="50"/>
      <c r="J2210" s="306"/>
    </row>
    <row r="2211" spans="2:10">
      <c r="B2211" s="413"/>
      <c r="C2211" s="414"/>
      <c r="D2211" s="414"/>
      <c r="E2211" s="50"/>
      <c r="F2211" s="403">
        <v>6105</v>
      </c>
      <c r="G2211" s="406">
        <v>14514</v>
      </c>
      <c r="H2211" s="50"/>
      <c r="I2211" s="50"/>
      <c r="J2211" s="306"/>
    </row>
    <row r="2212" spans="2:10">
      <c r="B2212" s="413"/>
      <c r="C2212" s="414"/>
      <c r="D2212" s="414"/>
      <c r="E2212" s="50"/>
      <c r="F2212" s="403">
        <v>6106</v>
      </c>
      <c r="G2212" s="406">
        <v>14932</v>
      </c>
      <c r="H2212" s="50"/>
      <c r="I2212" s="50"/>
      <c r="J2212" s="306"/>
    </row>
    <row r="2213" spans="2:10">
      <c r="B2213" s="413"/>
      <c r="C2213" s="414"/>
      <c r="D2213" s="414"/>
      <c r="E2213" s="50"/>
      <c r="F2213" s="403">
        <v>6107</v>
      </c>
      <c r="G2213" s="406">
        <v>15332</v>
      </c>
      <c r="H2213" s="50"/>
      <c r="I2213" s="50"/>
      <c r="J2213" s="306"/>
    </row>
    <row r="2214" spans="2:10">
      <c r="B2214" s="413"/>
      <c r="C2214" s="414"/>
      <c r="D2214" s="414"/>
      <c r="E2214" s="50"/>
      <c r="F2214" s="403">
        <v>6108</v>
      </c>
      <c r="G2214" s="406">
        <v>15304</v>
      </c>
      <c r="H2214" s="50"/>
      <c r="I2214" s="50"/>
      <c r="J2214" s="306"/>
    </row>
    <row r="2215" spans="2:10">
      <c r="B2215" s="413"/>
      <c r="C2215" s="414"/>
      <c r="D2215" s="414"/>
      <c r="E2215" s="50"/>
      <c r="F2215" s="403">
        <v>6109</v>
      </c>
      <c r="G2215" s="406">
        <v>15257</v>
      </c>
      <c r="H2215" s="50"/>
      <c r="I2215" s="50"/>
      <c r="J2215" s="306"/>
    </row>
    <row r="2216" spans="2:10">
      <c r="B2216" s="413"/>
      <c r="C2216" s="414"/>
      <c r="D2216" s="414"/>
      <c r="E2216" s="50"/>
      <c r="F2216" s="403">
        <v>6110</v>
      </c>
      <c r="G2216" s="406">
        <v>15192</v>
      </c>
      <c r="H2216" s="50"/>
      <c r="I2216" s="50"/>
      <c r="J2216" s="306"/>
    </row>
    <row r="2217" spans="2:10">
      <c r="B2217" s="413"/>
      <c r="C2217" s="414"/>
      <c r="D2217" s="414"/>
      <c r="E2217" s="50"/>
      <c r="F2217" s="403">
        <v>6111</v>
      </c>
      <c r="G2217" s="406">
        <v>15086</v>
      </c>
      <c r="H2217" s="50"/>
      <c r="I2217" s="50"/>
      <c r="J2217" s="306"/>
    </row>
    <row r="2218" spans="2:10">
      <c r="B2218" s="413"/>
      <c r="C2218" s="414"/>
      <c r="D2218" s="414"/>
      <c r="E2218" s="50"/>
      <c r="F2218" s="403">
        <v>6112</v>
      </c>
      <c r="G2218" s="406">
        <v>15080</v>
      </c>
      <c r="H2218" s="50"/>
      <c r="I2218" s="50"/>
      <c r="J2218" s="306"/>
    </row>
    <row r="2219" spans="2:10">
      <c r="B2219" s="413"/>
      <c r="C2219" s="414"/>
      <c r="D2219" s="414"/>
      <c r="E2219" s="50"/>
      <c r="F2219" s="403">
        <v>6121</v>
      </c>
      <c r="G2219" s="406">
        <v>14001</v>
      </c>
      <c r="H2219" s="50"/>
      <c r="I2219" s="50"/>
      <c r="J2219" s="306"/>
    </row>
    <row r="2220" spans="2:10">
      <c r="B2220" s="413"/>
      <c r="C2220" s="414"/>
      <c r="D2220" s="414"/>
      <c r="E2220" s="50"/>
      <c r="F2220" s="403">
        <v>6122</v>
      </c>
      <c r="G2220" s="406">
        <v>14864</v>
      </c>
      <c r="H2220" s="50"/>
      <c r="I2220" s="50"/>
      <c r="J2220" s="306"/>
    </row>
    <row r="2221" spans="2:10">
      <c r="B2221" s="413"/>
      <c r="C2221" s="414"/>
      <c r="D2221" s="414"/>
      <c r="E2221" s="50"/>
      <c r="F2221" s="403">
        <v>6123</v>
      </c>
      <c r="G2221" s="406">
        <v>14864</v>
      </c>
      <c r="H2221" s="50"/>
      <c r="I2221" s="50"/>
      <c r="J2221" s="306"/>
    </row>
    <row r="2222" spans="2:10">
      <c r="B2222" s="413"/>
      <c r="C2222" s="414"/>
      <c r="D2222" s="414"/>
      <c r="E2222" s="50"/>
      <c r="F2222" s="403">
        <v>6124</v>
      </c>
      <c r="G2222" s="406">
        <v>14864</v>
      </c>
      <c r="H2222" s="50"/>
      <c r="I2222" s="50"/>
      <c r="J2222" s="306"/>
    </row>
    <row r="2223" spans="2:10">
      <c r="B2223" s="413"/>
      <c r="C2223" s="414"/>
      <c r="D2223" s="414"/>
      <c r="E2223" s="50"/>
      <c r="F2223" s="403">
        <v>6125</v>
      </c>
      <c r="G2223" s="406">
        <v>15159</v>
      </c>
      <c r="H2223" s="50"/>
      <c r="I2223" s="50"/>
      <c r="J2223" s="306"/>
    </row>
    <row r="2224" spans="2:10">
      <c r="B2224" s="413"/>
      <c r="C2224" s="414"/>
      <c r="D2224" s="414"/>
      <c r="E2224" s="50"/>
      <c r="F2224" s="403">
        <v>6126</v>
      </c>
      <c r="G2224" s="406">
        <v>14951</v>
      </c>
      <c r="H2224" s="50"/>
      <c r="I2224" s="50"/>
      <c r="J2224" s="306"/>
    </row>
    <row r="2225" spans="2:10">
      <c r="B2225" s="413"/>
      <c r="C2225" s="414"/>
      <c r="D2225" s="414"/>
      <c r="E2225" s="50"/>
      <c r="F2225" s="403">
        <v>6147</v>
      </c>
      <c r="G2225" s="406">
        <v>15281</v>
      </c>
      <c r="H2225" s="50"/>
      <c r="I2225" s="50"/>
      <c r="J2225" s="306"/>
    </row>
    <row r="2226" spans="2:10">
      <c r="B2226" s="413"/>
      <c r="C2226" s="414"/>
      <c r="D2226" s="414"/>
      <c r="E2226" s="50"/>
      <c r="F2226" s="403">
        <v>6148</v>
      </c>
      <c r="G2226" s="406">
        <v>15012</v>
      </c>
      <c r="H2226" s="50"/>
      <c r="I2226" s="50"/>
      <c r="J2226" s="306"/>
    </row>
    <row r="2227" spans="2:10">
      <c r="B2227" s="413"/>
      <c r="C2227" s="414"/>
      <c r="D2227" s="414"/>
      <c r="E2227" s="50"/>
      <c r="F2227" s="403">
        <v>6149</v>
      </c>
      <c r="G2227" s="406">
        <v>14573</v>
      </c>
      <c r="H2227" s="50"/>
      <c r="I2227" s="50"/>
      <c r="J2227" s="306"/>
    </row>
    <row r="2228" spans="2:10">
      <c r="B2228" s="413"/>
      <c r="C2228" s="414"/>
      <c r="D2228" s="414"/>
      <c r="E2228" s="50"/>
      <c r="F2228" s="403">
        <v>6150</v>
      </c>
      <c r="G2228" s="406">
        <v>12806</v>
      </c>
      <c r="H2228" s="50"/>
      <c r="I2228" s="50"/>
      <c r="J2228" s="306"/>
    </row>
    <row r="2229" spans="2:10">
      <c r="B2229" s="413"/>
      <c r="C2229" s="414"/>
      <c r="D2229" s="414"/>
      <c r="E2229" s="50"/>
      <c r="F2229" s="403">
        <v>6151</v>
      </c>
      <c r="G2229" s="406">
        <v>14243</v>
      </c>
      <c r="H2229" s="50"/>
      <c r="I2229" s="50"/>
      <c r="J2229" s="306"/>
    </row>
    <row r="2230" spans="2:10">
      <c r="B2230" s="413"/>
      <c r="C2230" s="414"/>
      <c r="D2230" s="414"/>
      <c r="E2230" s="50"/>
      <c r="F2230" s="403">
        <v>6152</v>
      </c>
      <c r="G2230" s="406">
        <v>14302</v>
      </c>
      <c r="H2230" s="50"/>
      <c r="I2230" s="50"/>
      <c r="J2230" s="306"/>
    </row>
    <row r="2231" spans="2:10">
      <c r="B2231" s="413"/>
      <c r="C2231" s="414"/>
      <c r="D2231" s="414"/>
      <c r="E2231" s="50"/>
      <c r="F2231" s="403">
        <v>6153</v>
      </c>
      <c r="G2231" s="406">
        <v>12893</v>
      </c>
      <c r="H2231" s="50"/>
      <c r="I2231" s="50"/>
      <c r="J2231" s="306"/>
    </row>
    <row r="2232" spans="2:10">
      <c r="B2232" s="413"/>
      <c r="C2232" s="414"/>
      <c r="D2232" s="414"/>
      <c r="E2232" s="50"/>
      <c r="F2232" s="403">
        <v>6154</v>
      </c>
      <c r="G2232" s="406">
        <v>13312</v>
      </c>
      <c r="H2232" s="50"/>
      <c r="I2232" s="50"/>
      <c r="J2232" s="306"/>
    </row>
    <row r="2233" spans="2:10">
      <c r="B2233" s="413"/>
      <c r="C2233" s="414"/>
      <c r="D2233" s="414"/>
      <c r="E2233" s="50"/>
      <c r="F2233" s="403">
        <v>6155</v>
      </c>
      <c r="G2233" s="406">
        <v>15037</v>
      </c>
      <c r="H2233" s="50"/>
      <c r="I2233" s="50"/>
      <c r="J2233" s="306"/>
    </row>
    <row r="2234" spans="2:10">
      <c r="B2234" s="413"/>
      <c r="C2234" s="414"/>
      <c r="D2234" s="414"/>
      <c r="E2234" s="50"/>
      <c r="F2234" s="403">
        <v>6156</v>
      </c>
      <c r="G2234" s="406">
        <v>12758</v>
      </c>
      <c r="H2234" s="50"/>
      <c r="I2234" s="50"/>
      <c r="J2234" s="306"/>
    </row>
    <row r="2235" spans="2:10">
      <c r="B2235" s="413"/>
      <c r="C2235" s="414"/>
      <c r="D2235" s="414"/>
      <c r="E2235" s="50"/>
      <c r="F2235" s="403">
        <v>6157</v>
      </c>
      <c r="G2235" s="406">
        <v>12467</v>
      </c>
      <c r="H2235" s="50"/>
      <c r="I2235" s="50"/>
      <c r="J2235" s="306"/>
    </row>
    <row r="2236" spans="2:10">
      <c r="B2236" s="413"/>
      <c r="C2236" s="414"/>
      <c r="D2236" s="414"/>
      <c r="E2236" s="50"/>
      <c r="F2236" s="403">
        <v>6158</v>
      </c>
      <c r="G2236" s="406">
        <v>12394</v>
      </c>
      <c r="H2236" s="50"/>
      <c r="I2236" s="50"/>
      <c r="J2236" s="306"/>
    </row>
    <row r="2237" spans="2:10">
      <c r="B2237" s="413"/>
      <c r="C2237" s="414"/>
      <c r="D2237" s="414"/>
      <c r="E2237" s="50"/>
      <c r="F2237" s="403">
        <v>6159</v>
      </c>
      <c r="G2237" s="406">
        <v>12394</v>
      </c>
      <c r="H2237" s="50"/>
      <c r="I2237" s="50"/>
      <c r="J2237" s="306"/>
    </row>
    <row r="2238" spans="2:10">
      <c r="B2238" s="413"/>
      <c r="C2238" s="414"/>
      <c r="D2238" s="414"/>
      <c r="E2238" s="50"/>
      <c r="F2238" s="403">
        <v>6160</v>
      </c>
      <c r="G2238" s="406">
        <v>12544</v>
      </c>
      <c r="H2238" s="50"/>
      <c r="I2238" s="50"/>
      <c r="J2238" s="306"/>
    </row>
    <row r="2239" spans="2:10">
      <c r="B2239" s="413"/>
      <c r="C2239" s="414"/>
      <c r="D2239" s="414"/>
      <c r="E2239" s="50"/>
      <c r="F2239" s="403">
        <v>6162</v>
      </c>
      <c r="G2239" s="406">
        <v>12537</v>
      </c>
      <c r="H2239" s="50"/>
      <c r="I2239" s="50"/>
      <c r="J2239" s="306"/>
    </row>
    <row r="2240" spans="2:10">
      <c r="B2240" s="413"/>
      <c r="C2240" s="414"/>
      <c r="D2240" s="414"/>
      <c r="E2240" s="50"/>
      <c r="F2240" s="403">
        <v>6163</v>
      </c>
      <c r="G2240" s="406">
        <v>12578</v>
      </c>
      <c r="H2240" s="50"/>
      <c r="I2240" s="50"/>
      <c r="J2240" s="306"/>
    </row>
    <row r="2241" spans="2:10">
      <c r="B2241" s="413"/>
      <c r="C2241" s="414"/>
      <c r="D2241" s="414"/>
      <c r="E2241" s="50"/>
      <c r="F2241" s="403">
        <v>6164</v>
      </c>
      <c r="G2241" s="406">
        <v>13589</v>
      </c>
      <c r="H2241" s="50"/>
      <c r="I2241" s="50"/>
      <c r="J2241" s="306"/>
    </row>
    <row r="2242" spans="2:10">
      <c r="B2242" s="413"/>
      <c r="C2242" s="414"/>
      <c r="D2242" s="414"/>
      <c r="E2242" s="50"/>
      <c r="F2242" s="403">
        <v>6165</v>
      </c>
      <c r="G2242" s="406">
        <v>14011</v>
      </c>
      <c r="H2242" s="50"/>
      <c r="I2242" s="50"/>
      <c r="J2242" s="306"/>
    </row>
    <row r="2243" spans="2:10">
      <c r="B2243" s="413"/>
      <c r="C2243" s="414"/>
      <c r="D2243" s="414"/>
      <c r="E2243" s="50"/>
      <c r="F2243" s="403">
        <v>6166</v>
      </c>
      <c r="G2243" s="406">
        <v>13082</v>
      </c>
      <c r="H2243" s="50"/>
      <c r="I2243" s="50"/>
      <c r="J2243" s="306"/>
    </row>
    <row r="2244" spans="2:10">
      <c r="B2244" s="413"/>
      <c r="C2244" s="414"/>
      <c r="D2244" s="414"/>
      <c r="E2244" s="50"/>
      <c r="F2244" s="403">
        <v>6167</v>
      </c>
      <c r="G2244" s="406">
        <v>13604</v>
      </c>
      <c r="H2244" s="50"/>
      <c r="I2244" s="50"/>
      <c r="J2244" s="306"/>
    </row>
    <row r="2245" spans="2:10">
      <c r="B2245" s="413"/>
      <c r="C2245" s="414"/>
      <c r="D2245" s="414"/>
      <c r="E2245" s="50"/>
      <c r="F2245" s="403">
        <v>6168</v>
      </c>
      <c r="G2245" s="406">
        <v>15001</v>
      </c>
      <c r="H2245" s="50"/>
      <c r="I2245" s="50"/>
      <c r="J2245" s="306"/>
    </row>
    <row r="2246" spans="2:10">
      <c r="B2246" s="413"/>
      <c r="C2246" s="414"/>
      <c r="D2246" s="414"/>
      <c r="E2246" s="50"/>
      <c r="F2246" s="403">
        <v>6169</v>
      </c>
      <c r="G2246" s="406">
        <v>15220</v>
      </c>
      <c r="H2246" s="50"/>
      <c r="I2246" s="50"/>
      <c r="J2246" s="306"/>
    </row>
    <row r="2247" spans="2:10">
      <c r="B2247" s="413"/>
      <c r="C2247" s="414"/>
      <c r="D2247" s="414"/>
      <c r="E2247" s="50"/>
      <c r="F2247" s="403">
        <v>6170</v>
      </c>
      <c r="G2247" s="406">
        <v>14705</v>
      </c>
      <c r="H2247" s="50"/>
      <c r="I2247" s="50"/>
      <c r="J2247" s="306"/>
    </row>
    <row r="2248" spans="2:10">
      <c r="B2248" s="413"/>
      <c r="C2248" s="414"/>
      <c r="D2248" s="414"/>
      <c r="E2248" s="50"/>
      <c r="F2248" s="403">
        <v>6171</v>
      </c>
      <c r="G2248" s="406">
        <v>15220</v>
      </c>
      <c r="H2248" s="50"/>
      <c r="I2248" s="50"/>
      <c r="J2248" s="306"/>
    </row>
    <row r="2249" spans="2:10">
      <c r="B2249" s="413"/>
      <c r="C2249" s="414"/>
      <c r="D2249" s="414"/>
      <c r="E2249" s="50"/>
      <c r="F2249" s="403">
        <v>6172</v>
      </c>
      <c r="G2249" s="406">
        <v>15301</v>
      </c>
      <c r="H2249" s="50"/>
      <c r="I2249" s="50"/>
      <c r="J2249" s="306"/>
    </row>
    <row r="2250" spans="2:10">
      <c r="B2250" s="413"/>
      <c r="C2250" s="414"/>
      <c r="D2250" s="414"/>
      <c r="E2250" s="50"/>
      <c r="F2250" s="403">
        <v>6173</v>
      </c>
      <c r="G2250" s="406">
        <v>15301</v>
      </c>
      <c r="H2250" s="50"/>
      <c r="I2250" s="50"/>
      <c r="J2250" s="306"/>
    </row>
    <row r="2251" spans="2:10">
      <c r="B2251" s="413"/>
      <c r="C2251" s="414"/>
      <c r="D2251" s="414"/>
      <c r="E2251" s="50"/>
      <c r="F2251" s="403">
        <v>6174</v>
      </c>
      <c r="G2251" s="406">
        <v>15301</v>
      </c>
      <c r="H2251" s="50"/>
      <c r="I2251" s="50"/>
      <c r="J2251" s="306"/>
    </row>
    <row r="2252" spans="2:10">
      <c r="B2252" s="413"/>
      <c r="C2252" s="414"/>
      <c r="D2252" s="414"/>
      <c r="E2252" s="50"/>
      <c r="F2252" s="403">
        <v>6175</v>
      </c>
      <c r="G2252" s="406">
        <v>15301</v>
      </c>
      <c r="H2252" s="50"/>
      <c r="I2252" s="50"/>
      <c r="J2252" s="306"/>
    </row>
    <row r="2253" spans="2:10">
      <c r="B2253" s="413"/>
      <c r="C2253" s="414"/>
      <c r="D2253" s="414"/>
      <c r="E2253" s="50"/>
      <c r="F2253" s="403">
        <v>6176</v>
      </c>
      <c r="G2253" s="406">
        <v>15333</v>
      </c>
      <c r="H2253" s="50"/>
      <c r="I2253" s="50"/>
      <c r="J2253" s="306"/>
    </row>
    <row r="2254" spans="2:10">
      <c r="B2254" s="413"/>
      <c r="C2254" s="414"/>
      <c r="D2254" s="414"/>
      <c r="E2254" s="50"/>
      <c r="F2254" s="403">
        <v>6207</v>
      </c>
      <c r="G2254" s="406">
        <v>17726</v>
      </c>
      <c r="H2254" s="50"/>
      <c r="I2254" s="50"/>
      <c r="J2254" s="306"/>
    </row>
    <row r="2255" spans="2:10">
      <c r="B2255" s="413"/>
      <c r="C2255" s="414"/>
      <c r="D2255" s="414"/>
      <c r="E2255" s="50"/>
      <c r="F2255" s="403">
        <v>6208</v>
      </c>
      <c r="G2255" s="406">
        <v>17679</v>
      </c>
      <c r="H2255" s="50"/>
      <c r="I2255" s="50"/>
      <c r="J2255" s="306"/>
    </row>
    <row r="2256" spans="2:10">
      <c r="B2256" s="413"/>
      <c r="C2256" s="414"/>
      <c r="D2256" s="414"/>
      <c r="E2256" s="50"/>
      <c r="F2256" s="403">
        <v>6210</v>
      </c>
      <c r="G2256" s="406">
        <v>17599</v>
      </c>
      <c r="H2256" s="50"/>
      <c r="I2256" s="50"/>
      <c r="J2256" s="306"/>
    </row>
    <row r="2257" spans="2:10">
      <c r="B2257" s="413"/>
      <c r="C2257" s="414"/>
      <c r="D2257" s="414"/>
      <c r="E2257" s="50"/>
      <c r="F2257" s="403">
        <v>6213</v>
      </c>
      <c r="G2257" s="406">
        <v>17888</v>
      </c>
      <c r="H2257" s="50"/>
      <c r="I2257" s="50"/>
      <c r="J2257" s="306"/>
    </row>
    <row r="2258" spans="2:10">
      <c r="B2258" s="413"/>
      <c r="C2258" s="414"/>
      <c r="D2258" s="414"/>
      <c r="E2258" s="50"/>
      <c r="F2258" s="403">
        <v>6214</v>
      </c>
      <c r="G2258" s="406">
        <v>17679</v>
      </c>
      <c r="H2258" s="50"/>
      <c r="I2258" s="50"/>
      <c r="J2258" s="306"/>
    </row>
    <row r="2259" spans="2:10">
      <c r="B2259" s="413"/>
      <c r="C2259" s="414"/>
      <c r="D2259" s="414"/>
      <c r="E2259" s="50"/>
      <c r="F2259" s="403">
        <v>6215</v>
      </c>
      <c r="G2259" s="406">
        <v>17983</v>
      </c>
      <c r="H2259" s="50"/>
      <c r="I2259" s="50"/>
      <c r="J2259" s="306"/>
    </row>
    <row r="2260" spans="2:10">
      <c r="B2260" s="413"/>
      <c r="C2260" s="414"/>
      <c r="D2260" s="414"/>
      <c r="E2260" s="50"/>
      <c r="F2260" s="403">
        <v>6218</v>
      </c>
      <c r="G2260" s="406">
        <v>18169</v>
      </c>
      <c r="H2260" s="50"/>
      <c r="I2260" s="50"/>
      <c r="J2260" s="306"/>
    </row>
    <row r="2261" spans="2:10">
      <c r="B2261" s="413"/>
      <c r="C2261" s="414"/>
      <c r="D2261" s="414"/>
      <c r="E2261" s="50"/>
      <c r="F2261" s="403">
        <v>6220</v>
      </c>
      <c r="G2261" s="406">
        <v>17929</v>
      </c>
      <c r="H2261" s="50"/>
      <c r="I2261" s="50"/>
      <c r="J2261" s="306"/>
    </row>
    <row r="2262" spans="2:10">
      <c r="B2262" s="413"/>
      <c r="C2262" s="414"/>
      <c r="D2262" s="414"/>
      <c r="E2262" s="50"/>
      <c r="F2262" s="403">
        <v>6221</v>
      </c>
      <c r="G2262" s="406">
        <v>17714</v>
      </c>
      <c r="H2262" s="50"/>
      <c r="I2262" s="50"/>
      <c r="J2262" s="306"/>
    </row>
    <row r="2263" spans="2:10">
      <c r="B2263" s="413"/>
      <c r="C2263" s="414"/>
      <c r="D2263" s="414"/>
      <c r="E2263" s="50"/>
      <c r="F2263" s="403">
        <v>6223</v>
      </c>
      <c r="G2263" s="406">
        <v>17021</v>
      </c>
      <c r="H2263" s="50"/>
      <c r="I2263" s="50"/>
      <c r="J2263" s="306"/>
    </row>
    <row r="2264" spans="2:10">
      <c r="B2264" s="413"/>
      <c r="C2264" s="414"/>
      <c r="D2264" s="414"/>
      <c r="E2264" s="50"/>
      <c r="F2264" s="403">
        <v>6224</v>
      </c>
      <c r="G2264" s="406">
        <v>17021</v>
      </c>
      <c r="H2264" s="50"/>
      <c r="I2264" s="50"/>
      <c r="J2264" s="306"/>
    </row>
    <row r="2265" spans="2:10">
      <c r="B2265" s="413"/>
      <c r="C2265" s="414"/>
      <c r="D2265" s="414"/>
      <c r="E2265" s="50"/>
      <c r="F2265" s="403">
        <v>6225</v>
      </c>
      <c r="G2265" s="406">
        <v>17095</v>
      </c>
      <c r="H2265" s="50"/>
      <c r="I2265" s="50"/>
      <c r="J2265" s="306"/>
    </row>
    <row r="2266" spans="2:10">
      <c r="B2266" s="413"/>
      <c r="C2266" s="414"/>
      <c r="D2266" s="414"/>
      <c r="E2266" s="50"/>
      <c r="F2266" s="403">
        <v>6226</v>
      </c>
      <c r="G2266" s="406">
        <v>17022</v>
      </c>
      <c r="H2266" s="50"/>
      <c r="I2266" s="50"/>
      <c r="J2266" s="306"/>
    </row>
    <row r="2267" spans="2:10">
      <c r="B2267" s="413"/>
      <c r="C2267" s="414"/>
      <c r="D2267" s="414"/>
      <c r="E2267" s="50"/>
      <c r="F2267" s="403">
        <v>6227</v>
      </c>
      <c r="G2267" s="406">
        <v>17022</v>
      </c>
      <c r="H2267" s="50"/>
      <c r="I2267" s="50"/>
      <c r="J2267" s="306"/>
    </row>
    <row r="2268" spans="2:10">
      <c r="B2268" s="413"/>
      <c r="C2268" s="414"/>
      <c r="D2268" s="414"/>
      <c r="E2268" s="50"/>
      <c r="F2268" s="403">
        <v>6228</v>
      </c>
      <c r="G2268" s="406">
        <v>16393</v>
      </c>
      <c r="H2268" s="50"/>
      <c r="I2268" s="50"/>
      <c r="J2268" s="306"/>
    </row>
    <row r="2269" spans="2:10">
      <c r="B2269" s="413"/>
      <c r="C2269" s="414"/>
      <c r="D2269" s="414"/>
      <c r="E2269" s="50"/>
      <c r="F2269" s="403">
        <v>6229</v>
      </c>
      <c r="G2269" s="406">
        <v>16393</v>
      </c>
      <c r="H2269" s="50"/>
      <c r="I2269" s="50"/>
      <c r="J2269" s="306"/>
    </row>
    <row r="2270" spans="2:10">
      <c r="B2270" s="413"/>
      <c r="C2270" s="414"/>
      <c r="D2270" s="414"/>
      <c r="E2270" s="50"/>
      <c r="F2270" s="403">
        <v>6230</v>
      </c>
      <c r="G2270" s="406">
        <v>16380</v>
      </c>
      <c r="H2270" s="50"/>
      <c r="I2270" s="50"/>
      <c r="J2270" s="306"/>
    </row>
    <row r="2271" spans="2:10">
      <c r="B2271" s="413"/>
      <c r="C2271" s="414"/>
      <c r="D2271" s="414"/>
      <c r="E2271" s="50"/>
      <c r="F2271" s="403">
        <v>6232</v>
      </c>
      <c r="G2271" s="406">
        <v>17021</v>
      </c>
      <c r="H2271" s="50"/>
      <c r="I2271" s="50"/>
      <c r="J2271" s="306"/>
    </row>
    <row r="2272" spans="2:10">
      <c r="B2272" s="413"/>
      <c r="C2272" s="414"/>
      <c r="D2272" s="414"/>
      <c r="E2272" s="50"/>
      <c r="F2272" s="403">
        <v>6233</v>
      </c>
      <c r="G2272" s="406">
        <v>17022</v>
      </c>
      <c r="H2272" s="50"/>
      <c r="I2272" s="50"/>
      <c r="J2272" s="306"/>
    </row>
    <row r="2273" spans="2:10">
      <c r="B2273" s="413"/>
      <c r="C2273" s="414"/>
      <c r="D2273" s="414"/>
      <c r="E2273" s="50"/>
      <c r="F2273" s="403">
        <v>6236</v>
      </c>
      <c r="G2273" s="406">
        <v>16739</v>
      </c>
      <c r="H2273" s="50"/>
      <c r="I2273" s="50"/>
      <c r="J2273" s="306"/>
    </row>
    <row r="2274" spans="2:10">
      <c r="B2274" s="413"/>
      <c r="C2274" s="414"/>
      <c r="D2274" s="414"/>
      <c r="E2274" s="50"/>
      <c r="F2274" s="403">
        <v>6237</v>
      </c>
      <c r="G2274" s="406">
        <v>16142</v>
      </c>
      <c r="H2274" s="50"/>
      <c r="I2274" s="50"/>
      <c r="J2274" s="306"/>
    </row>
    <row r="2275" spans="2:10">
      <c r="B2275" s="413"/>
      <c r="C2275" s="414"/>
      <c r="D2275" s="414"/>
      <c r="E2275" s="50"/>
      <c r="F2275" s="403">
        <v>6239</v>
      </c>
      <c r="G2275" s="406">
        <v>15835</v>
      </c>
      <c r="H2275" s="50"/>
      <c r="I2275" s="50"/>
      <c r="J2275" s="306"/>
    </row>
    <row r="2276" spans="2:10">
      <c r="B2276" s="413"/>
      <c r="C2276" s="414"/>
      <c r="D2276" s="414"/>
      <c r="E2276" s="50"/>
      <c r="F2276" s="403">
        <v>6240</v>
      </c>
      <c r="G2276" s="406">
        <v>16751</v>
      </c>
      <c r="H2276" s="50"/>
      <c r="I2276" s="50"/>
      <c r="J2276" s="306"/>
    </row>
    <row r="2277" spans="2:10">
      <c r="B2277" s="413"/>
      <c r="C2277" s="414"/>
      <c r="D2277" s="414"/>
      <c r="E2277" s="50"/>
      <c r="F2277" s="403">
        <v>6243</v>
      </c>
      <c r="G2277" s="406">
        <v>16816</v>
      </c>
      <c r="H2277" s="50"/>
      <c r="I2277" s="50"/>
      <c r="J2277" s="306"/>
    </row>
    <row r="2278" spans="2:10">
      <c r="B2278" s="413"/>
      <c r="C2278" s="414"/>
      <c r="D2278" s="414"/>
      <c r="E2278" s="50"/>
      <c r="F2278" s="403">
        <v>6244</v>
      </c>
      <c r="G2278" s="406">
        <v>17343</v>
      </c>
      <c r="H2278" s="50"/>
      <c r="I2278" s="50"/>
      <c r="J2278" s="306"/>
    </row>
    <row r="2279" spans="2:10">
      <c r="B2279" s="413"/>
      <c r="C2279" s="414"/>
      <c r="D2279" s="414"/>
      <c r="E2279" s="50"/>
      <c r="F2279" s="403">
        <v>6251</v>
      </c>
      <c r="G2279" s="406">
        <v>15835</v>
      </c>
      <c r="H2279" s="50"/>
      <c r="I2279" s="50"/>
      <c r="J2279" s="306"/>
    </row>
    <row r="2280" spans="2:10">
      <c r="B2280" s="413"/>
      <c r="C2280" s="414"/>
      <c r="D2280" s="414"/>
      <c r="E2280" s="50"/>
      <c r="F2280" s="403">
        <v>6252</v>
      </c>
      <c r="G2280" s="406">
        <v>15956</v>
      </c>
      <c r="H2280" s="50"/>
      <c r="I2280" s="50"/>
      <c r="J2280" s="306"/>
    </row>
    <row r="2281" spans="2:10">
      <c r="B2281" s="413"/>
      <c r="C2281" s="414"/>
      <c r="D2281" s="414"/>
      <c r="E2281" s="50"/>
      <c r="F2281" s="403">
        <v>6253</v>
      </c>
      <c r="G2281" s="406">
        <v>16227</v>
      </c>
      <c r="H2281" s="50"/>
      <c r="I2281" s="50"/>
      <c r="J2281" s="306"/>
    </row>
    <row r="2282" spans="2:10">
      <c r="B2282" s="413"/>
      <c r="C2282" s="414"/>
      <c r="D2282" s="414"/>
      <c r="E2282" s="50"/>
      <c r="F2282" s="403">
        <v>6254</v>
      </c>
      <c r="G2282" s="406">
        <v>16451</v>
      </c>
      <c r="H2282" s="50"/>
      <c r="I2282" s="50"/>
      <c r="J2282" s="306"/>
    </row>
    <row r="2283" spans="2:10">
      <c r="B2283" s="413"/>
      <c r="C2283" s="414"/>
      <c r="D2283" s="414"/>
      <c r="E2283" s="50"/>
      <c r="F2283" s="403">
        <v>6255</v>
      </c>
      <c r="G2283" s="406">
        <v>16816</v>
      </c>
      <c r="H2283" s="50"/>
      <c r="I2283" s="50"/>
      <c r="J2283" s="306"/>
    </row>
    <row r="2284" spans="2:10">
      <c r="B2284" s="413"/>
      <c r="C2284" s="414"/>
      <c r="D2284" s="414"/>
      <c r="E2284" s="50"/>
      <c r="F2284" s="403">
        <v>6256</v>
      </c>
      <c r="G2284" s="406">
        <v>14649</v>
      </c>
      <c r="H2284" s="50"/>
      <c r="I2284" s="50"/>
      <c r="J2284" s="306"/>
    </row>
    <row r="2285" spans="2:10">
      <c r="B2285" s="413"/>
      <c r="C2285" s="414"/>
      <c r="D2285" s="414"/>
      <c r="E2285" s="50"/>
      <c r="F2285" s="403">
        <v>6258</v>
      </c>
      <c r="G2285" s="406">
        <v>14138</v>
      </c>
      <c r="H2285" s="50"/>
      <c r="I2285" s="50"/>
      <c r="J2285" s="306"/>
    </row>
    <row r="2286" spans="2:10">
      <c r="B2286" s="413"/>
      <c r="C2286" s="414"/>
      <c r="D2286" s="414"/>
      <c r="E2286" s="50"/>
      <c r="F2286" s="403">
        <v>6260</v>
      </c>
      <c r="G2286" s="406">
        <v>14436</v>
      </c>
      <c r="H2286" s="50"/>
      <c r="I2286" s="50"/>
      <c r="J2286" s="306"/>
    </row>
    <row r="2287" spans="2:10">
      <c r="B2287" s="413"/>
      <c r="C2287" s="414"/>
      <c r="D2287" s="414"/>
      <c r="E2287" s="50"/>
      <c r="F2287" s="403">
        <v>6262</v>
      </c>
      <c r="G2287" s="406">
        <v>13860</v>
      </c>
      <c r="H2287" s="50"/>
      <c r="I2287" s="50"/>
      <c r="J2287" s="306"/>
    </row>
    <row r="2288" spans="2:10">
      <c r="B2288" s="413"/>
      <c r="C2288" s="414"/>
      <c r="D2288" s="414"/>
      <c r="E2288" s="50"/>
      <c r="F2288" s="403">
        <v>6271</v>
      </c>
      <c r="G2288" s="406">
        <v>16112</v>
      </c>
      <c r="H2288" s="50"/>
      <c r="I2288" s="50"/>
      <c r="J2288" s="306"/>
    </row>
    <row r="2289" spans="2:10">
      <c r="B2289" s="413"/>
      <c r="C2289" s="414"/>
      <c r="D2289" s="414"/>
      <c r="E2289" s="50"/>
      <c r="F2289" s="403">
        <v>6275</v>
      </c>
      <c r="G2289" s="406">
        <v>16410</v>
      </c>
      <c r="H2289" s="50"/>
      <c r="I2289" s="50"/>
      <c r="J2289" s="306"/>
    </row>
    <row r="2290" spans="2:10">
      <c r="B2290" s="413"/>
      <c r="C2290" s="414"/>
      <c r="D2290" s="414"/>
      <c r="E2290" s="50"/>
      <c r="F2290" s="403">
        <v>6280</v>
      </c>
      <c r="G2290" s="406">
        <v>16256</v>
      </c>
      <c r="H2290" s="50"/>
      <c r="I2290" s="50"/>
      <c r="J2290" s="306"/>
    </row>
    <row r="2291" spans="2:10">
      <c r="B2291" s="413"/>
      <c r="C2291" s="414"/>
      <c r="D2291" s="414"/>
      <c r="E2291" s="50"/>
      <c r="F2291" s="403">
        <v>6281</v>
      </c>
      <c r="G2291" s="406">
        <v>16256</v>
      </c>
      <c r="H2291" s="50"/>
      <c r="I2291" s="50"/>
      <c r="J2291" s="306"/>
    </row>
    <row r="2292" spans="2:10">
      <c r="B2292" s="413"/>
      <c r="C2292" s="414"/>
      <c r="D2292" s="414"/>
      <c r="E2292" s="50"/>
      <c r="F2292" s="403">
        <v>6282</v>
      </c>
      <c r="G2292" s="406">
        <v>16311</v>
      </c>
      <c r="H2292" s="50"/>
      <c r="I2292" s="50"/>
      <c r="J2292" s="306"/>
    </row>
    <row r="2293" spans="2:10">
      <c r="B2293" s="413"/>
      <c r="C2293" s="414"/>
      <c r="D2293" s="414"/>
      <c r="E2293" s="50"/>
      <c r="F2293" s="403">
        <v>6284</v>
      </c>
      <c r="G2293" s="406">
        <v>16329</v>
      </c>
      <c r="H2293" s="50"/>
      <c r="I2293" s="50"/>
      <c r="J2293" s="306"/>
    </row>
    <row r="2294" spans="2:10">
      <c r="B2294" s="413"/>
      <c r="C2294" s="414"/>
      <c r="D2294" s="414"/>
      <c r="E2294" s="50"/>
      <c r="F2294" s="403">
        <v>6285</v>
      </c>
      <c r="G2294" s="406">
        <v>16320</v>
      </c>
      <c r="H2294" s="50"/>
      <c r="I2294" s="50"/>
      <c r="J2294" s="306"/>
    </row>
    <row r="2295" spans="2:10">
      <c r="B2295" s="413"/>
      <c r="C2295" s="414"/>
      <c r="D2295" s="414"/>
      <c r="E2295" s="50"/>
      <c r="F2295" s="403">
        <v>6286</v>
      </c>
      <c r="G2295" s="406">
        <v>16320</v>
      </c>
      <c r="H2295" s="50"/>
      <c r="I2295" s="50"/>
      <c r="J2295" s="306"/>
    </row>
    <row r="2296" spans="2:10">
      <c r="B2296" s="413"/>
      <c r="C2296" s="414"/>
      <c r="D2296" s="414"/>
      <c r="E2296" s="50"/>
      <c r="F2296" s="403">
        <v>6288</v>
      </c>
      <c r="G2296" s="406">
        <v>16417</v>
      </c>
      <c r="H2296" s="50"/>
      <c r="I2296" s="50"/>
      <c r="J2296" s="306"/>
    </row>
    <row r="2297" spans="2:10">
      <c r="B2297" s="413"/>
      <c r="C2297" s="414"/>
      <c r="D2297" s="414"/>
      <c r="E2297" s="50"/>
      <c r="F2297" s="403">
        <v>6290</v>
      </c>
      <c r="G2297" s="406">
        <v>16417</v>
      </c>
      <c r="H2297" s="50"/>
      <c r="I2297" s="50"/>
      <c r="J2297" s="306"/>
    </row>
    <row r="2298" spans="2:10">
      <c r="B2298" s="413"/>
      <c r="C2298" s="414"/>
      <c r="D2298" s="414"/>
      <c r="E2298" s="50"/>
      <c r="F2298" s="403">
        <v>6302</v>
      </c>
      <c r="G2298" s="406">
        <v>14726</v>
      </c>
      <c r="H2298" s="50"/>
      <c r="I2298" s="50"/>
      <c r="J2298" s="306"/>
    </row>
    <row r="2299" spans="2:10">
      <c r="B2299" s="413"/>
      <c r="C2299" s="414"/>
      <c r="D2299" s="414"/>
      <c r="E2299" s="50"/>
      <c r="F2299" s="403">
        <v>6304</v>
      </c>
      <c r="G2299" s="406">
        <v>15937</v>
      </c>
      <c r="H2299" s="50"/>
      <c r="I2299" s="50"/>
      <c r="J2299" s="306"/>
    </row>
    <row r="2300" spans="2:10">
      <c r="B2300" s="413"/>
      <c r="C2300" s="414"/>
      <c r="D2300" s="414"/>
      <c r="E2300" s="50"/>
      <c r="F2300" s="403">
        <v>6306</v>
      </c>
      <c r="G2300" s="406">
        <v>18333</v>
      </c>
      <c r="H2300" s="50"/>
      <c r="I2300" s="50"/>
      <c r="J2300" s="306"/>
    </row>
    <row r="2301" spans="2:10">
      <c r="B2301" s="413"/>
      <c r="C2301" s="414"/>
      <c r="D2301" s="414"/>
      <c r="E2301" s="50"/>
      <c r="F2301" s="403">
        <v>6308</v>
      </c>
      <c r="G2301" s="406">
        <v>17104</v>
      </c>
      <c r="H2301" s="50"/>
      <c r="I2301" s="50"/>
      <c r="J2301" s="306"/>
    </row>
    <row r="2302" spans="2:10">
      <c r="B2302" s="413"/>
      <c r="C2302" s="414"/>
      <c r="D2302" s="414"/>
      <c r="E2302" s="50"/>
      <c r="F2302" s="403">
        <v>6309</v>
      </c>
      <c r="G2302" s="406">
        <v>17190</v>
      </c>
      <c r="H2302" s="50"/>
      <c r="I2302" s="50"/>
      <c r="J2302" s="306"/>
    </row>
    <row r="2303" spans="2:10">
      <c r="B2303" s="413"/>
      <c r="C2303" s="414"/>
      <c r="D2303" s="414"/>
      <c r="E2303" s="50"/>
      <c r="F2303" s="403">
        <v>6311</v>
      </c>
      <c r="G2303" s="406">
        <v>16276</v>
      </c>
      <c r="H2303" s="50"/>
      <c r="I2303" s="50"/>
      <c r="J2303" s="306"/>
    </row>
    <row r="2304" spans="2:10">
      <c r="B2304" s="413"/>
      <c r="C2304" s="414"/>
      <c r="D2304" s="414"/>
      <c r="E2304" s="50"/>
      <c r="F2304" s="403">
        <v>6312</v>
      </c>
      <c r="G2304" s="406">
        <v>16401</v>
      </c>
      <c r="H2304" s="50"/>
      <c r="I2304" s="50"/>
      <c r="J2304" s="306"/>
    </row>
    <row r="2305" spans="2:10">
      <c r="B2305" s="413"/>
      <c r="C2305" s="414"/>
      <c r="D2305" s="414"/>
      <c r="E2305" s="50"/>
      <c r="F2305" s="403">
        <v>6313</v>
      </c>
      <c r="G2305" s="406">
        <v>16414</v>
      </c>
      <c r="H2305" s="50"/>
      <c r="I2305" s="50"/>
      <c r="J2305" s="306"/>
    </row>
    <row r="2306" spans="2:10">
      <c r="B2306" s="413"/>
      <c r="C2306" s="414"/>
      <c r="D2306" s="414"/>
      <c r="E2306" s="50"/>
      <c r="F2306" s="403">
        <v>6315</v>
      </c>
      <c r="G2306" s="406">
        <v>18187</v>
      </c>
      <c r="H2306" s="50"/>
      <c r="I2306" s="50"/>
      <c r="J2306" s="306"/>
    </row>
    <row r="2307" spans="2:10">
      <c r="B2307" s="413"/>
      <c r="C2307" s="414"/>
      <c r="D2307" s="414"/>
      <c r="E2307" s="50"/>
      <c r="F2307" s="403">
        <v>6316</v>
      </c>
      <c r="G2307" s="406">
        <v>19509</v>
      </c>
      <c r="H2307" s="50"/>
      <c r="I2307" s="50"/>
      <c r="J2307" s="306"/>
    </row>
    <row r="2308" spans="2:10">
      <c r="B2308" s="413"/>
      <c r="C2308" s="414"/>
      <c r="D2308" s="414"/>
      <c r="E2308" s="50"/>
      <c r="F2308" s="403">
        <v>6317</v>
      </c>
      <c r="G2308" s="406">
        <v>19651</v>
      </c>
      <c r="H2308" s="50"/>
      <c r="I2308" s="50"/>
      <c r="J2308" s="306"/>
    </row>
    <row r="2309" spans="2:10">
      <c r="B2309" s="413"/>
      <c r="C2309" s="414"/>
      <c r="D2309" s="414"/>
      <c r="E2309" s="50"/>
      <c r="F2309" s="403">
        <v>6318</v>
      </c>
      <c r="G2309" s="406">
        <v>19555</v>
      </c>
      <c r="H2309" s="50"/>
      <c r="I2309" s="50"/>
      <c r="J2309" s="306"/>
    </row>
    <row r="2310" spans="2:10">
      <c r="B2310" s="413"/>
      <c r="C2310" s="414"/>
      <c r="D2310" s="414"/>
      <c r="E2310" s="50"/>
      <c r="F2310" s="403">
        <v>6320</v>
      </c>
      <c r="G2310" s="406">
        <v>18858</v>
      </c>
      <c r="H2310" s="50"/>
      <c r="I2310" s="50"/>
      <c r="J2310" s="306"/>
    </row>
    <row r="2311" spans="2:10">
      <c r="B2311" s="413"/>
      <c r="C2311" s="414"/>
      <c r="D2311" s="414"/>
      <c r="E2311" s="50"/>
      <c r="F2311" s="403">
        <v>6321</v>
      </c>
      <c r="G2311" s="406">
        <v>15716</v>
      </c>
      <c r="H2311" s="50"/>
      <c r="I2311" s="50"/>
      <c r="J2311" s="306"/>
    </row>
    <row r="2312" spans="2:10">
      <c r="B2312" s="413"/>
      <c r="C2312" s="414"/>
      <c r="D2312" s="414"/>
      <c r="E2312" s="50"/>
      <c r="F2312" s="403">
        <v>6322</v>
      </c>
      <c r="G2312" s="406">
        <v>14477</v>
      </c>
      <c r="H2312" s="50"/>
      <c r="I2312" s="50"/>
      <c r="J2312" s="306"/>
    </row>
    <row r="2313" spans="2:10">
      <c r="B2313" s="413"/>
      <c r="C2313" s="414"/>
      <c r="D2313" s="414"/>
      <c r="E2313" s="50"/>
      <c r="F2313" s="403">
        <v>6323</v>
      </c>
      <c r="G2313" s="406">
        <v>14306</v>
      </c>
      <c r="H2313" s="50"/>
      <c r="I2313" s="50"/>
      <c r="J2313" s="306"/>
    </row>
    <row r="2314" spans="2:10">
      <c r="B2314" s="413"/>
      <c r="C2314" s="414"/>
      <c r="D2314" s="414"/>
      <c r="E2314" s="50"/>
      <c r="F2314" s="403">
        <v>6324</v>
      </c>
      <c r="G2314" s="406">
        <v>14306</v>
      </c>
      <c r="H2314" s="50"/>
      <c r="I2314" s="50"/>
      <c r="J2314" s="306"/>
    </row>
    <row r="2315" spans="2:10">
      <c r="B2315" s="413"/>
      <c r="C2315" s="414"/>
      <c r="D2315" s="414"/>
      <c r="E2315" s="50"/>
      <c r="F2315" s="403">
        <v>6326</v>
      </c>
      <c r="G2315" s="406">
        <v>14275</v>
      </c>
      <c r="H2315" s="50"/>
      <c r="I2315" s="50"/>
      <c r="J2315" s="306"/>
    </row>
    <row r="2316" spans="2:10">
      <c r="B2316" s="413"/>
      <c r="C2316" s="414"/>
      <c r="D2316" s="414"/>
      <c r="E2316" s="50"/>
      <c r="F2316" s="403">
        <v>6327</v>
      </c>
      <c r="G2316" s="406">
        <v>14264</v>
      </c>
      <c r="H2316" s="50"/>
      <c r="I2316" s="50"/>
      <c r="J2316" s="306"/>
    </row>
    <row r="2317" spans="2:10">
      <c r="B2317" s="413"/>
      <c r="C2317" s="414"/>
      <c r="D2317" s="414"/>
      <c r="E2317" s="50"/>
      <c r="F2317" s="403">
        <v>6328</v>
      </c>
      <c r="G2317" s="406">
        <v>14256</v>
      </c>
      <c r="H2317" s="50"/>
      <c r="I2317" s="50"/>
      <c r="J2317" s="306"/>
    </row>
    <row r="2318" spans="2:10">
      <c r="B2318" s="413"/>
      <c r="C2318" s="414"/>
      <c r="D2318" s="414"/>
      <c r="E2318" s="50"/>
      <c r="F2318" s="403">
        <v>6330</v>
      </c>
      <c r="G2318" s="406">
        <v>14264</v>
      </c>
      <c r="H2318" s="50"/>
      <c r="I2318" s="50"/>
      <c r="J2318" s="306"/>
    </row>
    <row r="2319" spans="2:10">
      <c r="B2319" s="413"/>
      <c r="C2319" s="414"/>
      <c r="D2319" s="414"/>
      <c r="E2319" s="50"/>
      <c r="F2319" s="403">
        <v>6333</v>
      </c>
      <c r="G2319" s="406">
        <v>14268</v>
      </c>
      <c r="H2319" s="50"/>
      <c r="I2319" s="50"/>
      <c r="J2319" s="306"/>
    </row>
    <row r="2320" spans="2:10">
      <c r="B2320" s="413"/>
      <c r="C2320" s="414"/>
      <c r="D2320" s="414"/>
      <c r="E2320" s="50"/>
      <c r="F2320" s="403">
        <v>6335</v>
      </c>
      <c r="G2320" s="406">
        <v>19835</v>
      </c>
      <c r="H2320" s="50"/>
      <c r="I2320" s="50"/>
      <c r="J2320" s="306"/>
    </row>
    <row r="2321" spans="2:10">
      <c r="B2321" s="413"/>
      <c r="C2321" s="414"/>
      <c r="D2321" s="414"/>
      <c r="E2321" s="50"/>
      <c r="F2321" s="403">
        <v>6336</v>
      </c>
      <c r="G2321" s="406">
        <v>19036</v>
      </c>
      <c r="H2321" s="50"/>
      <c r="I2321" s="50"/>
      <c r="J2321" s="306"/>
    </row>
    <row r="2322" spans="2:10">
      <c r="B2322" s="413"/>
      <c r="C2322" s="414"/>
      <c r="D2322" s="414"/>
      <c r="E2322" s="50"/>
      <c r="F2322" s="403">
        <v>6337</v>
      </c>
      <c r="G2322" s="406">
        <v>18836</v>
      </c>
      <c r="H2322" s="50"/>
      <c r="I2322" s="50"/>
      <c r="J2322" s="306"/>
    </row>
    <row r="2323" spans="2:10">
      <c r="B2323" s="413"/>
      <c r="C2323" s="414"/>
      <c r="D2323" s="414"/>
      <c r="E2323" s="50"/>
      <c r="F2323" s="403">
        <v>6338</v>
      </c>
      <c r="G2323" s="406">
        <v>15662</v>
      </c>
      <c r="H2323" s="50"/>
      <c r="I2323" s="50"/>
      <c r="J2323" s="306"/>
    </row>
    <row r="2324" spans="2:10">
      <c r="B2324" s="413"/>
      <c r="C2324" s="414"/>
      <c r="D2324" s="414"/>
      <c r="E2324" s="50"/>
      <c r="F2324" s="403">
        <v>6341</v>
      </c>
      <c r="G2324" s="406">
        <v>19613</v>
      </c>
      <c r="H2324" s="50"/>
      <c r="I2324" s="50"/>
      <c r="J2324" s="306"/>
    </row>
    <row r="2325" spans="2:10">
      <c r="B2325" s="413"/>
      <c r="C2325" s="414"/>
      <c r="D2325" s="414"/>
      <c r="E2325" s="50"/>
      <c r="F2325" s="403">
        <v>6343</v>
      </c>
      <c r="G2325" s="406">
        <v>19613</v>
      </c>
      <c r="H2325" s="50"/>
      <c r="I2325" s="50"/>
      <c r="J2325" s="306"/>
    </row>
    <row r="2326" spans="2:10">
      <c r="B2326" s="413"/>
      <c r="C2326" s="414"/>
      <c r="D2326" s="414"/>
      <c r="E2326" s="50"/>
      <c r="F2326" s="403">
        <v>6346</v>
      </c>
      <c r="G2326" s="406">
        <v>21743</v>
      </c>
      <c r="H2326" s="50"/>
      <c r="I2326" s="50"/>
      <c r="J2326" s="306"/>
    </row>
    <row r="2327" spans="2:10">
      <c r="B2327" s="413"/>
      <c r="C2327" s="414"/>
      <c r="D2327" s="414"/>
      <c r="E2327" s="50"/>
      <c r="F2327" s="403">
        <v>6348</v>
      </c>
      <c r="G2327" s="406">
        <v>20077</v>
      </c>
      <c r="H2327" s="50"/>
      <c r="I2327" s="50"/>
      <c r="J2327" s="306"/>
    </row>
    <row r="2328" spans="2:10">
      <c r="B2328" s="413"/>
      <c r="C2328" s="414"/>
      <c r="D2328" s="414"/>
      <c r="E2328" s="50"/>
      <c r="F2328" s="403">
        <v>6350</v>
      </c>
      <c r="G2328" s="406">
        <v>18939</v>
      </c>
      <c r="H2328" s="50"/>
      <c r="I2328" s="50"/>
      <c r="J2328" s="306"/>
    </row>
    <row r="2329" spans="2:10">
      <c r="B2329" s="413"/>
      <c r="C2329" s="414"/>
      <c r="D2329" s="414"/>
      <c r="E2329" s="50"/>
      <c r="F2329" s="403">
        <v>6351</v>
      </c>
      <c r="G2329" s="406">
        <v>19037</v>
      </c>
      <c r="H2329" s="50"/>
      <c r="I2329" s="50"/>
      <c r="J2329" s="306"/>
    </row>
    <row r="2330" spans="2:10">
      <c r="B2330" s="413"/>
      <c r="C2330" s="414"/>
      <c r="D2330" s="414"/>
      <c r="E2330" s="50"/>
      <c r="F2330" s="403">
        <v>6352</v>
      </c>
      <c r="G2330" s="406">
        <v>19037</v>
      </c>
      <c r="H2330" s="50"/>
      <c r="I2330" s="50"/>
      <c r="J2330" s="306"/>
    </row>
    <row r="2331" spans="2:10">
      <c r="B2331" s="413"/>
      <c r="C2331" s="414"/>
      <c r="D2331" s="414"/>
      <c r="E2331" s="50"/>
      <c r="F2331" s="403">
        <v>6353</v>
      </c>
      <c r="G2331" s="406">
        <v>18848</v>
      </c>
      <c r="H2331" s="50"/>
      <c r="I2331" s="50"/>
      <c r="J2331" s="306"/>
    </row>
    <row r="2332" spans="2:10">
      <c r="B2332" s="413"/>
      <c r="C2332" s="414"/>
      <c r="D2332" s="414"/>
      <c r="E2332" s="50"/>
      <c r="F2332" s="403">
        <v>6355</v>
      </c>
      <c r="G2332" s="406">
        <v>20172</v>
      </c>
      <c r="H2332" s="50"/>
      <c r="I2332" s="50"/>
      <c r="J2332" s="306"/>
    </row>
    <row r="2333" spans="2:10">
      <c r="B2333" s="413"/>
      <c r="C2333" s="414"/>
      <c r="D2333" s="414"/>
      <c r="E2333" s="50"/>
      <c r="F2333" s="403">
        <v>6356</v>
      </c>
      <c r="G2333" s="406">
        <v>22727</v>
      </c>
      <c r="H2333" s="50"/>
      <c r="I2333" s="50"/>
      <c r="J2333" s="306"/>
    </row>
    <row r="2334" spans="2:10">
      <c r="B2334" s="413"/>
      <c r="C2334" s="414"/>
      <c r="D2334" s="414"/>
      <c r="E2334" s="50"/>
      <c r="F2334" s="403">
        <v>6357</v>
      </c>
      <c r="G2334" s="406">
        <v>20172</v>
      </c>
      <c r="H2334" s="50"/>
      <c r="I2334" s="50"/>
      <c r="J2334" s="306"/>
    </row>
    <row r="2335" spans="2:10">
      <c r="B2335" s="413"/>
      <c r="C2335" s="414"/>
      <c r="D2335" s="414"/>
      <c r="E2335" s="50"/>
      <c r="F2335" s="403">
        <v>6358</v>
      </c>
      <c r="G2335" s="406">
        <v>20355</v>
      </c>
      <c r="H2335" s="50"/>
      <c r="I2335" s="50"/>
      <c r="J2335" s="306"/>
    </row>
    <row r="2336" spans="2:10">
      <c r="B2336" s="413"/>
      <c r="C2336" s="414"/>
      <c r="D2336" s="414"/>
      <c r="E2336" s="50"/>
      <c r="F2336" s="403">
        <v>6359</v>
      </c>
      <c r="G2336" s="406">
        <v>21500</v>
      </c>
      <c r="H2336" s="50"/>
      <c r="I2336" s="50"/>
      <c r="J2336" s="306"/>
    </row>
    <row r="2337" spans="2:10">
      <c r="B2337" s="413"/>
      <c r="C2337" s="414"/>
      <c r="D2337" s="414"/>
      <c r="E2337" s="50"/>
      <c r="F2337" s="403">
        <v>6361</v>
      </c>
      <c r="G2337" s="406">
        <v>16777</v>
      </c>
      <c r="H2337" s="50"/>
      <c r="I2337" s="50"/>
      <c r="J2337" s="306"/>
    </row>
    <row r="2338" spans="2:10">
      <c r="B2338" s="413"/>
      <c r="C2338" s="414"/>
      <c r="D2338" s="414"/>
      <c r="E2338" s="50"/>
      <c r="F2338" s="403">
        <v>6363</v>
      </c>
      <c r="G2338" s="406">
        <v>16777</v>
      </c>
      <c r="H2338" s="50"/>
      <c r="I2338" s="50"/>
      <c r="J2338" s="306"/>
    </row>
    <row r="2339" spans="2:10">
      <c r="B2339" s="413"/>
      <c r="C2339" s="414"/>
      <c r="D2339" s="414"/>
      <c r="E2339" s="50"/>
      <c r="F2339" s="403">
        <v>6365</v>
      </c>
      <c r="G2339" s="406">
        <v>18317</v>
      </c>
      <c r="H2339" s="50"/>
      <c r="I2339" s="50"/>
      <c r="J2339" s="306"/>
    </row>
    <row r="2340" spans="2:10">
      <c r="B2340" s="413"/>
      <c r="C2340" s="414"/>
      <c r="D2340" s="414"/>
      <c r="E2340" s="50"/>
      <c r="F2340" s="403">
        <v>6367</v>
      </c>
      <c r="G2340" s="406">
        <v>18009</v>
      </c>
      <c r="H2340" s="50"/>
      <c r="I2340" s="50"/>
      <c r="J2340" s="306"/>
    </row>
    <row r="2341" spans="2:10">
      <c r="B2341" s="413"/>
      <c r="C2341" s="414"/>
      <c r="D2341" s="414"/>
      <c r="E2341" s="50"/>
      <c r="F2341" s="403">
        <v>6368</v>
      </c>
      <c r="G2341" s="406">
        <v>18154</v>
      </c>
      <c r="H2341" s="50"/>
      <c r="I2341" s="50"/>
      <c r="J2341" s="306"/>
    </row>
    <row r="2342" spans="2:10">
      <c r="B2342" s="413"/>
      <c r="C2342" s="414"/>
      <c r="D2342" s="414"/>
      <c r="E2342" s="50"/>
      <c r="F2342" s="403">
        <v>6369</v>
      </c>
      <c r="G2342" s="406">
        <v>20165</v>
      </c>
      <c r="H2342" s="50"/>
      <c r="I2342" s="50"/>
      <c r="J2342" s="306"/>
    </row>
    <row r="2343" spans="2:10">
      <c r="B2343" s="413"/>
      <c r="C2343" s="414"/>
      <c r="D2343" s="414"/>
      <c r="E2343" s="50"/>
      <c r="F2343" s="403">
        <v>6370</v>
      </c>
      <c r="G2343" s="406">
        <v>16166</v>
      </c>
      <c r="H2343" s="50"/>
      <c r="I2343" s="50"/>
      <c r="J2343" s="306"/>
    </row>
    <row r="2344" spans="2:10">
      <c r="B2344" s="413"/>
      <c r="C2344" s="414"/>
      <c r="D2344" s="414"/>
      <c r="E2344" s="50"/>
      <c r="F2344" s="403">
        <v>6372</v>
      </c>
      <c r="G2344" s="406">
        <v>16793</v>
      </c>
      <c r="H2344" s="50"/>
      <c r="I2344" s="50"/>
      <c r="J2344" s="306"/>
    </row>
    <row r="2345" spans="2:10">
      <c r="B2345" s="413"/>
      <c r="C2345" s="414"/>
      <c r="D2345" s="414"/>
      <c r="E2345" s="50"/>
      <c r="F2345" s="403">
        <v>6373</v>
      </c>
      <c r="G2345" s="406">
        <v>18480</v>
      </c>
      <c r="H2345" s="50"/>
      <c r="I2345" s="50"/>
      <c r="J2345" s="306"/>
    </row>
    <row r="2346" spans="2:10">
      <c r="B2346" s="413"/>
      <c r="C2346" s="414"/>
      <c r="D2346" s="414"/>
      <c r="E2346" s="50"/>
      <c r="F2346" s="403">
        <v>6375</v>
      </c>
      <c r="G2346" s="406">
        <v>18978</v>
      </c>
      <c r="H2346" s="50"/>
      <c r="I2346" s="50"/>
      <c r="J2346" s="306"/>
    </row>
    <row r="2347" spans="2:10">
      <c r="B2347" s="413"/>
      <c r="C2347" s="414"/>
      <c r="D2347" s="414"/>
      <c r="E2347" s="50"/>
      <c r="F2347" s="403">
        <v>6383</v>
      </c>
      <c r="G2347" s="406">
        <v>17896</v>
      </c>
      <c r="H2347" s="50"/>
      <c r="I2347" s="50"/>
      <c r="J2347" s="306"/>
    </row>
    <row r="2348" spans="2:10">
      <c r="B2348" s="413"/>
      <c r="C2348" s="414"/>
      <c r="D2348" s="414"/>
      <c r="E2348" s="50"/>
      <c r="F2348" s="403">
        <v>6384</v>
      </c>
      <c r="G2348" s="406">
        <v>19221</v>
      </c>
      <c r="H2348" s="50"/>
      <c r="I2348" s="50"/>
      <c r="J2348" s="306"/>
    </row>
    <row r="2349" spans="2:10">
      <c r="B2349" s="413"/>
      <c r="C2349" s="414"/>
      <c r="D2349" s="414"/>
      <c r="E2349" s="50"/>
      <c r="F2349" s="403">
        <v>6385</v>
      </c>
      <c r="G2349" s="406">
        <v>18312</v>
      </c>
      <c r="H2349" s="50"/>
      <c r="I2349" s="50"/>
      <c r="J2349" s="306"/>
    </row>
    <row r="2350" spans="2:10">
      <c r="B2350" s="413"/>
      <c r="C2350" s="414"/>
      <c r="D2350" s="414"/>
      <c r="E2350" s="50"/>
      <c r="F2350" s="403">
        <v>6386</v>
      </c>
      <c r="G2350" s="406">
        <v>18312</v>
      </c>
      <c r="H2350" s="50"/>
      <c r="I2350" s="50"/>
      <c r="J2350" s="306"/>
    </row>
    <row r="2351" spans="2:10">
      <c r="B2351" s="413"/>
      <c r="C2351" s="414"/>
      <c r="D2351" s="414"/>
      <c r="E2351" s="50"/>
      <c r="F2351" s="403">
        <v>6390</v>
      </c>
      <c r="G2351" s="406">
        <v>17832</v>
      </c>
      <c r="H2351" s="50"/>
      <c r="I2351" s="50"/>
      <c r="J2351" s="306"/>
    </row>
    <row r="2352" spans="2:10">
      <c r="B2352" s="413"/>
      <c r="C2352" s="414"/>
      <c r="D2352" s="414"/>
      <c r="E2352" s="50"/>
      <c r="F2352" s="403">
        <v>6391</v>
      </c>
      <c r="G2352" s="406">
        <v>16096</v>
      </c>
      <c r="H2352" s="50"/>
      <c r="I2352" s="50"/>
      <c r="J2352" s="306"/>
    </row>
    <row r="2353" spans="2:10">
      <c r="B2353" s="413"/>
      <c r="C2353" s="414"/>
      <c r="D2353" s="414"/>
      <c r="E2353" s="50"/>
      <c r="F2353" s="403">
        <v>6392</v>
      </c>
      <c r="G2353" s="406">
        <v>17152</v>
      </c>
      <c r="H2353" s="50"/>
      <c r="I2353" s="50"/>
      <c r="J2353" s="306"/>
    </row>
    <row r="2354" spans="2:10">
      <c r="B2354" s="413"/>
      <c r="C2354" s="414"/>
      <c r="D2354" s="414"/>
      <c r="E2354" s="50"/>
      <c r="F2354" s="403">
        <v>6393</v>
      </c>
      <c r="G2354" s="406">
        <v>18499</v>
      </c>
      <c r="H2354" s="50"/>
      <c r="I2354" s="50"/>
      <c r="J2354" s="306"/>
    </row>
    <row r="2355" spans="2:10">
      <c r="B2355" s="413"/>
      <c r="C2355" s="414"/>
      <c r="D2355" s="414"/>
      <c r="E2355" s="50"/>
      <c r="F2355" s="403">
        <v>6394</v>
      </c>
      <c r="G2355" s="406">
        <v>18873</v>
      </c>
      <c r="H2355" s="50"/>
      <c r="I2355" s="50"/>
      <c r="J2355" s="306"/>
    </row>
    <row r="2356" spans="2:10">
      <c r="B2356" s="413"/>
      <c r="C2356" s="414"/>
      <c r="D2356" s="414"/>
      <c r="E2356" s="50"/>
      <c r="F2356" s="403">
        <v>6395</v>
      </c>
      <c r="G2356" s="406">
        <v>18635</v>
      </c>
      <c r="H2356" s="50"/>
      <c r="I2356" s="50"/>
      <c r="J2356" s="306"/>
    </row>
    <row r="2357" spans="2:10">
      <c r="B2357" s="413"/>
      <c r="C2357" s="414"/>
      <c r="D2357" s="414"/>
      <c r="E2357" s="50"/>
      <c r="F2357" s="403">
        <v>6396</v>
      </c>
      <c r="G2357" s="406">
        <v>15318</v>
      </c>
      <c r="H2357" s="50"/>
      <c r="I2357" s="50"/>
      <c r="J2357" s="306"/>
    </row>
    <row r="2358" spans="2:10">
      <c r="B2358" s="413"/>
      <c r="C2358" s="414"/>
      <c r="D2358" s="414"/>
      <c r="E2358" s="50"/>
      <c r="F2358" s="403">
        <v>6397</v>
      </c>
      <c r="G2358" s="406">
        <v>14329</v>
      </c>
      <c r="H2358" s="50"/>
      <c r="I2358" s="50"/>
      <c r="J2358" s="306"/>
    </row>
    <row r="2359" spans="2:10">
      <c r="B2359" s="413"/>
      <c r="C2359" s="414"/>
      <c r="D2359" s="414"/>
      <c r="E2359" s="50"/>
      <c r="F2359" s="403">
        <v>6398</v>
      </c>
      <c r="G2359" s="406">
        <v>13948</v>
      </c>
      <c r="H2359" s="50"/>
      <c r="I2359" s="50"/>
      <c r="J2359" s="306"/>
    </row>
    <row r="2360" spans="2:10">
      <c r="B2360" s="413"/>
      <c r="C2360" s="414"/>
      <c r="D2360" s="414"/>
      <c r="E2360" s="50"/>
      <c r="F2360" s="403">
        <v>6401</v>
      </c>
      <c r="G2360" s="406">
        <v>14364</v>
      </c>
      <c r="H2360" s="50"/>
      <c r="I2360" s="50"/>
      <c r="J2360" s="306"/>
    </row>
    <row r="2361" spans="2:10">
      <c r="B2361" s="413"/>
      <c r="C2361" s="414"/>
      <c r="D2361" s="414"/>
      <c r="E2361" s="50"/>
      <c r="F2361" s="403">
        <v>6403</v>
      </c>
      <c r="G2361" s="406">
        <v>14382</v>
      </c>
      <c r="H2361" s="50"/>
      <c r="I2361" s="50"/>
      <c r="J2361" s="306"/>
    </row>
    <row r="2362" spans="2:10">
      <c r="B2362" s="413"/>
      <c r="C2362" s="414"/>
      <c r="D2362" s="414"/>
      <c r="E2362" s="50"/>
      <c r="F2362" s="403">
        <v>6405</v>
      </c>
      <c r="G2362" s="406">
        <v>14444</v>
      </c>
      <c r="H2362" s="50"/>
      <c r="I2362" s="50"/>
      <c r="J2362" s="306"/>
    </row>
    <row r="2363" spans="2:10">
      <c r="B2363" s="413"/>
      <c r="C2363" s="414"/>
      <c r="D2363" s="414"/>
      <c r="E2363" s="50"/>
      <c r="F2363" s="403">
        <v>6407</v>
      </c>
      <c r="G2363" s="406">
        <v>15071</v>
      </c>
      <c r="H2363" s="50"/>
      <c r="I2363" s="50"/>
      <c r="J2363" s="306"/>
    </row>
    <row r="2364" spans="2:10">
      <c r="B2364" s="413"/>
      <c r="C2364" s="414"/>
      <c r="D2364" s="414"/>
      <c r="E2364" s="50"/>
      <c r="F2364" s="403">
        <v>6409</v>
      </c>
      <c r="G2364" s="406">
        <v>15879</v>
      </c>
      <c r="H2364" s="50"/>
      <c r="I2364" s="50"/>
      <c r="J2364" s="306"/>
    </row>
    <row r="2365" spans="2:10">
      <c r="B2365" s="413"/>
      <c r="C2365" s="414"/>
      <c r="D2365" s="414"/>
      <c r="E2365" s="50"/>
      <c r="F2365" s="403">
        <v>6410</v>
      </c>
      <c r="G2365" s="406">
        <v>17707</v>
      </c>
      <c r="H2365" s="50"/>
      <c r="I2365" s="50"/>
      <c r="J2365" s="306"/>
    </row>
    <row r="2366" spans="2:10">
      <c r="B2366" s="413"/>
      <c r="C2366" s="414"/>
      <c r="D2366" s="414"/>
      <c r="E2366" s="50"/>
      <c r="F2366" s="403">
        <v>6411</v>
      </c>
      <c r="G2366" s="406">
        <v>16818</v>
      </c>
      <c r="H2366" s="50"/>
      <c r="I2366" s="50"/>
      <c r="J2366" s="306"/>
    </row>
    <row r="2367" spans="2:10">
      <c r="B2367" s="413"/>
      <c r="C2367" s="414"/>
      <c r="D2367" s="414"/>
      <c r="E2367" s="50"/>
      <c r="F2367" s="403">
        <v>6412</v>
      </c>
      <c r="G2367" s="406">
        <v>17341</v>
      </c>
      <c r="H2367" s="50"/>
      <c r="I2367" s="50"/>
      <c r="J2367" s="306"/>
    </row>
    <row r="2368" spans="2:10">
      <c r="B2368" s="413"/>
      <c r="C2368" s="414"/>
      <c r="D2368" s="414"/>
      <c r="E2368" s="50"/>
      <c r="F2368" s="403">
        <v>6413</v>
      </c>
      <c r="G2368" s="406">
        <v>16818</v>
      </c>
      <c r="H2368" s="50"/>
      <c r="I2368" s="50"/>
      <c r="J2368" s="306"/>
    </row>
    <row r="2369" spans="2:10">
      <c r="B2369" s="413"/>
      <c r="C2369" s="414"/>
      <c r="D2369" s="414"/>
      <c r="E2369" s="50"/>
      <c r="F2369" s="403">
        <v>6414</v>
      </c>
      <c r="G2369" s="406">
        <v>16818</v>
      </c>
      <c r="H2369" s="50"/>
      <c r="I2369" s="50"/>
      <c r="J2369" s="306"/>
    </row>
    <row r="2370" spans="2:10">
      <c r="B2370" s="413"/>
      <c r="C2370" s="414"/>
      <c r="D2370" s="414"/>
      <c r="E2370" s="50"/>
      <c r="F2370" s="403">
        <v>6415</v>
      </c>
      <c r="G2370" s="406">
        <v>16818</v>
      </c>
      <c r="H2370" s="50"/>
      <c r="I2370" s="50"/>
      <c r="J2370" s="306"/>
    </row>
    <row r="2371" spans="2:10">
      <c r="B2371" s="413"/>
      <c r="C2371" s="414"/>
      <c r="D2371" s="414"/>
      <c r="E2371" s="50"/>
      <c r="F2371" s="403">
        <v>6418</v>
      </c>
      <c r="G2371" s="406">
        <v>18312</v>
      </c>
      <c r="H2371" s="50"/>
      <c r="I2371" s="50"/>
      <c r="J2371" s="306"/>
    </row>
    <row r="2372" spans="2:10">
      <c r="B2372" s="413"/>
      <c r="C2372" s="414"/>
      <c r="D2372" s="414"/>
      <c r="E2372" s="50"/>
      <c r="F2372" s="403">
        <v>6419</v>
      </c>
      <c r="G2372" s="406">
        <v>18312</v>
      </c>
      <c r="H2372" s="50"/>
      <c r="I2372" s="50"/>
      <c r="J2372" s="306"/>
    </row>
    <row r="2373" spans="2:10">
      <c r="B2373" s="413"/>
      <c r="C2373" s="414"/>
      <c r="D2373" s="414"/>
      <c r="E2373" s="50"/>
      <c r="F2373" s="403">
        <v>6420</v>
      </c>
      <c r="G2373" s="406">
        <v>19351</v>
      </c>
      <c r="H2373" s="50"/>
      <c r="I2373" s="50"/>
      <c r="J2373" s="306"/>
    </row>
    <row r="2374" spans="2:10">
      <c r="B2374" s="413"/>
      <c r="C2374" s="414"/>
      <c r="D2374" s="414"/>
      <c r="E2374" s="50"/>
      <c r="F2374" s="403">
        <v>6421</v>
      </c>
      <c r="G2374" s="406">
        <v>16599</v>
      </c>
      <c r="H2374" s="50"/>
      <c r="I2374" s="50"/>
      <c r="J2374" s="306"/>
    </row>
    <row r="2375" spans="2:10">
      <c r="B2375" s="413"/>
      <c r="C2375" s="414"/>
      <c r="D2375" s="414"/>
      <c r="E2375" s="50"/>
      <c r="F2375" s="403">
        <v>6422</v>
      </c>
      <c r="G2375" s="406">
        <v>16818</v>
      </c>
      <c r="H2375" s="50"/>
      <c r="I2375" s="50"/>
      <c r="J2375" s="306"/>
    </row>
    <row r="2376" spans="2:10">
      <c r="B2376" s="413"/>
      <c r="C2376" s="414"/>
      <c r="D2376" s="414"/>
      <c r="E2376" s="50"/>
      <c r="F2376" s="403">
        <v>6423</v>
      </c>
      <c r="G2376" s="406">
        <v>16507</v>
      </c>
      <c r="H2376" s="50"/>
      <c r="I2376" s="50"/>
      <c r="J2376" s="306"/>
    </row>
    <row r="2377" spans="2:10">
      <c r="B2377" s="413"/>
      <c r="C2377" s="414"/>
      <c r="D2377" s="414"/>
      <c r="E2377" s="50"/>
      <c r="F2377" s="403">
        <v>6424</v>
      </c>
      <c r="G2377" s="406">
        <v>16507</v>
      </c>
      <c r="H2377" s="50"/>
      <c r="I2377" s="50"/>
      <c r="J2377" s="306"/>
    </row>
    <row r="2378" spans="2:10">
      <c r="B2378" s="413"/>
      <c r="C2378" s="414"/>
      <c r="D2378" s="414"/>
      <c r="E2378" s="50"/>
      <c r="F2378" s="403">
        <v>6425</v>
      </c>
      <c r="G2378" s="406">
        <v>16654</v>
      </c>
      <c r="H2378" s="50"/>
      <c r="I2378" s="50"/>
      <c r="J2378" s="306"/>
    </row>
    <row r="2379" spans="2:10">
      <c r="B2379" s="413"/>
      <c r="C2379" s="414"/>
      <c r="D2379" s="414"/>
      <c r="E2379" s="50"/>
      <c r="F2379" s="403">
        <v>6426</v>
      </c>
      <c r="G2379" s="406">
        <v>16311</v>
      </c>
      <c r="H2379" s="50"/>
      <c r="I2379" s="50"/>
      <c r="J2379" s="306"/>
    </row>
    <row r="2380" spans="2:10">
      <c r="B2380" s="413"/>
      <c r="C2380" s="414"/>
      <c r="D2380" s="414"/>
      <c r="E2380" s="50"/>
      <c r="F2380" s="403">
        <v>6427</v>
      </c>
      <c r="G2380" s="406">
        <v>16311</v>
      </c>
      <c r="H2380" s="50"/>
      <c r="I2380" s="50"/>
      <c r="J2380" s="306"/>
    </row>
    <row r="2381" spans="2:10">
      <c r="B2381" s="413"/>
      <c r="C2381" s="414"/>
      <c r="D2381" s="414"/>
      <c r="E2381" s="50"/>
      <c r="F2381" s="403">
        <v>6428</v>
      </c>
      <c r="G2381" s="406">
        <v>19263</v>
      </c>
      <c r="H2381" s="50"/>
      <c r="I2381" s="50"/>
      <c r="J2381" s="306"/>
    </row>
    <row r="2382" spans="2:10">
      <c r="B2382" s="413"/>
      <c r="C2382" s="414"/>
      <c r="D2382" s="414"/>
      <c r="E2382" s="50"/>
      <c r="F2382" s="403">
        <v>6429</v>
      </c>
      <c r="G2382" s="406">
        <v>13972</v>
      </c>
      <c r="H2382" s="50"/>
      <c r="I2382" s="50"/>
      <c r="J2382" s="306"/>
    </row>
    <row r="2383" spans="2:10">
      <c r="B2383" s="413"/>
      <c r="C2383" s="414"/>
      <c r="D2383" s="414"/>
      <c r="E2383" s="50"/>
      <c r="F2383" s="403">
        <v>6430</v>
      </c>
      <c r="G2383" s="406">
        <v>13972</v>
      </c>
      <c r="H2383" s="50"/>
      <c r="I2383" s="50"/>
      <c r="J2383" s="306"/>
    </row>
    <row r="2384" spans="2:10">
      <c r="B2384" s="413"/>
      <c r="C2384" s="414"/>
      <c r="D2384" s="414"/>
      <c r="E2384" s="50"/>
      <c r="F2384" s="403">
        <v>6431</v>
      </c>
      <c r="G2384" s="406">
        <v>13972</v>
      </c>
      <c r="H2384" s="50"/>
      <c r="I2384" s="50"/>
      <c r="J2384" s="306"/>
    </row>
    <row r="2385" spans="2:10">
      <c r="B2385" s="413"/>
      <c r="C2385" s="414"/>
      <c r="D2385" s="414"/>
      <c r="E2385" s="50"/>
      <c r="F2385" s="403">
        <v>6432</v>
      </c>
      <c r="G2385" s="406">
        <v>13972</v>
      </c>
      <c r="H2385" s="50"/>
      <c r="I2385" s="50"/>
      <c r="J2385" s="306"/>
    </row>
    <row r="2386" spans="2:10">
      <c r="B2386" s="413"/>
      <c r="C2386" s="414"/>
      <c r="D2386" s="414"/>
      <c r="E2386" s="50"/>
      <c r="F2386" s="403">
        <v>6434</v>
      </c>
      <c r="G2386" s="406">
        <v>14044</v>
      </c>
      <c r="H2386" s="50"/>
      <c r="I2386" s="50"/>
      <c r="J2386" s="306"/>
    </row>
    <row r="2387" spans="2:10">
      <c r="B2387" s="413"/>
      <c r="C2387" s="414"/>
      <c r="D2387" s="414"/>
      <c r="E2387" s="50"/>
      <c r="F2387" s="403">
        <v>6435</v>
      </c>
      <c r="G2387" s="406">
        <v>13966</v>
      </c>
      <c r="H2387" s="50"/>
      <c r="I2387" s="50"/>
      <c r="J2387" s="306"/>
    </row>
    <row r="2388" spans="2:10">
      <c r="B2388" s="413"/>
      <c r="C2388" s="414"/>
      <c r="D2388" s="414"/>
      <c r="E2388" s="50"/>
      <c r="F2388" s="403">
        <v>6436</v>
      </c>
      <c r="G2388" s="406">
        <v>14044</v>
      </c>
      <c r="H2388" s="50"/>
      <c r="I2388" s="50"/>
      <c r="J2388" s="306"/>
    </row>
    <row r="2389" spans="2:10">
      <c r="B2389" s="413"/>
      <c r="C2389" s="414"/>
      <c r="D2389" s="414"/>
      <c r="E2389" s="50"/>
      <c r="F2389" s="403">
        <v>6437</v>
      </c>
      <c r="G2389" s="406">
        <v>13916</v>
      </c>
      <c r="H2389" s="50"/>
      <c r="I2389" s="50"/>
      <c r="J2389" s="306"/>
    </row>
    <row r="2390" spans="2:10">
      <c r="B2390" s="413"/>
      <c r="C2390" s="414"/>
      <c r="D2390" s="414"/>
      <c r="E2390" s="50"/>
      <c r="F2390" s="403">
        <v>6438</v>
      </c>
      <c r="G2390" s="406">
        <v>13966</v>
      </c>
      <c r="H2390" s="50"/>
      <c r="I2390" s="50"/>
      <c r="J2390" s="306"/>
    </row>
    <row r="2391" spans="2:10">
      <c r="B2391" s="413"/>
      <c r="C2391" s="414"/>
      <c r="D2391" s="414"/>
      <c r="E2391" s="50"/>
      <c r="F2391" s="403">
        <v>6440</v>
      </c>
      <c r="G2391" s="406">
        <v>13915</v>
      </c>
      <c r="H2391" s="50"/>
      <c r="I2391" s="50"/>
      <c r="J2391" s="306"/>
    </row>
    <row r="2392" spans="2:10">
      <c r="B2392" s="413"/>
      <c r="C2392" s="414"/>
      <c r="D2392" s="414"/>
      <c r="E2392" s="50"/>
      <c r="F2392" s="403">
        <v>6442</v>
      </c>
      <c r="G2392" s="406">
        <v>13972</v>
      </c>
      <c r="H2392" s="50"/>
      <c r="I2392" s="50"/>
      <c r="J2392" s="306"/>
    </row>
    <row r="2393" spans="2:10">
      <c r="B2393" s="413"/>
      <c r="C2393" s="414"/>
      <c r="D2393" s="414"/>
      <c r="E2393" s="50"/>
      <c r="F2393" s="403">
        <v>6443</v>
      </c>
      <c r="G2393" s="406">
        <v>15765</v>
      </c>
      <c r="H2393" s="50"/>
      <c r="I2393" s="50"/>
      <c r="J2393" s="306"/>
    </row>
    <row r="2394" spans="2:10">
      <c r="B2394" s="413"/>
      <c r="C2394" s="414"/>
      <c r="D2394" s="414"/>
      <c r="E2394" s="50"/>
      <c r="F2394" s="403">
        <v>6445</v>
      </c>
      <c r="G2394" s="406">
        <v>15839</v>
      </c>
      <c r="H2394" s="50"/>
      <c r="I2394" s="50"/>
      <c r="J2394" s="306"/>
    </row>
    <row r="2395" spans="2:10">
      <c r="B2395" s="413"/>
      <c r="C2395" s="414"/>
      <c r="D2395" s="414"/>
      <c r="E2395" s="50"/>
      <c r="F2395" s="403">
        <v>6446</v>
      </c>
      <c r="G2395" s="406">
        <v>15839</v>
      </c>
      <c r="H2395" s="50"/>
      <c r="I2395" s="50"/>
      <c r="J2395" s="306"/>
    </row>
    <row r="2396" spans="2:10">
      <c r="B2396" s="413"/>
      <c r="C2396" s="414"/>
      <c r="D2396" s="414"/>
      <c r="E2396" s="50"/>
      <c r="F2396" s="403">
        <v>6447</v>
      </c>
      <c r="G2396" s="406">
        <v>15839</v>
      </c>
      <c r="H2396" s="50"/>
      <c r="I2396" s="50"/>
      <c r="J2396" s="306"/>
    </row>
    <row r="2397" spans="2:10">
      <c r="B2397" s="413"/>
      <c r="C2397" s="414"/>
      <c r="D2397" s="414"/>
      <c r="E2397" s="50"/>
      <c r="F2397" s="403">
        <v>6448</v>
      </c>
      <c r="G2397" s="406">
        <v>15839</v>
      </c>
      <c r="H2397" s="50"/>
      <c r="I2397" s="50"/>
      <c r="J2397" s="306"/>
    </row>
    <row r="2398" spans="2:10">
      <c r="B2398" s="413"/>
      <c r="C2398" s="414"/>
      <c r="D2398" s="414"/>
      <c r="E2398" s="50"/>
      <c r="F2398" s="403">
        <v>6450</v>
      </c>
      <c r="G2398" s="406">
        <v>15839</v>
      </c>
      <c r="H2398" s="50"/>
      <c r="I2398" s="50"/>
      <c r="J2398" s="306"/>
    </row>
    <row r="2399" spans="2:10">
      <c r="B2399" s="413"/>
      <c r="C2399" s="414"/>
      <c r="D2399" s="414"/>
      <c r="E2399" s="50"/>
      <c r="F2399" s="403">
        <v>6452</v>
      </c>
      <c r="G2399" s="406">
        <v>15839</v>
      </c>
      <c r="H2399" s="50"/>
      <c r="I2399" s="50"/>
      <c r="J2399" s="306"/>
    </row>
    <row r="2400" spans="2:10">
      <c r="B2400" s="413"/>
      <c r="C2400" s="414"/>
      <c r="D2400" s="414"/>
      <c r="E2400" s="50"/>
      <c r="F2400" s="403">
        <v>6460</v>
      </c>
      <c r="G2400" s="406">
        <v>14665</v>
      </c>
      <c r="H2400" s="50"/>
      <c r="I2400" s="50"/>
      <c r="J2400" s="306"/>
    </row>
    <row r="2401" spans="2:10">
      <c r="B2401" s="413"/>
      <c r="C2401" s="414"/>
      <c r="D2401" s="414"/>
      <c r="E2401" s="50"/>
      <c r="F2401" s="403">
        <v>6461</v>
      </c>
      <c r="G2401" s="406">
        <v>15316</v>
      </c>
      <c r="H2401" s="50"/>
      <c r="I2401" s="50"/>
      <c r="J2401" s="306"/>
    </row>
    <row r="2402" spans="2:10">
      <c r="B2402" s="413"/>
      <c r="C2402" s="414"/>
      <c r="D2402" s="414"/>
      <c r="E2402" s="50"/>
      <c r="F2402" s="403">
        <v>6462</v>
      </c>
      <c r="G2402" s="406">
        <v>15316</v>
      </c>
      <c r="H2402" s="50"/>
      <c r="I2402" s="50"/>
      <c r="J2402" s="306"/>
    </row>
    <row r="2403" spans="2:10">
      <c r="B2403" s="413"/>
      <c r="C2403" s="414"/>
      <c r="D2403" s="414"/>
      <c r="E2403" s="50"/>
      <c r="F2403" s="403">
        <v>6463</v>
      </c>
      <c r="G2403" s="406">
        <v>15316</v>
      </c>
      <c r="H2403" s="50"/>
      <c r="I2403" s="50"/>
      <c r="J2403" s="306"/>
    </row>
    <row r="2404" spans="2:10">
      <c r="B2404" s="413"/>
      <c r="C2404" s="414"/>
      <c r="D2404" s="414"/>
      <c r="E2404" s="50"/>
      <c r="F2404" s="403">
        <v>6465</v>
      </c>
      <c r="G2404" s="406">
        <v>15559</v>
      </c>
      <c r="H2404" s="50"/>
      <c r="I2404" s="50"/>
      <c r="J2404" s="306"/>
    </row>
    <row r="2405" spans="2:10">
      <c r="B2405" s="413"/>
      <c r="C2405" s="414"/>
      <c r="D2405" s="414"/>
      <c r="E2405" s="50"/>
      <c r="F2405" s="403">
        <v>6466</v>
      </c>
      <c r="G2405" s="406">
        <v>15820</v>
      </c>
      <c r="H2405" s="50"/>
      <c r="I2405" s="50"/>
      <c r="J2405" s="306"/>
    </row>
    <row r="2406" spans="2:10">
      <c r="B2406" s="413"/>
      <c r="C2406" s="414"/>
      <c r="D2406" s="414"/>
      <c r="E2406" s="50"/>
      <c r="F2406" s="403">
        <v>6467</v>
      </c>
      <c r="G2406" s="406">
        <v>15938</v>
      </c>
      <c r="H2406" s="50"/>
      <c r="I2406" s="50"/>
      <c r="J2406" s="306"/>
    </row>
    <row r="2407" spans="2:10">
      <c r="B2407" s="413"/>
      <c r="C2407" s="414"/>
      <c r="D2407" s="414"/>
      <c r="E2407" s="50"/>
      <c r="F2407" s="403">
        <v>6468</v>
      </c>
      <c r="G2407" s="406">
        <v>16787</v>
      </c>
      <c r="H2407" s="50"/>
      <c r="I2407" s="50"/>
      <c r="J2407" s="306"/>
    </row>
    <row r="2408" spans="2:10">
      <c r="B2408" s="413"/>
      <c r="C2408" s="414"/>
      <c r="D2408" s="414"/>
      <c r="E2408" s="50"/>
      <c r="F2408" s="403">
        <v>6470</v>
      </c>
      <c r="G2408" s="406">
        <v>15956</v>
      </c>
      <c r="H2408" s="50"/>
      <c r="I2408" s="50"/>
      <c r="J2408" s="306"/>
    </row>
    <row r="2409" spans="2:10">
      <c r="B2409" s="413"/>
      <c r="C2409" s="414"/>
      <c r="D2409" s="414"/>
      <c r="E2409" s="50"/>
      <c r="F2409" s="403">
        <v>6472</v>
      </c>
      <c r="G2409" s="406">
        <v>16619</v>
      </c>
      <c r="H2409" s="50"/>
      <c r="I2409" s="50"/>
      <c r="J2409" s="306"/>
    </row>
    <row r="2410" spans="2:10">
      <c r="B2410" s="413"/>
      <c r="C2410" s="414"/>
      <c r="D2410" s="414"/>
      <c r="E2410" s="50"/>
      <c r="F2410" s="403">
        <v>6473</v>
      </c>
      <c r="G2410" s="406">
        <v>16373</v>
      </c>
      <c r="H2410" s="50"/>
      <c r="I2410" s="50"/>
      <c r="J2410" s="306"/>
    </row>
    <row r="2411" spans="2:10">
      <c r="B2411" s="413"/>
      <c r="C2411" s="414"/>
      <c r="D2411" s="414"/>
      <c r="E2411" s="50"/>
      <c r="F2411" s="403">
        <v>6475</v>
      </c>
      <c r="G2411" s="406">
        <v>15750</v>
      </c>
      <c r="H2411" s="50"/>
      <c r="I2411" s="50"/>
      <c r="J2411" s="306"/>
    </row>
    <row r="2412" spans="2:10">
      <c r="B2412" s="413"/>
      <c r="C2412" s="414"/>
      <c r="D2412" s="414"/>
      <c r="E2412" s="50"/>
      <c r="F2412" s="403">
        <v>6476</v>
      </c>
      <c r="G2412" s="406">
        <v>15475</v>
      </c>
      <c r="H2412" s="50"/>
      <c r="I2412" s="50"/>
      <c r="J2412" s="306"/>
    </row>
    <row r="2413" spans="2:10">
      <c r="B2413" s="413"/>
      <c r="C2413" s="414"/>
      <c r="D2413" s="414"/>
      <c r="E2413" s="50"/>
      <c r="F2413" s="403">
        <v>6477</v>
      </c>
      <c r="G2413" s="406">
        <v>16377</v>
      </c>
      <c r="H2413" s="50"/>
      <c r="I2413" s="50"/>
      <c r="J2413" s="306"/>
    </row>
    <row r="2414" spans="2:10">
      <c r="B2414" s="413"/>
      <c r="C2414" s="414"/>
      <c r="D2414" s="414"/>
      <c r="E2414" s="50"/>
      <c r="F2414" s="403">
        <v>6479</v>
      </c>
      <c r="G2414" s="406">
        <v>16311</v>
      </c>
      <c r="H2414" s="50"/>
      <c r="I2414" s="50"/>
      <c r="J2414" s="306"/>
    </row>
    <row r="2415" spans="2:10">
      <c r="B2415" s="413"/>
      <c r="C2415" s="414"/>
      <c r="D2415" s="414"/>
      <c r="E2415" s="50"/>
      <c r="F2415" s="403">
        <v>6480</v>
      </c>
      <c r="G2415" s="406">
        <v>16599</v>
      </c>
      <c r="H2415" s="50"/>
      <c r="I2415" s="50"/>
      <c r="J2415" s="306"/>
    </row>
    <row r="2416" spans="2:10">
      <c r="B2416" s="413"/>
      <c r="C2416" s="414"/>
      <c r="D2416" s="414"/>
      <c r="E2416" s="50"/>
      <c r="F2416" s="403">
        <v>6484</v>
      </c>
      <c r="G2416" s="406">
        <v>16311</v>
      </c>
      <c r="H2416" s="50"/>
      <c r="I2416" s="50"/>
      <c r="J2416" s="306"/>
    </row>
    <row r="2417" spans="2:10">
      <c r="B2417" s="413"/>
      <c r="C2417" s="414"/>
      <c r="D2417" s="414"/>
      <c r="E2417" s="50"/>
      <c r="F2417" s="403">
        <v>6485</v>
      </c>
      <c r="G2417" s="406">
        <v>14987</v>
      </c>
      <c r="H2417" s="50"/>
      <c r="I2417" s="50"/>
      <c r="J2417" s="306"/>
    </row>
    <row r="2418" spans="2:10">
      <c r="B2418" s="413"/>
      <c r="C2418" s="414"/>
      <c r="D2418" s="414"/>
      <c r="E2418" s="50"/>
      <c r="F2418" s="403">
        <v>6487</v>
      </c>
      <c r="G2418" s="406">
        <v>15810</v>
      </c>
      <c r="H2418" s="50"/>
      <c r="I2418" s="50"/>
      <c r="J2418" s="306"/>
    </row>
    <row r="2419" spans="2:10">
      <c r="B2419" s="413"/>
      <c r="C2419" s="414"/>
      <c r="D2419" s="414"/>
      <c r="E2419" s="50"/>
      <c r="F2419" s="403">
        <v>6488</v>
      </c>
      <c r="G2419" s="406">
        <v>15810</v>
      </c>
      <c r="H2419" s="50"/>
      <c r="I2419" s="50"/>
      <c r="J2419" s="306"/>
    </row>
    <row r="2420" spans="2:10">
      <c r="B2420" s="413"/>
      <c r="C2420" s="414"/>
      <c r="D2420" s="414"/>
      <c r="E2420" s="50"/>
      <c r="F2420" s="403">
        <v>6489</v>
      </c>
      <c r="G2420" s="406">
        <v>16373</v>
      </c>
      <c r="H2420" s="50"/>
      <c r="I2420" s="50"/>
      <c r="J2420" s="306"/>
    </row>
    <row r="2421" spans="2:10">
      <c r="B2421" s="413"/>
      <c r="C2421" s="414"/>
      <c r="D2421" s="414"/>
      <c r="E2421" s="50"/>
      <c r="F2421" s="403">
        <v>6490</v>
      </c>
      <c r="G2421" s="406">
        <v>16373</v>
      </c>
      <c r="H2421" s="50"/>
      <c r="I2421" s="50"/>
      <c r="J2421" s="306"/>
    </row>
    <row r="2422" spans="2:10">
      <c r="B2422" s="413"/>
      <c r="C2422" s="414"/>
      <c r="D2422" s="414"/>
      <c r="E2422" s="50"/>
      <c r="F2422" s="403">
        <v>6501</v>
      </c>
      <c r="G2422" s="406">
        <v>14001</v>
      </c>
      <c r="H2422" s="50"/>
      <c r="I2422" s="50"/>
      <c r="J2422" s="306"/>
    </row>
    <row r="2423" spans="2:10">
      <c r="B2423" s="413"/>
      <c r="C2423" s="414"/>
      <c r="D2423" s="414"/>
      <c r="E2423" s="50"/>
      <c r="F2423" s="403">
        <v>6502</v>
      </c>
      <c r="G2423" s="406">
        <v>14328</v>
      </c>
      <c r="H2423" s="50"/>
      <c r="I2423" s="50"/>
      <c r="J2423" s="306"/>
    </row>
    <row r="2424" spans="2:10">
      <c r="B2424" s="413"/>
      <c r="C2424" s="414"/>
      <c r="D2424" s="414"/>
      <c r="E2424" s="50"/>
      <c r="F2424" s="403">
        <v>6503</v>
      </c>
      <c r="G2424" s="406">
        <v>14124</v>
      </c>
      <c r="H2424" s="50"/>
      <c r="I2424" s="50"/>
      <c r="J2424" s="306"/>
    </row>
    <row r="2425" spans="2:10">
      <c r="B2425" s="413"/>
      <c r="C2425" s="414"/>
      <c r="D2425" s="414"/>
      <c r="E2425" s="50"/>
      <c r="F2425" s="403">
        <v>6504</v>
      </c>
      <c r="G2425" s="406">
        <v>14001</v>
      </c>
      <c r="H2425" s="50"/>
      <c r="I2425" s="50"/>
      <c r="J2425" s="306"/>
    </row>
    <row r="2426" spans="2:10">
      <c r="B2426" s="413"/>
      <c r="C2426" s="414"/>
      <c r="D2426" s="414"/>
      <c r="E2426" s="50"/>
      <c r="F2426" s="403">
        <v>6505</v>
      </c>
      <c r="G2426" s="406">
        <v>18671</v>
      </c>
      <c r="H2426" s="50"/>
      <c r="I2426" s="50"/>
      <c r="J2426" s="306"/>
    </row>
    <row r="2427" spans="2:10">
      <c r="B2427" s="413"/>
      <c r="C2427" s="414"/>
      <c r="D2427" s="414"/>
      <c r="E2427" s="50"/>
      <c r="F2427" s="403">
        <v>6506</v>
      </c>
      <c r="G2427" s="406">
        <v>18671</v>
      </c>
      <c r="H2427" s="50"/>
      <c r="I2427" s="50"/>
      <c r="J2427" s="306"/>
    </row>
    <row r="2428" spans="2:10">
      <c r="B2428" s="413"/>
      <c r="C2428" s="414"/>
      <c r="D2428" s="414"/>
      <c r="E2428" s="50"/>
      <c r="F2428" s="403">
        <v>6507</v>
      </c>
      <c r="G2428" s="406">
        <v>17953</v>
      </c>
      <c r="H2428" s="50"/>
      <c r="I2428" s="50"/>
      <c r="J2428" s="306"/>
    </row>
    <row r="2429" spans="2:10">
      <c r="B2429" s="413"/>
      <c r="C2429" s="414"/>
      <c r="D2429" s="414"/>
      <c r="E2429" s="50"/>
      <c r="F2429" s="403">
        <v>6509</v>
      </c>
      <c r="G2429" s="406">
        <v>18671</v>
      </c>
      <c r="H2429" s="50"/>
      <c r="I2429" s="50"/>
      <c r="J2429" s="306"/>
    </row>
    <row r="2430" spans="2:10">
      <c r="B2430" s="413"/>
      <c r="C2430" s="414"/>
      <c r="D2430" s="414"/>
      <c r="E2430" s="50"/>
      <c r="F2430" s="403">
        <v>6510</v>
      </c>
      <c r="G2430" s="406">
        <v>18671</v>
      </c>
      <c r="H2430" s="50"/>
      <c r="I2430" s="50"/>
      <c r="J2430" s="306"/>
    </row>
    <row r="2431" spans="2:10">
      <c r="B2431" s="413"/>
      <c r="C2431" s="414"/>
      <c r="D2431" s="414"/>
      <c r="E2431" s="50"/>
      <c r="F2431" s="403">
        <v>6511</v>
      </c>
      <c r="G2431" s="406">
        <v>16232</v>
      </c>
      <c r="H2431" s="50"/>
      <c r="I2431" s="50"/>
      <c r="J2431" s="306"/>
    </row>
    <row r="2432" spans="2:10">
      <c r="B2432" s="413"/>
      <c r="C2432" s="414"/>
      <c r="D2432" s="414"/>
      <c r="E2432" s="50"/>
      <c r="F2432" s="403">
        <v>6512</v>
      </c>
      <c r="G2432" s="406">
        <v>18650</v>
      </c>
      <c r="H2432" s="50"/>
      <c r="I2432" s="50"/>
      <c r="J2432" s="306"/>
    </row>
    <row r="2433" spans="2:10">
      <c r="B2433" s="413"/>
      <c r="C2433" s="414"/>
      <c r="D2433" s="414"/>
      <c r="E2433" s="50"/>
      <c r="F2433" s="403">
        <v>6513</v>
      </c>
      <c r="G2433" s="406">
        <v>18518</v>
      </c>
      <c r="H2433" s="50"/>
      <c r="I2433" s="50"/>
      <c r="J2433" s="306"/>
    </row>
    <row r="2434" spans="2:10">
      <c r="B2434" s="413"/>
      <c r="C2434" s="414"/>
      <c r="D2434" s="414"/>
      <c r="E2434" s="50"/>
      <c r="F2434" s="403">
        <v>6514</v>
      </c>
      <c r="G2434" s="406">
        <v>15768</v>
      </c>
      <c r="H2434" s="50"/>
      <c r="I2434" s="50"/>
      <c r="J2434" s="306"/>
    </row>
    <row r="2435" spans="2:10">
      <c r="B2435" s="413"/>
      <c r="C2435" s="414"/>
      <c r="D2435" s="414"/>
      <c r="E2435" s="50"/>
      <c r="F2435" s="403">
        <v>6515</v>
      </c>
      <c r="G2435" s="406">
        <v>16103</v>
      </c>
      <c r="H2435" s="50"/>
      <c r="I2435" s="50"/>
      <c r="J2435" s="306"/>
    </row>
    <row r="2436" spans="2:10">
      <c r="B2436" s="413"/>
      <c r="C2436" s="414"/>
      <c r="D2436" s="414"/>
      <c r="E2436" s="50"/>
      <c r="F2436" s="403">
        <v>6516</v>
      </c>
      <c r="G2436" s="406">
        <v>15768</v>
      </c>
      <c r="H2436" s="50"/>
      <c r="I2436" s="50"/>
      <c r="J2436" s="306"/>
    </row>
    <row r="2437" spans="2:10">
      <c r="B2437" s="413"/>
      <c r="C2437" s="414"/>
      <c r="D2437" s="414"/>
      <c r="E2437" s="50"/>
      <c r="F2437" s="403">
        <v>6517</v>
      </c>
      <c r="G2437" s="406">
        <v>16126</v>
      </c>
      <c r="H2437" s="50"/>
      <c r="I2437" s="50"/>
      <c r="J2437" s="306"/>
    </row>
    <row r="2438" spans="2:10">
      <c r="B2438" s="413"/>
      <c r="C2438" s="414"/>
      <c r="D2438" s="414"/>
      <c r="E2438" s="50"/>
      <c r="F2438" s="403">
        <v>6518</v>
      </c>
      <c r="G2438" s="406">
        <v>14688</v>
      </c>
      <c r="H2438" s="50"/>
      <c r="I2438" s="50"/>
      <c r="J2438" s="306"/>
    </row>
    <row r="2439" spans="2:10">
      <c r="B2439" s="413"/>
      <c r="C2439" s="414"/>
      <c r="D2439" s="414"/>
      <c r="E2439" s="50"/>
      <c r="F2439" s="403">
        <v>6519</v>
      </c>
      <c r="G2439" s="406">
        <v>14073</v>
      </c>
      <c r="H2439" s="50"/>
      <c r="I2439" s="50"/>
      <c r="J2439" s="306"/>
    </row>
    <row r="2440" spans="2:10">
      <c r="B2440" s="413"/>
      <c r="C2440" s="414"/>
      <c r="D2440" s="414"/>
      <c r="E2440" s="50"/>
      <c r="F2440" s="403">
        <v>6521</v>
      </c>
      <c r="G2440" s="406">
        <v>16733</v>
      </c>
      <c r="H2440" s="50"/>
      <c r="I2440" s="50"/>
      <c r="J2440" s="306"/>
    </row>
    <row r="2441" spans="2:10">
      <c r="B2441" s="413"/>
      <c r="C2441" s="414"/>
      <c r="D2441" s="414"/>
      <c r="E2441" s="50"/>
      <c r="F2441" s="403">
        <v>6522</v>
      </c>
      <c r="G2441" s="406">
        <v>13000</v>
      </c>
      <c r="H2441" s="50"/>
      <c r="I2441" s="50"/>
      <c r="J2441" s="306"/>
    </row>
    <row r="2442" spans="2:10">
      <c r="B2442" s="413"/>
      <c r="C2442" s="414"/>
      <c r="D2442" s="414"/>
      <c r="E2442" s="50"/>
      <c r="F2442" s="403">
        <v>6525</v>
      </c>
      <c r="G2442" s="406">
        <v>12538</v>
      </c>
      <c r="H2442" s="50"/>
      <c r="I2442" s="50"/>
      <c r="J2442" s="306"/>
    </row>
    <row r="2443" spans="2:10">
      <c r="B2443" s="413"/>
      <c r="C2443" s="414"/>
      <c r="D2443" s="414"/>
      <c r="E2443" s="50"/>
      <c r="F2443" s="403">
        <v>6528</v>
      </c>
      <c r="G2443" s="406">
        <v>12401</v>
      </c>
      <c r="H2443" s="50"/>
      <c r="I2443" s="50"/>
      <c r="J2443" s="306"/>
    </row>
    <row r="2444" spans="2:10">
      <c r="B2444" s="413"/>
      <c r="C2444" s="414"/>
      <c r="D2444" s="414"/>
      <c r="E2444" s="50"/>
      <c r="F2444" s="403">
        <v>6530</v>
      </c>
      <c r="G2444" s="406">
        <v>12401</v>
      </c>
      <c r="H2444" s="50"/>
      <c r="I2444" s="50"/>
      <c r="J2444" s="306"/>
    </row>
    <row r="2445" spans="2:10">
      <c r="B2445" s="413"/>
      <c r="C2445" s="414"/>
      <c r="D2445" s="414"/>
      <c r="E2445" s="50"/>
      <c r="F2445" s="403">
        <v>6532</v>
      </c>
      <c r="G2445" s="406">
        <v>12384</v>
      </c>
      <c r="H2445" s="50"/>
      <c r="I2445" s="50"/>
      <c r="J2445" s="306"/>
    </row>
    <row r="2446" spans="2:10">
      <c r="B2446" s="413"/>
      <c r="C2446" s="414"/>
      <c r="D2446" s="414"/>
      <c r="E2446" s="50"/>
      <c r="F2446" s="403">
        <v>6535</v>
      </c>
      <c r="G2446" s="406">
        <v>12383</v>
      </c>
      <c r="H2446" s="50"/>
      <c r="I2446" s="50"/>
      <c r="J2446" s="306"/>
    </row>
    <row r="2447" spans="2:10">
      <c r="B2447" s="413"/>
      <c r="C2447" s="414"/>
      <c r="D2447" s="414"/>
      <c r="E2447" s="50"/>
      <c r="F2447" s="403">
        <v>6536</v>
      </c>
      <c r="G2447" s="406">
        <v>12383</v>
      </c>
      <c r="H2447" s="50"/>
      <c r="I2447" s="50"/>
      <c r="J2447" s="306"/>
    </row>
    <row r="2448" spans="2:10">
      <c r="B2448" s="413"/>
      <c r="C2448" s="414"/>
      <c r="D2448" s="414"/>
      <c r="E2448" s="50"/>
      <c r="F2448" s="403">
        <v>6537</v>
      </c>
      <c r="G2448" s="406">
        <v>12377</v>
      </c>
      <c r="H2448" s="50"/>
      <c r="I2448" s="50"/>
      <c r="J2448" s="306"/>
    </row>
    <row r="2449" spans="2:10">
      <c r="B2449" s="413"/>
      <c r="C2449" s="414"/>
      <c r="D2449" s="414"/>
      <c r="E2449" s="50"/>
      <c r="F2449" s="403">
        <v>6556</v>
      </c>
      <c r="G2449" s="406">
        <v>14412</v>
      </c>
      <c r="H2449" s="50"/>
      <c r="I2449" s="50"/>
      <c r="J2449" s="306"/>
    </row>
    <row r="2450" spans="2:10">
      <c r="B2450" s="413"/>
      <c r="C2450" s="414"/>
      <c r="D2450" s="414"/>
      <c r="E2450" s="50"/>
      <c r="F2450" s="403">
        <v>6558</v>
      </c>
      <c r="G2450" s="406">
        <v>14469</v>
      </c>
      <c r="H2450" s="50"/>
      <c r="I2450" s="50"/>
      <c r="J2450" s="306"/>
    </row>
    <row r="2451" spans="2:10">
      <c r="B2451" s="413"/>
      <c r="C2451" s="414"/>
      <c r="D2451" s="414"/>
      <c r="E2451" s="50"/>
      <c r="F2451" s="403">
        <v>6560</v>
      </c>
      <c r="G2451" s="406">
        <v>14479</v>
      </c>
      <c r="H2451" s="50"/>
      <c r="I2451" s="50"/>
      <c r="J2451" s="306"/>
    </row>
    <row r="2452" spans="2:10">
      <c r="B2452" s="413"/>
      <c r="C2452" s="414"/>
      <c r="D2452" s="414"/>
      <c r="E2452" s="50"/>
      <c r="F2452" s="403">
        <v>6562</v>
      </c>
      <c r="G2452" s="406">
        <v>14468</v>
      </c>
      <c r="H2452" s="50"/>
      <c r="I2452" s="50"/>
      <c r="J2452" s="306"/>
    </row>
    <row r="2453" spans="2:10">
      <c r="B2453" s="413"/>
      <c r="C2453" s="414"/>
      <c r="D2453" s="414"/>
      <c r="E2453" s="50"/>
      <c r="F2453" s="403">
        <v>6564</v>
      </c>
      <c r="G2453" s="406">
        <v>14408</v>
      </c>
      <c r="H2453" s="50"/>
      <c r="I2453" s="50"/>
      <c r="J2453" s="306"/>
    </row>
    <row r="2454" spans="2:10">
      <c r="B2454" s="413"/>
      <c r="C2454" s="414"/>
      <c r="D2454" s="414"/>
      <c r="E2454" s="50"/>
      <c r="F2454" s="403">
        <v>6566</v>
      </c>
      <c r="G2454" s="406">
        <v>14360</v>
      </c>
      <c r="H2454" s="50"/>
      <c r="I2454" s="50"/>
      <c r="J2454" s="306"/>
    </row>
    <row r="2455" spans="2:10">
      <c r="B2455" s="413"/>
      <c r="C2455" s="414"/>
      <c r="D2455" s="414"/>
      <c r="E2455" s="50"/>
      <c r="F2455" s="403">
        <v>6567</v>
      </c>
      <c r="G2455" s="406">
        <v>14343</v>
      </c>
      <c r="H2455" s="50"/>
      <c r="I2455" s="50"/>
      <c r="J2455" s="306"/>
    </row>
    <row r="2456" spans="2:10">
      <c r="B2456" s="413"/>
      <c r="C2456" s="414"/>
      <c r="D2456" s="414"/>
      <c r="E2456" s="50"/>
      <c r="F2456" s="403">
        <v>6568</v>
      </c>
      <c r="G2456" s="406">
        <v>14340</v>
      </c>
      <c r="H2456" s="50"/>
      <c r="I2456" s="50"/>
      <c r="J2456" s="306"/>
    </row>
    <row r="2457" spans="2:10">
      <c r="B2457" s="413"/>
      <c r="C2457" s="414"/>
      <c r="D2457" s="414"/>
      <c r="E2457" s="50"/>
      <c r="F2457" s="403">
        <v>6569</v>
      </c>
      <c r="G2457" s="406">
        <v>14649</v>
      </c>
      <c r="H2457" s="50"/>
      <c r="I2457" s="50"/>
      <c r="J2457" s="306"/>
    </row>
    <row r="2458" spans="2:10">
      <c r="B2458" s="413"/>
      <c r="C2458" s="414"/>
      <c r="D2458" s="414"/>
      <c r="E2458" s="50"/>
      <c r="F2458" s="403">
        <v>6571</v>
      </c>
      <c r="G2458" s="406">
        <v>18433</v>
      </c>
      <c r="H2458" s="50"/>
      <c r="I2458" s="50"/>
      <c r="J2458" s="306"/>
    </row>
    <row r="2459" spans="2:10">
      <c r="B2459" s="413"/>
      <c r="C2459" s="414"/>
      <c r="D2459" s="414"/>
      <c r="E2459" s="50"/>
      <c r="F2459" s="403">
        <v>6572</v>
      </c>
      <c r="G2459" s="406">
        <v>18433</v>
      </c>
      <c r="H2459" s="50"/>
      <c r="I2459" s="50"/>
      <c r="J2459" s="306"/>
    </row>
    <row r="2460" spans="2:10">
      <c r="B2460" s="413"/>
      <c r="C2460" s="414"/>
      <c r="D2460" s="414"/>
      <c r="E2460" s="50"/>
      <c r="F2460" s="403">
        <v>6574</v>
      </c>
      <c r="G2460" s="406">
        <v>18671</v>
      </c>
      <c r="H2460" s="50"/>
      <c r="I2460" s="50"/>
      <c r="J2460" s="306"/>
    </row>
    <row r="2461" spans="2:10">
      <c r="B2461" s="413"/>
      <c r="C2461" s="414"/>
      <c r="D2461" s="414"/>
      <c r="E2461" s="50"/>
      <c r="F2461" s="403">
        <v>6575</v>
      </c>
      <c r="G2461" s="406">
        <v>18635</v>
      </c>
      <c r="H2461" s="50"/>
      <c r="I2461" s="50"/>
      <c r="J2461" s="306"/>
    </row>
    <row r="2462" spans="2:10">
      <c r="B2462" s="413"/>
      <c r="C2462" s="414"/>
      <c r="D2462" s="414"/>
      <c r="E2462" s="50"/>
      <c r="F2462" s="403">
        <v>6603</v>
      </c>
      <c r="G2462" s="406">
        <v>17189</v>
      </c>
      <c r="H2462" s="50"/>
      <c r="I2462" s="50"/>
      <c r="J2462" s="306"/>
    </row>
    <row r="2463" spans="2:10">
      <c r="B2463" s="413"/>
      <c r="C2463" s="414"/>
      <c r="D2463" s="414"/>
      <c r="E2463" s="50"/>
      <c r="F2463" s="403">
        <v>6605</v>
      </c>
      <c r="G2463" s="406">
        <v>15820</v>
      </c>
      <c r="H2463" s="50"/>
      <c r="I2463" s="50"/>
      <c r="J2463" s="306"/>
    </row>
    <row r="2464" spans="2:10">
      <c r="B2464" s="413"/>
      <c r="C2464" s="414"/>
      <c r="D2464" s="414"/>
      <c r="E2464" s="50"/>
      <c r="F2464" s="403">
        <v>6606</v>
      </c>
      <c r="G2464" s="406">
        <v>17370</v>
      </c>
      <c r="H2464" s="50"/>
      <c r="I2464" s="50"/>
      <c r="J2464" s="306"/>
    </row>
    <row r="2465" spans="2:10">
      <c r="B2465" s="413"/>
      <c r="C2465" s="414"/>
      <c r="D2465" s="414"/>
      <c r="E2465" s="50"/>
      <c r="F2465" s="403">
        <v>6608</v>
      </c>
      <c r="G2465" s="406">
        <v>18433</v>
      </c>
      <c r="H2465" s="50"/>
      <c r="I2465" s="50"/>
      <c r="J2465" s="306"/>
    </row>
    <row r="2466" spans="2:10">
      <c r="B2466" s="413"/>
      <c r="C2466" s="414"/>
      <c r="D2466" s="414"/>
      <c r="E2466" s="50"/>
      <c r="F2466" s="403">
        <v>6609</v>
      </c>
      <c r="G2466" s="406">
        <v>18446</v>
      </c>
      <c r="H2466" s="50"/>
      <c r="I2466" s="50"/>
      <c r="J2466" s="306"/>
    </row>
    <row r="2467" spans="2:10">
      <c r="B2467" s="413"/>
      <c r="C2467" s="414"/>
      <c r="D2467" s="414"/>
      <c r="E2467" s="50"/>
      <c r="F2467" s="403">
        <v>6612</v>
      </c>
      <c r="G2467" s="406">
        <v>15785</v>
      </c>
      <c r="H2467" s="50"/>
      <c r="I2467" s="50"/>
      <c r="J2467" s="306"/>
    </row>
    <row r="2468" spans="2:10">
      <c r="B2468" s="413"/>
      <c r="C2468" s="414"/>
      <c r="D2468" s="414"/>
      <c r="E2468" s="50"/>
      <c r="F2468" s="403">
        <v>6613</v>
      </c>
      <c r="G2468" s="406">
        <v>18635</v>
      </c>
      <c r="H2468" s="50"/>
      <c r="I2468" s="50"/>
      <c r="J2468" s="306"/>
    </row>
    <row r="2469" spans="2:10">
      <c r="B2469" s="413"/>
      <c r="C2469" s="414"/>
      <c r="D2469" s="414"/>
      <c r="E2469" s="50"/>
      <c r="F2469" s="403">
        <v>6614</v>
      </c>
      <c r="G2469" s="406">
        <v>18513</v>
      </c>
      <c r="H2469" s="50"/>
      <c r="I2469" s="50"/>
      <c r="J2469" s="306"/>
    </row>
    <row r="2470" spans="2:10">
      <c r="B2470" s="413"/>
      <c r="C2470" s="414"/>
      <c r="D2470" s="414"/>
      <c r="E2470" s="50"/>
      <c r="F2470" s="403">
        <v>6616</v>
      </c>
      <c r="G2470" s="406">
        <v>16950</v>
      </c>
      <c r="H2470" s="50"/>
      <c r="I2470" s="50"/>
      <c r="J2470" s="306"/>
    </row>
    <row r="2471" spans="2:10">
      <c r="B2471" s="413"/>
      <c r="C2471" s="414"/>
      <c r="D2471" s="414"/>
      <c r="E2471" s="50"/>
      <c r="F2471" s="403">
        <v>6620</v>
      </c>
      <c r="G2471" s="406">
        <v>16027</v>
      </c>
      <c r="H2471" s="50"/>
      <c r="I2471" s="50"/>
      <c r="J2471" s="306"/>
    </row>
    <row r="2472" spans="2:10">
      <c r="B2472" s="413"/>
      <c r="C2472" s="414"/>
      <c r="D2472" s="414"/>
      <c r="E2472" s="50"/>
      <c r="F2472" s="403">
        <v>6623</v>
      </c>
      <c r="G2472" s="406">
        <v>12457</v>
      </c>
      <c r="H2472" s="50"/>
      <c r="I2472" s="50"/>
      <c r="J2472" s="306"/>
    </row>
    <row r="2473" spans="2:10">
      <c r="B2473" s="413"/>
      <c r="C2473" s="414"/>
      <c r="D2473" s="414"/>
      <c r="E2473" s="50"/>
      <c r="F2473" s="403">
        <v>6625</v>
      </c>
      <c r="G2473" s="406">
        <v>13000</v>
      </c>
      <c r="H2473" s="50"/>
      <c r="I2473" s="50"/>
      <c r="J2473" s="306"/>
    </row>
    <row r="2474" spans="2:10">
      <c r="B2474" s="413"/>
      <c r="C2474" s="414"/>
      <c r="D2474" s="414"/>
      <c r="E2474" s="50"/>
      <c r="F2474" s="403">
        <v>6627</v>
      </c>
      <c r="G2474" s="406">
        <v>12457</v>
      </c>
      <c r="H2474" s="50"/>
      <c r="I2474" s="50"/>
      <c r="J2474" s="306"/>
    </row>
    <row r="2475" spans="2:10">
      <c r="B2475" s="413"/>
      <c r="C2475" s="414"/>
      <c r="D2475" s="414"/>
      <c r="E2475" s="50"/>
      <c r="F2475" s="403">
        <v>6628</v>
      </c>
      <c r="G2475" s="406">
        <v>12457</v>
      </c>
      <c r="H2475" s="50"/>
      <c r="I2475" s="50"/>
      <c r="J2475" s="306"/>
    </row>
    <row r="2476" spans="2:10">
      <c r="B2476" s="413"/>
      <c r="C2476" s="414"/>
      <c r="D2476" s="414"/>
      <c r="E2476" s="50"/>
      <c r="F2476" s="403">
        <v>6630</v>
      </c>
      <c r="G2476" s="406">
        <v>12384</v>
      </c>
      <c r="H2476" s="50"/>
      <c r="I2476" s="50"/>
      <c r="J2476" s="306"/>
    </row>
    <row r="2477" spans="2:10">
      <c r="B2477" s="413"/>
      <c r="C2477" s="414"/>
      <c r="D2477" s="414"/>
      <c r="E2477" s="50"/>
      <c r="F2477" s="403">
        <v>6631</v>
      </c>
      <c r="G2477" s="406">
        <v>12386</v>
      </c>
      <c r="H2477" s="50"/>
      <c r="I2477" s="50"/>
      <c r="J2477" s="306"/>
    </row>
    <row r="2478" spans="2:10">
      <c r="B2478" s="413"/>
      <c r="C2478" s="414"/>
      <c r="D2478" s="414"/>
      <c r="E2478" s="50"/>
      <c r="F2478" s="403">
        <v>6632</v>
      </c>
      <c r="G2478" s="406">
        <v>12384</v>
      </c>
      <c r="H2478" s="50"/>
      <c r="I2478" s="50"/>
      <c r="J2478" s="306"/>
    </row>
    <row r="2479" spans="2:10">
      <c r="B2479" s="413"/>
      <c r="C2479" s="414"/>
      <c r="D2479" s="414"/>
      <c r="E2479" s="50"/>
      <c r="F2479" s="403">
        <v>6635</v>
      </c>
      <c r="G2479" s="406">
        <v>12381</v>
      </c>
      <c r="H2479" s="50"/>
      <c r="I2479" s="50"/>
      <c r="J2479" s="306"/>
    </row>
    <row r="2480" spans="2:10">
      <c r="B2480" s="413"/>
      <c r="C2480" s="414"/>
      <c r="D2480" s="414"/>
      <c r="E2480" s="50"/>
      <c r="F2480" s="403">
        <v>6638</v>
      </c>
      <c r="G2480" s="406">
        <v>14714</v>
      </c>
      <c r="H2480" s="50"/>
      <c r="I2480" s="50"/>
      <c r="J2480" s="306"/>
    </row>
    <row r="2481" spans="2:10">
      <c r="B2481" s="413"/>
      <c r="C2481" s="414"/>
      <c r="D2481" s="414"/>
      <c r="E2481" s="50"/>
      <c r="F2481" s="403">
        <v>6639</v>
      </c>
      <c r="G2481" s="406">
        <v>14419</v>
      </c>
      <c r="H2481" s="50"/>
      <c r="I2481" s="50"/>
      <c r="J2481" s="306"/>
    </row>
    <row r="2482" spans="2:10">
      <c r="B2482" s="413"/>
      <c r="C2482" s="414"/>
      <c r="D2482" s="414"/>
      <c r="E2482" s="50"/>
      <c r="F2482" s="403">
        <v>6640</v>
      </c>
      <c r="G2482" s="406">
        <v>12680</v>
      </c>
      <c r="H2482" s="50"/>
      <c r="I2482" s="50"/>
      <c r="J2482" s="306"/>
    </row>
    <row r="2483" spans="2:10">
      <c r="B2483" s="413"/>
      <c r="C2483" s="414"/>
      <c r="D2483" s="414"/>
      <c r="E2483" s="50"/>
      <c r="F2483" s="403">
        <v>6642</v>
      </c>
      <c r="G2483" s="406">
        <v>12235</v>
      </c>
      <c r="H2483" s="50"/>
      <c r="I2483" s="50"/>
      <c r="J2483" s="306"/>
    </row>
    <row r="2484" spans="2:10">
      <c r="B2484" s="413"/>
      <c r="C2484" s="414"/>
      <c r="D2484" s="414"/>
      <c r="E2484" s="50"/>
      <c r="F2484" s="403">
        <v>6646</v>
      </c>
      <c r="G2484" s="406">
        <v>12744</v>
      </c>
      <c r="H2484" s="50"/>
      <c r="I2484" s="50"/>
      <c r="J2484" s="306"/>
    </row>
    <row r="2485" spans="2:10">
      <c r="B2485" s="413"/>
      <c r="C2485" s="414"/>
      <c r="D2485" s="414"/>
      <c r="E2485" s="50"/>
      <c r="F2485" s="403">
        <v>6701</v>
      </c>
      <c r="G2485" s="406">
        <v>12236</v>
      </c>
      <c r="H2485" s="50"/>
      <c r="I2485" s="50"/>
      <c r="J2485" s="306"/>
    </row>
    <row r="2486" spans="2:10">
      <c r="B2486" s="413"/>
      <c r="C2486" s="414"/>
      <c r="D2486" s="414"/>
      <c r="E2486" s="50"/>
      <c r="F2486" s="403">
        <v>6705</v>
      </c>
      <c r="G2486" s="406">
        <v>12307</v>
      </c>
      <c r="H2486" s="50"/>
      <c r="I2486" s="50"/>
      <c r="J2486" s="306"/>
    </row>
    <row r="2487" spans="2:10">
      <c r="B2487" s="413"/>
      <c r="C2487" s="414"/>
      <c r="D2487" s="414"/>
      <c r="E2487" s="50"/>
      <c r="F2487" s="403">
        <v>6707</v>
      </c>
      <c r="G2487" s="406">
        <v>12295</v>
      </c>
      <c r="H2487" s="50"/>
      <c r="I2487" s="50"/>
      <c r="J2487" s="306"/>
    </row>
    <row r="2488" spans="2:10">
      <c r="B2488" s="413"/>
      <c r="C2488" s="414"/>
      <c r="D2488" s="414"/>
      <c r="E2488" s="50"/>
      <c r="F2488" s="403">
        <v>6710</v>
      </c>
      <c r="G2488" s="406">
        <v>12295</v>
      </c>
      <c r="H2488" s="50"/>
      <c r="I2488" s="50"/>
      <c r="J2488" s="306"/>
    </row>
    <row r="2489" spans="2:10">
      <c r="B2489" s="413"/>
      <c r="C2489" s="414"/>
      <c r="D2489" s="414"/>
      <c r="E2489" s="50"/>
      <c r="F2489" s="403">
        <v>6713</v>
      </c>
      <c r="G2489" s="406">
        <v>12295</v>
      </c>
      <c r="H2489" s="50"/>
      <c r="I2489" s="50"/>
      <c r="J2489" s="306"/>
    </row>
    <row r="2490" spans="2:10">
      <c r="B2490" s="413"/>
      <c r="C2490" s="414"/>
      <c r="D2490" s="414"/>
      <c r="E2490" s="50"/>
      <c r="F2490" s="403">
        <v>6714</v>
      </c>
      <c r="G2490" s="406">
        <v>12295</v>
      </c>
      <c r="H2490" s="50"/>
      <c r="I2490" s="50"/>
      <c r="J2490" s="306"/>
    </row>
    <row r="2491" spans="2:10">
      <c r="B2491" s="413"/>
      <c r="C2491" s="414"/>
      <c r="D2491" s="414"/>
      <c r="E2491" s="50"/>
      <c r="F2491" s="403">
        <v>6716</v>
      </c>
      <c r="G2491" s="406">
        <v>12287</v>
      </c>
      <c r="H2491" s="50"/>
      <c r="I2491" s="50"/>
      <c r="J2491" s="306"/>
    </row>
    <row r="2492" spans="2:10">
      <c r="B2492" s="413"/>
      <c r="C2492" s="414"/>
      <c r="D2492" s="414"/>
      <c r="E2492" s="50"/>
      <c r="F2492" s="403">
        <v>6718</v>
      </c>
      <c r="G2492" s="406">
        <v>12402</v>
      </c>
      <c r="H2492" s="50"/>
      <c r="I2492" s="50"/>
      <c r="J2492" s="306"/>
    </row>
    <row r="2493" spans="2:10">
      <c r="B2493" s="413"/>
      <c r="C2493" s="414"/>
      <c r="D2493" s="414"/>
      <c r="E2493" s="50"/>
      <c r="F2493" s="403">
        <v>6720</v>
      </c>
      <c r="G2493" s="406">
        <v>12378</v>
      </c>
      <c r="H2493" s="50"/>
      <c r="I2493" s="50"/>
      <c r="J2493" s="306"/>
    </row>
    <row r="2494" spans="2:10">
      <c r="B2494" s="413"/>
      <c r="C2494" s="414"/>
      <c r="D2494" s="414"/>
      <c r="E2494" s="50"/>
      <c r="F2494" s="403">
        <v>6721</v>
      </c>
      <c r="G2494" s="406">
        <v>12537</v>
      </c>
      <c r="H2494" s="50"/>
      <c r="I2494" s="50"/>
      <c r="J2494" s="306"/>
    </row>
    <row r="2495" spans="2:10">
      <c r="B2495" s="413"/>
      <c r="C2495" s="414"/>
      <c r="D2495" s="414"/>
      <c r="E2495" s="50"/>
      <c r="F2495" s="403">
        <v>6722</v>
      </c>
      <c r="G2495" s="406">
        <v>12571</v>
      </c>
      <c r="H2495" s="50"/>
      <c r="I2495" s="50"/>
      <c r="J2495" s="306"/>
    </row>
    <row r="2496" spans="2:10">
      <c r="B2496" s="413"/>
      <c r="C2496" s="414"/>
      <c r="D2496" s="414"/>
      <c r="E2496" s="50"/>
      <c r="F2496" s="403">
        <v>6723</v>
      </c>
      <c r="G2496" s="406">
        <v>12571</v>
      </c>
      <c r="H2496" s="50"/>
      <c r="I2496" s="50"/>
      <c r="J2496" s="306"/>
    </row>
    <row r="2497" spans="2:10">
      <c r="B2497" s="413"/>
      <c r="C2497" s="414"/>
      <c r="D2497" s="414"/>
      <c r="E2497" s="50"/>
      <c r="F2497" s="403">
        <v>6725</v>
      </c>
      <c r="G2497" s="406">
        <v>17343</v>
      </c>
      <c r="H2497" s="50"/>
      <c r="I2497" s="50"/>
      <c r="J2497" s="306"/>
    </row>
    <row r="2498" spans="2:10">
      <c r="B2498" s="413"/>
      <c r="C2498" s="414"/>
      <c r="D2498" s="414"/>
      <c r="E2498" s="50"/>
      <c r="F2498" s="403">
        <v>6726</v>
      </c>
      <c r="G2498" s="406">
        <v>17343</v>
      </c>
      <c r="H2498" s="50"/>
      <c r="I2498" s="50"/>
      <c r="J2498" s="306"/>
    </row>
    <row r="2499" spans="2:10">
      <c r="B2499" s="413"/>
      <c r="C2499" s="414"/>
      <c r="D2499" s="414"/>
      <c r="E2499" s="50"/>
      <c r="F2499" s="403">
        <v>6728</v>
      </c>
      <c r="G2499" s="406">
        <v>17343</v>
      </c>
      <c r="H2499" s="50"/>
      <c r="I2499" s="50"/>
      <c r="J2499" s="306"/>
    </row>
    <row r="2500" spans="2:10">
      <c r="B2500" s="413"/>
      <c r="C2500" s="414"/>
      <c r="D2500" s="414"/>
      <c r="E2500" s="50"/>
      <c r="F2500" s="403">
        <v>6740</v>
      </c>
      <c r="G2500" s="406">
        <v>14447</v>
      </c>
      <c r="H2500" s="50"/>
      <c r="I2500" s="50"/>
      <c r="J2500" s="306"/>
    </row>
    <row r="2501" spans="2:10">
      <c r="B2501" s="413"/>
      <c r="C2501" s="414"/>
      <c r="D2501" s="414"/>
      <c r="E2501" s="50"/>
      <c r="F2501" s="403">
        <v>6743</v>
      </c>
      <c r="G2501" s="406">
        <v>15213</v>
      </c>
      <c r="H2501" s="50"/>
      <c r="I2501" s="50"/>
      <c r="J2501" s="306"/>
    </row>
    <row r="2502" spans="2:10">
      <c r="B2502" s="413"/>
      <c r="C2502" s="414"/>
      <c r="D2502" s="414"/>
      <c r="E2502" s="50"/>
      <c r="F2502" s="403">
        <v>6751</v>
      </c>
      <c r="G2502" s="406">
        <v>12260</v>
      </c>
      <c r="H2502" s="50"/>
      <c r="I2502" s="50"/>
      <c r="J2502" s="306"/>
    </row>
    <row r="2503" spans="2:10">
      <c r="B2503" s="413"/>
      <c r="C2503" s="414"/>
      <c r="D2503" s="414"/>
      <c r="E2503" s="50"/>
      <c r="F2503" s="403">
        <v>6753</v>
      </c>
      <c r="G2503" s="406">
        <v>11953</v>
      </c>
      <c r="H2503" s="50"/>
      <c r="I2503" s="50"/>
      <c r="J2503" s="306"/>
    </row>
    <row r="2504" spans="2:10">
      <c r="B2504" s="413"/>
      <c r="C2504" s="414"/>
      <c r="D2504" s="414"/>
      <c r="E2504" s="50"/>
      <c r="F2504" s="403">
        <v>6754</v>
      </c>
      <c r="G2504" s="406">
        <v>12218</v>
      </c>
      <c r="H2504" s="50"/>
      <c r="I2504" s="50"/>
      <c r="J2504" s="306"/>
    </row>
    <row r="2505" spans="2:10">
      <c r="B2505" s="413"/>
      <c r="C2505" s="414"/>
      <c r="D2505" s="414"/>
      <c r="E2505" s="50"/>
      <c r="F2505" s="403">
        <v>6758</v>
      </c>
      <c r="G2505" s="406">
        <v>12217</v>
      </c>
      <c r="H2505" s="50"/>
      <c r="I2505" s="50"/>
      <c r="J2505" s="306"/>
    </row>
    <row r="2506" spans="2:10">
      <c r="B2506" s="413"/>
      <c r="C2506" s="414"/>
      <c r="D2506" s="414"/>
      <c r="E2506" s="50"/>
      <c r="F2506" s="403">
        <v>6760</v>
      </c>
      <c r="G2506" s="406">
        <v>17343</v>
      </c>
      <c r="H2506" s="50"/>
      <c r="I2506" s="50"/>
      <c r="J2506" s="306"/>
    </row>
    <row r="2507" spans="2:10">
      <c r="B2507" s="413"/>
      <c r="C2507" s="414"/>
      <c r="D2507" s="414"/>
      <c r="E2507" s="50"/>
      <c r="F2507" s="403">
        <v>6761</v>
      </c>
      <c r="G2507" s="406">
        <v>12571</v>
      </c>
      <c r="H2507" s="50"/>
      <c r="I2507" s="50"/>
      <c r="J2507" s="306"/>
    </row>
    <row r="2508" spans="2:10">
      <c r="B2508" s="413"/>
      <c r="C2508" s="414"/>
      <c r="D2508" s="414"/>
      <c r="E2508" s="50"/>
      <c r="F2508" s="403">
        <v>6762</v>
      </c>
      <c r="G2508" s="406">
        <v>15143</v>
      </c>
      <c r="H2508" s="50"/>
      <c r="I2508" s="50"/>
      <c r="J2508" s="306"/>
    </row>
    <row r="2509" spans="2:10">
      <c r="B2509" s="413"/>
      <c r="C2509" s="414"/>
      <c r="D2509" s="414"/>
      <c r="E2509" s="50"/>
      <c r="F2509" s="403">
        <v>6765</v>
      </c>
      <c r="G2509" s="406">
        <v>17343</v>
      </c>
      <c r="H2509" s="50"/>
      <c r="I2509" s="50"/>
      <c r="J2509" s="306"/>
    </row>
    <row r="2510" spans="2:10">
      <c r="B2510" s="413"/>
      <c r="C2510" s="414"/>
      <c r="D2510" s="414"/>
      <c r="E2510" s="50"/>
      <c r="F2510" s="403">
        <v>6770</v>
      </c>
      <c r="G2510" s="406">
        <v>16847</v>
      </c>
      <c r="H2510" s="50"/>
      <c r="I2510" s="50"/>
      <c r="J2510" s="306"/>
    </row>
    <row r="2511" spans="2:10">
      <c r="B2511" s="413"/>
      <c r="C2511" s="414"/>
      <c r="D2511" s="414"/>
      <c r="E2511" s="50"/>
      <c r="F2511" s="403">
        <v>7000</v>
      </c>
      <c r="G2511" s="406">
        <v>11898</v>
      </c>
      <c r="H2511" s="50"/>
      <c r="I2511" s="50"/>
      <c r="J2511" s="306"/>
    </row>
    <row r="2512" spans="2:10">
      <c r="B2512" s="413"/>
      <c r="C2512" s="414"/>
      <c r="D2512" s="414"/>
      <c r="E2512" s="50"/>
      <c r="F2512" s="403">
        <v>7001</v>
      </c>
      <c r="G2512" s="406">
        <v>12360</v>
      </c>
      <c r="H2512" s="50"/>
      <c r="I2512" s="50"/>
      <c r="J2512" s="306"/>
    </row>
    <row r="2513" spans="2:10">
      <c r="B2513" s="413"/>
      <c r="C2513" s="414"/>
      <c r="D2513" s="414"/>
      <c r="E2513" s="50"/>
      <c r="F2513" s="403">
        <v>7004</v>
      </c>
      <c r="G2513" s="406">
        <v>11898</v>
      </c>
      <c r="H2513" s="50"/>
      <c r="I2513" s="50"/>
      <c r="J2513" s="306"/>
    </row>
    <row r="2514" spans="2:10">
      <c r="B2514" s="413"/>
      <c r="C2514" s="414"/>
      <c r="D2514" s="414"/>
      <c r="E2514" s="50"/>
      <c r="F2514" s="403">
        <v>7005</v>
      </c>
      <c r="G2514" s="406">
        <v>12338</v>
      </c>
      <c r="H2514" s="50"/>
      <c r="I2514" s="50"/>
      <c r="J2514" s="306"/>
    </row>
    <row r="2515" spans="2:10">
      <c r="B2515" s="413"/>
      <c r="C2515" s="414"/>
      <c r="D2515" s="414"/>
      <c r="E2515" s="50"/>
      <c r="F2515" s="403">
        <v>7007</v>
      </c>
      <c r="G2515" s="406">
        <v>11576</v>
      </c>
      <c r="H2515" s="50"/>
      <c r="I2515" s="50"/>
      <c r="J2515" s="306"/>
    </row>
    <row r="2516" spans="2:10">
      <c r="B2516" s="413"/>
      <c r="C2516" s="414"/>
      <c r="D2516" s="414"/>
      <c r="E2516" s="50"/>
      <c r="F2516" s="403">
        <v>7008</v>
      </c>
      <c r="G2516" s="406">
        <v>11906</v>
      </c>
      <c r="H2516" s="50"/>
      <c r="I2516" s="50"/>
      <c r="J2516" s="306"/>
    </row>
    <row r="2517" spans="2:10">
      <c r="B2517" s="413"/>
      <c r="C2517" s="414"/>
      <c r="D2517" s="414"/>
      <c r="E2517" s="50"/>
      <c r="F2517" s="403">
        <v>7009</v>
      </c>
      <c r="G2517" s="406">
        <v>11906</v>
      </c>
      <c r="H2517" s="50"/>
      <c r="I2517" s="50"/>
      <c r="J2517" s="306"/>
    </row>
    <row r="2518" spans="2:10">
      <c r="B2518" s="413"/>
      <c r="C2518" s="414"/>
      <c r="D2518" s="414"/>
      <c r="E2518" s="50"/>
      <c r="F2518" s="403">
        <v>7010</v>
      </c>
      <c r="G2518" s="406">
        <v>11852</v>
      </c>
      <c r="H2518" s="50"/>
      <c r="I2518" s="50"/>
      <c r="J2518" s="306"/>
    </row>
    <row r="2519" spans="2:10">
      <c r="B2519" s="413"/>
      <c r="C2519" s="414"/>
      <c r="D2519" s="414"/>
      <c r="E2519" s="50"/>
      <c r="F2519" s="403">
        <v>7011</v>
      </c>
      <c r="G2519" s="406">
        <v>11850</v>
      </c>
      <c r="H2519" s="50"/>
      <c r="I2519" s="50"/>
      <c r="J2519" s="306"/>
    </row>
    <row r="2520" spans="2:10">
      <c r="B2520" s="413"/>
      <c r="C2520" s="414"/>
      <c r="D2520" s="414"/>
      <c r="E2520" s="50"/>
      <c r="F2520" s="403">
        <v>7012</v>
      </c>
      <c r="G2520" s="406">
        <v>11847</v>
      </c>
      <c r="H2520" s="50"/>
      <c r="I2520" s="50"/>
      <c r="J2520" s="306"/>
    </row>
    <row r="2521" spans="2:10">
      <c r="B2521" s="413"/>
      <c r="C2521" s="414"/>
      <c r="D2521" s="414"/>
      <c r="E2521" s="50"/>
      <c r="F2521" s="403">
        <v>7015</v>
      </c>
      <c r="G2521" s="406">
        <v>12278</v>
      </c>
      <c r="H2521" s="50"/>
      <c r="I2521" s="50"/>
      <c r="J2521" s="306"/>
    </row>
    <row r="2522" spans="2:10">
      <c r="B2522" s="413"/>
      <c r="C2522" s="414"/>
      <c r="D2522" s="414"/>
      <c r="E2522" s="50"/>
      <c r="F2522" s="403">
        <v>7016</v>
      </c>
      <c r="G2522" s="406">
        <v>11911</v>
      </c>
      <c r="H2522" s="50"/>
      <c r="I2522" s="50"/>
      <c r="J2522" s="306"/>
    </row>
    <row r="2523" spans="2:10">
      <c r="B2523" s="413"/>
      <c r="C2523" s="414"/>
      <c r="D2523" s="414"/>
      <c r="E2523" s="50"/>
      <c r="F2523" s="403">
        <v>7017</v>
      </c>
      <c r="G2523" s="406">
        <v>11934</v>
      </c>
      <c r="H2523" s="50"/>
      <c r="I2523" s="50"/>
      <c r="J2523" s="306"/>
    </row>
    <row r="2524" spans="2:10">
      <c r="B2524" s="413"/>
      <c r="C2524" s="414"/>
      <c r="D2524" s="414"/>
      <c r="E2524" s="50"/>
      <c r="F2524" s="403">
        <v>7018</v>
      </c>
      <c r="G2524" s="406">
        <v>12773</v>
      </c>
      <c r="H2524" s="50"/>
      <c r="I2524" s="50"/>
      <c r="J2524" s="306"/>
    </row>
    <row r="2525" spans="2:10">
      <c r="B2525" s="413"/>
      <c r="C2525" s="414"/>
      <c r="D2525" s="414"/>
      <c r="E2525" s="50"/>
      <c r="F2525" s="403">
        <v>7019</v>
      </c>
      <c r="G2525" s="406">
        <v>12879</v>
      </c>
      <c r="H2525" s="50"/>
      <c r="I2525" s="50"/>
      <c r="J2525" s="306"/>
    </row>
    <row r="2526" spans="2:10">
      <c r="B2526" s="413"/>
      <c r="C2526" s="414"/>
      <c r="D2526" s="414"/>
      <c r="E2526" s="50"/>
      <c r="F2526" s="403">
        <v>7020</v>
      </c>
      <c r="G2526" s="406">
        <v>12778</v>
      </c>
      <c r="H2526" s="50"/>
      <c r="I2526" s="50"/>
      <c r="J2526" s="306"/>
    </row>
    <row r="2527" spans="2:10">
      <c r="B2527" s="413"/>
      <c r="C2527" s="414"/>
      <c r="D2527" s="414"/>
      <c r="E2527" s="50"/>
      <c r="F2527" s="403">
        <v>7021</v>
      </c>
      <c r="G2527" s="406">
        <v>12895</v>
      </c>
      <c r="H2527" s="50"/>
      <c r="I2527" s="50"/>
      <c r="J2527" s="306"/>
    </row>
    <row r="2528" spans="2:10">
      <c r="B2528" s="413"/>
      <c r="C2528" s="414"/>
      <c r="D2528" s="414"/>
      <c r="E2528" s="50"/>
      <c r="F2528" s="403">
        <v>7022</v>
      </c>
      <c r="G2528" s="406">
        <v>12023</v>
      </c>
      <c r="H2528" s="50"/>
      <c r="I2528" s="50"/>
      <c r="J2528" s="306"/>
    </row>
    <row r="2529" spans="2:10">
      <c r="B2529" s="413"/>
      <c r="C2529" s="414"/>
      <c r="D2529" s="414"/>
      <c r="E2529" s="50"/>
      <c r="F2529" s="403">
        <v>7023</v>
      </c>
      <c r="G2529" s="406">
        <v>11679</v>
      </c>
      <c r="H2529" s="50"/>
      <c r="I2529" s="50"/>
      <c r="J2529" s="306"/>
    </row>
    <row r="2530" spans="2:10">
      <c r="B2530" s="413"/>
      <c r="C2530" s="414"/>
      <c r="D2530" s="414"/>
      <c r="E2530" s="50"/>
      <c r="F2530" s="403">
        <v>7024</v>
      </c>
      <c r="G2530" s="406">
        <v>12778</v>
      </c>
      <c r="H2530" s="50"/>
      <c r="I2530" s="50"/>
      <c r="J2530" s="306"/>
    </row>
    <row r="2531" spans="2:10">
      <c r="B2531" s="413"/>
      <c r="C2531" s="414"/>
      <c r="D2531" s="414"/>
      <c r="E2531" s="50"/>
      <c r="F2531" s="403">
        <v>7025</v>
      </c>
      <c r="G2531" s="406">
        <v>12326</v>
      </c>
      <c r="H2531" s="50"/>
      <c r="I2531" s="50"/>
      <c r="J2531" s="306"/>
    </row>
    <row r="2532" spans="2:10">
      <c r="B2532" s="413"/>
      <c r="C2532" s="414"/>
      <c r="D2532" s="414"/>
      <c r="E2532" s="50"/>
      <c r="F2532" s="403">
        <v>7026</v>
      </c>
      <c r="G2532" s="406">
        <v>12052</v>
      </c>
      <c r="H2532" s="50"/>
      <c r="I2532" s="50"/>
      <c r="J2532" s="306"/>
    </row>
    <row r="2533" spans="2:10">
      <c r="B2533" s="413"/>
      <c r="C2533" s="414"/>
      <c r="D2533" s="414"/>
      <c r="E2533" s="50"/>
      <c r="F2533" s="403">
        <v>7027</v>
      </c>
      <c r="G2533" s="406">
        <v>14703</v>
      </c>
      <c r="H2533" s="50"/>
      <c r="I2533" s="50"/>
      <c r="J2533" s="306"/>
    </row>
    <row r="2534" spans="2:10">
      <c r="B2534" s="413"/>
      <c r="C2534" s="414"/>
      <c r="D2534" s="414"/>
      <c r="E2534" s="50"/>
      <c r="F2534" s="403">
        <v>7030</v>
      </c>
      <c r="G2534" s="406">
        <v>17363</v>
      </c>
      <c r="H2534" s="50"/>
      <c r="I2534" s="50"/>
      <c r="J2534" s="306"/>
    </row>
    <row r="2535" spans="2:10">
      <c r="B2535" s="413"/>
      <c r="C2535" s="414"/>
      <c r="D2535" s="414"/>
      <c r="E2535" s="50"/>
      <c r="F2535" s="403">
        <v>7050</v>
      </c>
      <c r="G2535" s="406">
        <v>11241</v>
      </c>
      <c r="H2535" s="50"/>
      <c r="I2535" s="50"/>
      <c r="J2535" s="306"/>
    </row>
    <row r="2536" spans="2:10">
      <c r="B2536" s="413"/>
      <c r="C2536" s="414"/>
      <c r="D2536" s="414"/>
      <c r="E2536" s="50"/>
      <c r="F2536" s="403">
        <v>7052</v>
      </c>
      <c r="G2536" s="406">
        <v>11241</v>
      </c>
      <c r="H2536" s="50"/>
      <c r="I2536" s="50"/>
      <c r="J2536" s="306"/>
    </row>
    <row r="2537" spans="2:10">
      <c r="B2537" s="413"/>
      <c r="C2537" s="414"/>
      <c r="D2537" s="414"/>
      <c r="E2537" s="50"/>
      <c r="F2537" s="403">
        <v>7053</v>
      </c>
      <c r="G2537" s="406">
        <v>11278</v>
      </c>
      <c r="H2537" s="50"/>
      <c r="I2537" s="50"/>
      <c r="J2537" s="306"/>
    </row>
    <row r="2538" spans="2:10">
      <c r="B2538" s="413"/>
      <c r="C2538" s="414"/>
      <c r="D2538" s="414"/>
      <c r="E2538" s="50"/>
      <c r="F2538" s="403">
        <v>7054</v>
      </c>
      <c r="G2538" s="406">
        <v>11356</v>
      </c>
      <c r="H2538" s="50"/>
      <c r="I2538" s="50"/>
      <c r="J2538" s="306"/>
    </row>
    <row r="2539" spans="2:10">
      <c r="B2539" s="413"/>
      <c r="C2539" s="414"/>
      <c r="D2539" s="414"/>
      <c r="E2539" s="50"/>
      <c r="F2539" s="403">
        <v>7055</v>
      </c>
      <c r="G2539" s="406">
        <v>11241</v>
      </c>
      <c r="H2539" s="50"/>
      <c r="I2539" s="50"/>
      <c r="J2539" s="306"/>
    </row>
    <row r="2540" spans="2:10">
      <c r="B2540" s="413"/>
      <c r="C2540" s="414"/>
      <c r="D2540" s="414"/>
      <c r="E2540" s="50"/>
      <c r="F2540" s="403">
        <v>7109</v>
      </c>
      <c r="G2540" s="406">
        <v>12130</v>
      </c>
      <c r="H2540" s="50"/>
      <c r="I2540" s="50"/>
      <c r="J2540" s="306"/>
    </row>
    <row r="2541" spans="2:10">
      <c r="B2541" s="413"/>
      <c r="C2541" s="414"/>
      <c r="D2541" s="414"/>
      <c r="E2541" s="50"/>
      <c r="F2541" s="403">
        <v>7112</v>
      </c>
      <c r="G2541" s="406">
        <v>12152</v>
      </c>
      <c r="H2541" s="50"/>
      <c r="I2541" s="50"/>
      <c r="J2541" s="306"/>
    </row>
    <row r="2542" spans="2:10">
      <c r="B2542" s="413"/>
      <c r="C2542" s="414"/>
      <c r="D2542" s="414"/>
      <c r="E2542" s="50"/>
      <c r="F2542" s="403">
        <v>7113</v>
      </c>
      <c r="G2542" s="406">
        <v>12350</v>
      </c>
      <c r="H2542" s="50"/>
      <c r="I2542" s="50"/>
      <c r="J2542" s="306"/>
    </row>
    <row r="2543" spans="2:10">
      <c r="B2543" s="413"/>
      <c r="C2543" s="414"/>
      <c r="D2543" s="414"/>
      <c r="E2543" s="50"/>
      <c r="F2543" s="403">
        <v>7116</v>
      </c>
      <c r="G2543" s="406">
        <v>12350</v>
      </c>
      <c r="H2543" s="50"/>
      <c r="I2543" s="50"/>
      <c r="J2543" s="306"/>
    </row>
    <row r="2544" spans="2:10">
      <c r="B2544" s="413"/>
      <c r="C2544" s="414"/>
      <c r="D2544" s="414"/>
      <c r="E2544" s="50"/>
      <c r="F2544" s="403">
        <v>7117</v>
      </c>
      <c r="G2544" s="406">
        <v>12216</v>
      </c>
      <c r="H2544" s="50"/>
      <c r="I2544" s="50"/>
      <c r="J2544" s="306"/>
    </row>
    <row r="2545" spans="2:10">
      <c r="B2545" s="413"/>
      <c r="C2545" s="414"/>
      <c r="D2545" s="414"/>
      <c r="E2545" s="50"/>
      <c r="F2545" s="403">
        <v>7119</v>
      </c>
      <c r="G2545" s="406">
        <v>16978</v>
      </c>
      <c r="H2545" s="50"/>
      <c r="I2545" s="50"/>
      <c r="J2545" s="306"/>
    </row>
    <row r="2546" spans="2:10">
      <c r="B2546" s="413"/>
      <c r="C2546" s="414"/>
      <c r="D2546" s="414"/>
      <c r="E2546" s="50"/>
      <c r="F2546" s="403">
        <v>7120</v>
      </c>
      <c r="G2546" s="406">
        <v>16677</v>
      </c>
      <c r="H2546" s="50"/>
      <c r="I2546" s="50"/>
      <c r="J2546" s="306"/>
    </row>
    <row r="2547" spans="2:10">
      <c r="B2547" s="413"/>
      <c r="C2547" s="414"/>
      <c r="D2547" s="414"/>
      <c r="E2547" s="50"/>
      <c r="F2547" s="403">
        <v>7139</v>
      </c>
      <c r="G2547" s="406">
        <v>13670</v>
      </c>
      <c r="H2547" s="50"/>
      <c r="I2547" s="50"/>
      <c r="J2547" s="306"/>
    </row>
    <row r="2548" spans="2:10">
      <c r="B2548" s="413"/>
      <c r="C2548" s="414"/>
      <c r="D2548" s="414"/>
      <c r="E2548" s="50"/>
      <c r="F2548" s="403">
        <v>7140</v>
      </c>
      <c r="G2548" s="406">
        <v>17973</v>
      </c>
      <c r="H2548" s="50"/>
      <c r="I2548" s="50"/>
      <c r="J2548" s="306"/>
    </row>
    <row r="2549" spans="2:10">
      <c r="B2549" s="413"/>
      <c r="C2549" s="414"/>
      <c r="D2549" s="414"/>
      <c r="E2549" s="50"/>
      <c r="F2549" s="403">
        <v>7150</v>
      </c>
      <c r="G2549" s="406">
        <v>11944</v>
      </c>
      <c r="H2549" s="50"/>
      <c r="I2549" s="50"/>
      <c r="J2549" s="306"/>
    </row>
    <row r="2550" spans="2:10">
      <c r="B2550" s="413"/>
      <c r="C2550" s="414"/>
      <c r="D2550" s="414"/>
      <c r="E2550" s="50"/>
      <c r="F2550" s="403">
        <v>7155</v>
      </c>
      <c r="G2550" s="406">
        <v>11589</v>
      </c>
      <c r="H2550" s="50"/>
      <c r="I2550" s="50"/>
      <c r="J2550" s="306"/>
    </row>
    <row r="2551" spans="2:10">
      <c r="B2551" s="413"/>
      <c r="C2551" s="414"/>
      <c r="D2551" s="414"/>
      <c r="E2551" s="50"/>
      <c r="F2551" s="403">
        <v>7162</v>
      </c>
      <c r="G2551" s="406">
        <v>12006</v>
      </c>
      <c r="H2551" s="50"/>
      <c r="I2551" s="50"/>
      <c r="J2551" s="306"/>
    </row>
    <row r="2552" spans="2:10">
      <c r="B2552" s="413"/>
      <c r="C2552" s="414"/>
      <c r="D2552" s="414"/>
      <c r="E2552" s="50"/>
      <c r="F2552" s="403">
        <v>7163</v>
      </c>
      <c r="G2552" s="406">
        <v>12006</v>
      </c>
      <c r="H2552" s="50"/>
      <c r="I2552" s="50"/>
      <c r="J2552" s="306"/>
    </row>
    <row r="2553" spans="2:10">
      <c r="B2553" s="413"/>
      <c r="C2553" s="414"/>
      <c r="D2553" s="414"/>
      <c r="E2553" s="50"/>
      <c r="F2553" s="403">
        <v>7170</v>
      </c>
      <c r="G2553" s="406">
        <v>12796</v>
      </c>
      <c r="H2553" s="50"/>
      <c r="I2553" s="50"/>
      <c r="J2553" s="306"/>
    </row>
    <row r="2554" spans="2:10">
      <c r="B2554" s="413"/>
      <c r="C2554" s="414"/>
      <c r="D2554" s="414"/>
      <c r="E2554" s="50"/>
      <c r="F2554" s="403">
        <v>7171</v>
      </c>
      <c r="G2554" s="406">
        <v>12536</v>
      </c>
      <c r="H2554" s="50"/>
      <c r="I2554" s="50"/>
      <c r="J2554" s="306"/>
    </row>
    <row r="2555" spans="2:10">
      <c r="B2555" s="413"/>
      <c r="C2555" s="414"/>
      <c r="D2555" s="414"/>
      <c r="E2555" s="50"/>
      <c r="F2555" s="403">
        <v>7172</v>
      </c>
      <c r="G2555" s="406">
        <v>13465</v>
      </c>
      <c r="H2555" s="50"/>
      <c r="I2555" s="50"/>
      <c r="J2555" s="306"/>
    </row>
    <row r="2556" spans="2:10">
      <c r="B2556" s="413"/>
      <c r="C2556" s="414"/>
      <c r="D2556" s="414"/>
      <c r="E2556" s="50"/>
      <c r="F2556" s="403">
        <v>7173</v>
      </c>
      <c r="G2556" s="406">
        <v>13585</v>
      </c>
      <c r="H2556" s="50"/>
      <c r="I2556" s="50"/>
      <c r="J2556" s="306"/>
    </row>
    <row r="2557" spans="2:10">
      <c r="B2557" s="413"/>
      <c r="C2557" s="414"/>
      <c r="D2557" s="414"/>
      <c r="E2557" s="50"/>
      <c r="F2557" s="403">
        <v>7174</v>
      </c>
      <c r="G2557" s="406">
        <v>14181</v>
      </c>
      <c r="H2557" s="50"/>
      <c r="I2557" s="50"/>
      <c r="J2557" s="306"/>
    </row>
    <row r="2558" spans="2:10">
      <c r="B2558" s="413"/>
      <c r="C2558" s="414"/>
      <c r="D2558" s="414"/>
      <c r="E2558" s="50"/>
      <c r="F2558" s="403">
        <v>7175</v>
      </c>
      <c r="G2558" s="406">
        <v>14212</v>
      </c>
      <c r="H2558" s="50"/>
      <c r="I2558" s="50"/>
      <c r="J2558" s="306"/>
    </row>
    <row r="2559" spans="2:10">
      <c r="B2559" s="413"/>
      <c r="C2559" s="414"/>
      <c r="D2559" s="414"/>
      <c r="E2559" s="50"/>
      <c r="F2559" s="403">
        <v>7176</v>
      </c>
      <c r="G2559" s="406">
        <v>14181</v>
      </c>
      <c r="H2559" s="50"/>
      <c r="I2559" s="50"/>
      <c r="J2559" s="306"/>
    </row>
    <row r="2560" spans="2:10">
      <c r="B2560" s="413"/>
      <c r="C2560" s="414"/>
      <c r="D2560" s="414"/>
      <c r="E2560" s="50"/>
      <c r="F2560" s="403">
        <v>7177</v>
      </c>
      <c r="G2560" s="406">
        <v>14212</v>
      </c>
      <c r="H2560" s="50"/>
      <c r="I2560" s="50"/>
      <c r="J2560" s="306"/>
    </row>
    <row r="2561" spans="2:10">
      <c r="B2561" s="413"/>
      <c r="C2561" s="414"/>
      <c r="D2561" s="414"/>
      <c r="E2561" s="50"/>
      <c r="F2561" s="403">
        <v>7178</v>
      </c>
      <c r="G2561" s="406">
        <v>14299</v>
      </c>
      <c r="H2561" s="50"/>
      <c r="I2561" s="50"/>
      <c r="J2561" s="306"/>
    </row>
    <row r="2562" spans="2:10">
      <c r="B2562" s="413"/>
      <c r="C2562" s="414"/>
      <c r="D2562" s="414"/>
      <c r="E2562" s="50"/>
      <c r="F2562" s="403">
        <v>7179</v>
      </c>
      <c r="G2562" s="406">
        <v>14214</v>
      </c>
      <c r="H2562" s="50"/>
      <c r="I2562" s="50"/>
      <c r="J2562" s="306"/>
    </row>
    <row r="2563" spans="2:10">
      <c r="B2563" s="413"/>
      <c r="C2563" s="414"/>
      <c r="D2563" s="414"/>
      <c r="E2563" s="50"/>
      <c r="F2563" s="403">
        <v>7180</v>
      </c>
      <c r="G2563" s="406">
        <v>14214</v>
      </c>
      <c r="H2563" s="50"/>
      <c r="I2563" s="50"/>
      <c r="J2563" s="306"/>
    </row>
    <row r="2564" spans="2:10">
      <c r="B2564" s="413"/>
      <c r="C2564" s="414"/>
      <c r="D2564" s="414"/>
      <c r="E2564" s="50"/>
      <c r="F2564" s="403">
        <v>7182</v>
      </c>
      <c r="G2564" s="406">
        <v>13727</v>
      </c>
      <c r="H2564" s="50"/>
      <c r="I2564" s="50"/>
      <c r="J2564" s="306"/>
    </row>
    <row r="2565" spans="2:10">
      <c r="B2565" s="413"/>
      <c r="C2565" s="414"/>
      <c r="D2565" s="414"/>
      <c r="E2565" s="50"/>
      <c r="F2565" s="403">
        <v>7183</v>
      </c>
      <c r="G2565" s="406">
        <v>13727</v>
      </c>
      <c r="H2565" s="50"/>
      <c r="I2565" s="50"/>
      <c r="J2565" s="306"/>
    </row>
    <row r="2566" spans="2:10">
      <c r="B2566" s="413"/>
      <c r="C2566" s="414"/>
      <c r="D2566" s="414"/>
      <c r="E2566" s="50"/>
      <c r="F2566" s="403">
        <v>7184</v>
      </c>
      <c r="G2566" s="406">
        <v>12979</v>
      </c>
      <c r="H2566" s="50"/>
      <c r="I2566" s="50"/>
      <c r="J2566" s="306"/>
    </row>
    <row r="2567" spans="2:10">
      <c r="B2567" s="413"/>
      <c r="C2567" s="414"/>
      <c r="D2567" s="414"/>
      <c r="E2567" s="50"/>
      <c r="F2567" s="403">
        <v>7185</v>
      </c>
      <c r="G2567" s="406">
        <v>13727</v>
      </c>
      <c r="H2567" s="50"/>
      <c r="I2567" s="50"/>
      <c r="J2567" s="306"/>
    </row>
    <row r="2568" spans="2:10">
      <c r="B2568" s="413"/>
      <c r="C2568" s="414"/>
      <c r="D2568" s="414"/>
      <c r="E2568" s="50"/>
      <c r="F2568" s="403">
        <v>7186</v>
      </c>
      <c r="G2568" s="406">
        <v>13507</v>
      </c>
      <c r="H2568" s="50"/>
      <c r="I2568" s="50"/>
      <c r="J2568" s="306"/>
    </row>
    <row r="2569" spans="2:10">
      <c r="B2569" s="413"/>
      <c r="C2569" s="414"/>
      <c r="D2569" s="414"/>
      <c r="E2569" s="50"/>
      <c r="F2569" s="403">
        <v>7187</v>
      </c>
      <c r="G2569" s="406">
        <v>14214</v>
      </c>
      <c r="H2569" s="50"/>
      <c r="I2569" s="50"/>
      <c r="J2569" s="306"/>
    </row>
    <row r="2570" spans="2:10">
      <c r="B2570" s="413"/>
      <c r="C2570" s="414"/>
      <c r="D2570" s="414"/>
      <c r="E2570" s="50"/>
      <c r="F2570" s="403">
        <v>7190</v>
      </c>
      <c r="G2570" s="406">
        <v>17095</v>
      </c>
      <c r="H2570" s="50"/>
      <c r="I2570" s="50"/>
      <c r="J2570" s="306"/>
    </row>
    <row r="2571" spans="2:10">
      <c r="B2571" s="413"/>
      <c r="C2571" s="414"/>
      <c r="D2571" s="414"/>
      <c r="E2571" s="50"/>
      <c r="F2571" s="403">
        <v>7209</v>
      </c>
      <c r="G2571" s="406">
        <v>17095</v>
      </c>
      <c r="H2571" s="50"/>
      <c r="I2571" s="50"/>
      <c r="J2571" s="306"/>
    </row>
    <row r="2572" spans="2:10">
      <c r="B2572" s="413"/>
      <c r="C2572" s="414"/>
      <c r="D2572" s="414"/>
      <c r="E2572" s="50"/>
      <c r="F2572" s="403">
        <v>7210</v>
      </c>
      <c r="G2572" s="406">
        <v>16369</v>
      </c>
      <c r="H2572" s="50"/>
      <c r="I2572" s="50"/>
      <c r="J2572" s="306"/>
    </row>
    <row r="2573" spans="2:10">
      <c r="B2573" s="413"/>
      <c r="C2573" s="414"/>
      <c r="D2573" s="414"/>
      <c r="E2573" s="50"/>
      <c r="F2573" s="403">
        <v>7211</v>
      </c>
      <c r="G2573" s="406">
        <v>13399</v>
      </c>
      <c r="H2573" s="50"/>
      <c r="I2573" s="50"/>
      <c r="J2573" s="306"/>
    </row>
    <row r="2574" spans="2:10">
      <c r="B2574" s="413"/>
      <c r="C2574" s="414"/>
      <c r="D2574" s="414"/>
      <c r="E2574" s="50"/>
      <c r="F2574" s="403">
        <v>7212</v>
      </c>
      <c r="G2574" s="406">
        <v>12410</v>
      </c>
      <c r="H2574" s="50"/>
      <c r="I2574" s="50"/>
      <c r="J2574" s="306"/>
    </row>
    <row r="2575" spans="2:10">
      <c r="B2575" s="413"/>
      <c r="C2575" s="414"/>
      <c r="D2575" s="414"/>
      <c r="E2575" s="50"/>
      <c r="F2575" s="403">
        <v>7213</v>
      </c>
      <c r="G2575" s="406">
        <v>15464</v>
      </c>
      <c r="H2575" s="50"/>
      <c r="I2575" s="50"/>
      <c r="J2575" s="306"/>
    </row>
    <row r="2576" spans="2:10">
      <c r="B2576" s="413"/>
      <c r="C2576" s="414"/>
      <c r="D2576" s="414"/>
      <c r="E2576" s="50"/>
      <c r="F2576" s="403">
        <v>7214</v>
      </c>
      <c r="G2576" s="406">
        <v>18638</v>
      </c>
      <c r="H2576" s="50"/>
      <c r="I2576" s="50"/>
      <c r="J2576" s="306"/>
    </row>
    <row r="2577" spans="2:10">
      <c r="B2577" s="413"/>
      <c r="C2577" s="414"/>
      <c r="D2577" s="414"/>
      <c r="E2577" s="50"/>
      <c r="F2577" s="403">
        <v>7215</v>
      </c>
      <c r="G2577" s="406">
        <v>17826</v>
      </c>
      <c r="H2577" s="50"/>
      <c r="I2577" s="50"/>
      <c r="J2577" s="306"/>
    </row>
    <row r="2578" spans="2:10">
      <c r="B2578" s="413"/>
      <c r="C2578" s="414"/>
      <c r="D2578" s="414"/>
      <c r="E2578" s="50"/>
      <c r="F2578" s="403">
        <v>7216</v>
      </c>
      <c r="G2578" s="406">
        <v>18501</v>
      </c>
      <c r="H2578" s="50"/>
      <c r="I2578" s="50"/>
      <c r="J2578" s="306"/>
    </row>
    <row r="2579" spans="2:10">
      <c r="B2579" s="413"/>
      <c r="C2579" s="414"/>
      <c r="D2579" s="414"/>
      <c r="E2579" s="50"/>
      <c r="F2579" s="403">
        <v>7248</v>
      </c>
      <c r="G2579" s="406">
        <v>12318</v>
      </c>
      <c r="H2579" s="50"/>
      <c r="I2579" s="50"/>
      <c r="J2579" s="306"/>
    </row>
    <row r="2580" spans="2:10">
      <c r="B2580" s="413"/>
      <c r="C2580" s="414"/>
      <c r="D2580" s="414"/>
      <c r="E2580" s="50"/>
      <c r="F2580" s="403">
        <v>7249</v>
      </c>
      <c r="G2580" s="406">
        <v>12314</v>
      </c>
      <c r="H2580" s="50"/>
      <c r="I2580" s="50"/>
      <c r="J2580" s="306"/>
    </row>
    <row r="2581" spans="2:10">
      <c r="B2581" s="413"/>
      <c r="C2581" s="414"/>
      <c r="D2581" s="414"/>
      <c r="E2581" s="50"/>
      <c r="F2581" s="403">
        <v>7250</v>
      </c>
      <c r="G2581" s="406">
        <v>12314</v>
      </c>
      <c r="H2581" s="50"/>
      <c r="I2581" s="50"/>
      <c r="J2581" s="306"/>
    </row>
    <row r="2582" spans="2:10">
      <c r="B2582" s="413"/>
      <c r="C2582" s="414"/>
      <c r="D2582" s="414"/>
      <c r="E2582" s="50"/>
      <c r="F2582" s="403">
        <v>7252</v>
      </c>
      <c r="G2582" s="406">
        <v>13915</v>
      </c>
      <c r="H2582" s="50"/>
      <c r="I2582" s="50"/>
      <c r="J2582" s="306"/>
    </row>
    <row r="2583" spans="2:10">
      <c r="B2583" s="413"/>
      <c r="C2583" s="414"/>
      <c r="D2583" s="414"/>
      <c r="E2583" s="50"/>
      <c r="F2583" s="403">
        <v>7253</v>
      </c>
      <c r="G2583" s="406">
        <v>13539</v>
      </c>
      <c r="H2583" s="50"/>
      <c r="I2583" s="50"/>
      <c r="J2583" s="306"/>
    </row>
    <row r="2584" spans="2:10">
      <c r="B2584" s="413"/>
      <c r="C2584" s="414"/>
      <c r="D2584" s="414"/>
      <c r="E2584" s="50"/>
      <c r="F2584" s="403">
        <v>7254</v>
      </c>
      <c r="G2584" s="406">
        <v>14700</v>
      </c>
      <c r="H2584" s="50"/>
      <c r="I2584" s="50"/>
      <c r="J2584" s="306"/>
    </row>
    <row r="2585" spans="2:10">
      <c r="B2585" s="413"/>
      <c r="C2585" s="414"/>
      <c r="D2585" s="414"/>
      <c r="E2585" s="50"/>
      <c r="F2585" s="403">
        <v>7258</v>
      </c>
      <c r="G2585" s="406">
        <v>12313</v>
      </c>
      <c r="H2585" s="50"/>
      <c r="I2585" s="50"/>
      <c r="J2585" s="306"/>
    </row>
    <row r="2586" spans="2:10">
      <c r="B2586" s="413"/>
      <c r="C2586" s="414"/>
      <c r="D2586" s="414"/>
      <c r="E2586" s="50"/>
      <c r="F2586" s="403">
        <v>7259</v>
      </c>
      <c r="G2586" s="406">
        <v>12324</v>
      </c>
      <c r="H2586" s="50"/>
      <c r="I2586" s="50"/>
      <c r="J2586" s="306"/>
    </row>
    <row r="2587" spans="2:10">
      <c r="B2587" s="413"/>
      <c r="C2587" s="414"/>
      <c r="D2587" s="414"/>
      <c r="E2587" s="50"/>
      <c r="F2587" s="403">
        <v>7260</v>
      </c>
      <c r="G2587" s="406">
        <v>16954</v>
      </c>
      <c r="H2587" s="50"/>
      <c r="I2587" s="50"/>
      <c r="J2587" s="306"/>
    </row>
    <row r="2588" spans="2:10">
      <c r="B2588" s="413"/>
      <c r="C2588" s="414"/>
      <c r="D2588" s="414"/>
      <c r="E2588" s="50"/>
      <c r="F2588" s="403">
        <v>7261</v>
      </c>
      <c r="G2588" s="406">
        <v>17428</v>
      </c>
      <c r="H2588" s="50"/>
      <c r="I2588" s="50"/>
      <c r="J2588" s="306"/>
    </row>
    <row r="2589" spans="2:10">
      <c r="B2589" s="413"/>
      <c r="C2589" s="414"/>
      <c r="D2589" s="414"/>
      <c r="E2589" s="50"/>
      <c r="F2589" s="403">
        <v>7262</v>
      </c>
      <c r="G2589" s="406">
        <v>16954</v>
      </c>
      <c r="H2589" s="50"/>
      <c r="I2589" s="50"/>
      <c r="J2589" s="306"/>
    </row>
    <row r="2590" spans="2:10">
      <c r="B2590" s="413"/>
      <c r="C2590" s="414"/>
      <c r="D2590" s="414"/>
      <c r="E2590" s="50"/>
      <c r="F2590" s="403">
        <v>7263</v>
      </c>
      <c r="G2590" s="406">
        <v>17982</v>
      </c>
      <c r="H2590" s="50"/>
      <c r="I2590" s="50"/>
      <c r="J2590" s="306"/>
    </row>
    <row r="2591" spans="2:10">
      <c r="B2591" s="413"/>
      <c r="C2591" s="414"/>
      <c r="D2591" s="414"/>
      <c r="E2591" s="50"/>
      <c r="F2591" s="403">
        <v>7264</v>
      </c>
      <c r="G2591" s="406">
        <v>18347</v>
      </c>
      <c r="H2591" s="50"/>
      <c r="I2591" s="50"/>
      <c r="J2591" s="306"/>
    </row>
    <row r="2592" spans="2:10">
      <c r="B2592" s="413"/>
      <c r="C2592" s="414"/>
      <c r="D2592" s="414"/>
      <c r="E2592" s="50"/>
      <c r="F2592" s="403">
        <v>7265</v>
      </c>
      <c r="G2592" s="406">
        <v>17428</v>
      </c>
      <c r="H2592" s="50"/>
      <c r="I2592" s="50"/>
      <c r="J2592" s="306"/>
    </row>
    <row r="2593" spans="2:10">
      <c r="B2593" s="413"/>
      <c r="C2593" s="414"/>
      <c r="D2593" s="414"/>
      <c r="E2593" s="50"/>
      <c r="F2593" s="403">
        <v>7267</v>
      </c>
      <c r="G2593" s="406">
        <v>12329</v>
      </c>
      <c r="H2593" s="50"/>
      <c r="I2593" s="50"/>
      <c r="J2593" s="306"/>
    </row>
    <row r="2594" spans="2:10">
      <c r="B2594" s="413"/>
      <c r="C2594" s="414"/>
      <c r="D2594" s="414"/>
      <c r="E2594" s="50"/>
      <c r="F2594" s="403">
        <v>7268</v>
      </c>
      <c r="G2594" s="406">
        <v>12378</v>
      </c>
      <c r="H2594" s="50"/>
      <c r="I2594" s="50"/>
      <c r="J2594" s="306"/>
    </row>
    <row r="2595" spans="2:10">
      <c r="B2595" s="413"/>
      <c r="C2595" s="414"/>
      <c r="D2595" s="414"/>
      <c r="E2595" s="50"/>
      <c r="F2595" s="403">
        <v>7270</v>
      </c>
      <c r="G2595" s="406">
        <v>13659</v>
      </c>
      <c r="H2595" s="50"/>
      <c r="I2595" s="50"/>
      <c r="J2595" s="306"/>
    </row>
    <row r="2596" spans="2:10">
      <c r="B2596" s="413"/>
      <c r="C2596" s="414"/>
      <c r="D2596" s="414"/>
      <c r="E2596" s="50"/>
      <c r="F2596" s="403">
        <v>7275</v>
      </c>
      <c r="G2596" s="406">
        <v>12929</v>
      </c>
      <c r="H2596" s="50"/>
      <c r="I2596" s="50"/>
      <c r="J2596" s="306"/>
    </row>
    <row r="2597" spans="2:10">
      <c r="B2597" s="413"/>
      <c r="C2597" s="414"/>
      <c r="D2597" s="414"/>
      <c r="E2597" s="50"/>
      <c r="F2597" s="403">
        <v>7276</v>
      </c>
      <c r="G2597" s="406">
        <v>13107</v>
      </c>
      <c r="H2597" s="50"/>
      <c r="I2597" s="50"/>
      <c r="J2597" s="306"/>
    </row>
    <row r="2598" spans="2:10">
      <c r="B2598" s="413"/>
      <c r="C2598" s="414"/>
      <c r="D2598" s="414"/>
      <c r="E2598" s="50"/>
      <c r="F2598" s="403">
        <v>7277</v>
      </c>
      <c r="G2598" s="406">
        <v>12314</v>
      </c>
      <c r="H2598" s="50"/>
      <c r="I2598" s="50"/>
      <c r="J2598" s="306"/>
    </row>
    <row r="2599" spans="2:10">
      <c r="B2599" s="413"/>
      <c r="C2599" s="414"/>
      <c r="D2599" s="414"/>
      <c r="E2599" s="50"/>
      <c r="F2599" s="403">
        <v>7290</v>
      </c>
      <c r="G2599" s="406">
        <v>12312</v>
      </c>
      <c r="H2599" s="50"/>
      <c r="I2599" s="50"/>
      <c r="J2599" s="306"/>
    </row>
    <row r="2600" spans="2:10">
      <c r="B2600" s="413"/>
      <c r="C2600" s="414"/>
      <c r="D2600" s="414"/>
      <c r="E2600" s="50"/>
      <c r="F2600" s="403">
        <v>7291</v>
      </c>
      <c r="G2600" s="406">
        <v>12312</v>
      </c>
      <c r="H2600" s="50"/>
      <c r="I2600" s="50"/>
      <c r="J2600" s="306"/>
    </row>
    <row r="2601" spans="2:10">
      <c r="B2601" s="413"/>
      <c r="C2601" s="414"/>
      <c r="D2601" s="414"/>
      <c r="E2601" s="50"/>
      <c r="F2601" s="403">
        <v>7292</v>
      </c>
      <c r="G2601" s="406">
        <v>12314</v>
      </c>
      <c r="H2601" s="50"/>
      <c r="I2601" s="50"/>
      <c r="J2601" s="306"/>
    </row>
    <row r="2602" spans="2:10">
      <c r="B2602" s="413"/>
      <c r="C2602" s="414"/>
      <c r="D2602" s="414"/>
      <c r="E2602" s="50"/>
      <c r="F2602" s="403">
        <v>7300</v>
      </c>
      <c r="G2602" s="406">
        <v>12309</v>
      </c>
      <c r="H2602" s="50"/>
      <c r="I2602" s="50"/>
      <c r="J2602" s="306"/>
    </row>
    <row r="2603" spans="2:10">
      <c r="B2603" s="413"/>
      <c r="C2603" s="414"/>
      <c r="D2603" s="414"/>
      <c r="E2603" s="50"/>
      <c r="F2603" s="403">
        <v>7301</v>
      </c>
      <c r="G2603" s="406">
        <v>12311</v>
      </c>
      <c r="H2603" s="50"/>
      <c r="I2603" s="50"/>
      <c r="J2603" s="306"/>
    </row>
    <row r="2604" spans="2:10">
      <c r="B2604" s="413"/>
      <c r="C2604" s="414"/>
      <c r="D2604" s="414"/>
      <c r="E2604" s="50"/>
      <c r="F2604" s="403">
        <v>7302</v>
      </c>
      <c r="G2604" s="406">
        <v>12528</v>
      </c>
      <c r="H2604" s="50"/>
      <c r="I2604" s="50"/>
      <c r="J2604" s="306"/>
    </row>
    <row r="2605" spans="2:10">
      <c r="B2605" s="413"/>
      <c r="C2605" s="414"/>
      <c r="D2605" s="414"/>
      <c r="E2605" s="50"/>
      <c r="F2605" s="403">
        <v>7303</v>
      </c>
      <c r="G2605" s="406">
        <v>12319</v>
      </c>
      <c r="H2605" s="50"/>
      <c r="I2605" s="50"/>
      <c r="J2605" s="306"/>
    </row>
    <row r="2606" spans="2:10">
      <c r="B2606" s="413"/>
      <c r="C2606" s="414"/>
      <c r="D2606" s="414"/>
      <c r="E2606" s="50"/>
      <c r="F2606" s="403">
        <v>7304</v>
      </c>
      <c r="G2606" s="406">
        <v>13088</v>
      </c>
      <c r="H2606" s="50"/>
      <c r="I2606" s="50"/>
      <c r="J2606" s="306"/>
    </row>
    <row r="2607" spans="2:10">
      <c r="B2607" s="413"/>
      <c r="C2607" s="414"/>
      <c r="D2607" s="414"/>
      <c r="E2607" s="50"/>
      <c r="F2607" s="403">
        <v>7305</v>
      </c>
      <c r="G2607" s="406">
        <v>13569</v>
      </c>
      <c r="H2607" s="50"/>
      <c r="I2607" s="50"/>
      <c r="J2607" s="306"/>
    </row>
    <row r="2608" spans="2:10">
      <c r="B2608" s="413"/>
      <c r="C2608" s="414"/>
      <c r="D2608" s="414"/>
      <c r="E2608" s="50"/>
      <c r="F2608" s="403">
        <v>7306</v>
      </c>
      <c r="G2608" s="406">
        <v>13505</v>
      </c>
      <c r="H2608" s="50"/>
      <c r="I2608" s="50"/>
      <c r="J2608" s="306"/>
    </row>
    <row r="2609" spans="2:10">
      <c r="B2609" s="413"/>
      <c r="C2609" s="414"/>
      <c r="D2609" s="414"/>
      <c r="E2609" s="50"/>
      <c r="F2609" s="403">
        <v>7307</v>
      </c>
      <c r="G2609" s="406">
        <v>13614</v>
      </c>
      <c r="H2609" s="50"/>
      <c r="I2609" s="50"/>
      <c r="J2609" s="306"/>
    </row>
    <row r="2610" spans="2:10">
      <c r="B2610" s="413"/>
      <c r="C2610" s="414"/>
      <c r="D2610" s="414"/>
      <c r="E2610" s="50"/>
      <c r="F2610" s="403">
        <v>7310</v>
      </c>
      <c r="G2610" s="406">
        <v>13568</v>
      </c>
      <c r="H2610" s="50"/>
      <c r="I2610" s="50"/>
      <c r="J2610" s="306"/>
    </row>
    <row r="2611" spans="2:10">
      <c r="B2611" s="413"/>
      <c r="C2611" s="414"/>
      <c r="D2611" s="414"/>
      <c r="E2611" s="50"/>
      <c r="F2611" s="403">
        <v>7315</v>
      </c>
      <c r="G2611" s="406">
        <v>13512</v>
      </c>
      <c r="H2611" s="50"/>
      <c r="I2611" s="50"/>
      <c r="J2611" s="306"/>
    </row>
    <row r="2612" spans="2:10">
      <c r="B2612" s="413"/>
      <c r="C2612" s="414"/>
      <c r="D2612" s="414"/>
      <c r="E2612" s="50"/>
      <c r="F2612" s="403">
        <v>7316</v>
      </c>
      <c r="G2612" s="406">
        <v>13488</v>
      </c>
      <c r="H2612" s="50"/>
      <c r="I2612" s="50"/>
      <c r="J2612" s="306"/>
    </row>
    <row r="2613" spans="2:10">
      <c r="B2613" s="413"/>
      <c r="C2613" s="414"/>
      <c r="D2613" s="414"/>
      <c r="E2613" s="50"/>
      <c r="F2613" s="403">
        <v>7320</v>
      </c>
      <c r="G2613" s="406">
        <v>13488</v>
      </c>
      <c r="H2613" s="50"/>
      <c r="I2613" s="50"/>
      <c r="J2613" s="306"/>
    </row>
    <row r="2614" spans="2:10">
      <c r="B2614" s="413"/>
      <c r="C2614" s="414"/>
      <c r="D2614" s="414"/>
      <c r="E2614" s="50"/>
      <c r="F2614" s="403">
        <v>7321</v>
      </c>
      <c r="G2614" s="406">
        <v>13432</v>
      </c>
      <c r="H2614" s="50"/>
      <c r="I2614" s="50"/>
      <c r="J2614" s="306"/>
    </row>
    <row r="2615" spans="2:10">
      <c r="B2615" s="413"/>
      <c r="C2615" s="414"/>
      <c r="D2615" s="414"/>
      <c r="E2615" s="50"/>
      <c r="F2615" s="403">
        <v>7322</v>
      </c>
      <c r="G2615" s="406">
        <v>13432</v>
      </c>
      <c r="H2615" s="50"/>
      <c r="I2615" s="50"/>
      <c r="J2615" s="306"/>
    </row>
    <row r="2616" spans="2:10">
      <c r="B2616" s="413"/>
      <c r="C2616" s="414"/>
      <c r="D2616" s="414"/>
      <c r="E2616" s="50"/>
      <c r="F2616" s="403">
        <v>7325</v>
      </c>
      <c r="G2616" s="406">
        <v>13432</v>
      </c>
      <c r="H2616" s="50"/>
      <c r="I2616" s="50"/>
      <c r="J2616" s="306"/>
    </row>
    <row r="2617" spans="2:10">
      <c r="B2617" s="413"/>
      <c r="C2617" s="414"/>
      <c r="D2617" s="414"/>
      <c r="E2617" s="50"/>
      <c r="F2617" s="403">
        <v>7330</v>
      </c>
      <c r="G2617" s="406">
        <v>13397</v>
      </c>
      <c r="H2617" s="50"/>
      <c r="I2617" s="50"/>
      <c r="J2617" s="306"/>
    </row>
    <row r="2618" spans="2:10">
      <c r="B2618" s="413"/>
      <c r="C2618" s="414"/>
      <c r="D2618" s="414"/>
      <c r="E2618" s="50"/>
      <c r="F2618" s="403">
        <v>7331</v>
      </c>
      <c r="G2618" s="406">
        <v>13397</v>
      </c>
      <c r="H2618" s="50"/>
      <c r="I2618" s="50"/>
      <c r="J2618" s="306"/>
    </row>
    <row r="2619" spans="2:10">
      <c r="B2619" s="413"/>
      <c r="C2619" s="414"/>
      <c r="D2619" s="414"/>
      <c r="E2619" s="50"/>
      <c r="F2619" s="403">
        <v>7466</v>
      </c>
      <c r="G2619" s="406">
        <v>14896</v>
      </c>
      <c r="H2619" s="50"/>
      <c r="I2619" s="50"/>
      <c r="J2619" s="306"/>
    </row>
    <row r="2620" spans="2:10">
      <c r="B2620" s="413"/>
      <c r="C2620" s="414"/>
      <c r="D2620" s="414"/>
      <c r="E2620" s="50"/>
      <c r="F2620" s="403">
        <v>7467</v>
      </c>
      <c r="G2620" s="406">
        <v>14896</v>
      </c>
      <c r="H2620" s="50"/>
      <c r="I2620" s="50"/>
      <c r="J2620" s="306"/>
    </row>
    <row r="2621" spans="2:10">
      <c r="B2621" s="413"/>
      <c r="C2621" s="414"/>
      <c r="D2621" s="414"/>
      <c r="E2621" s="50"/>
      <c r="F2621" s="403">
        <v>7468</v>
      </c>
      <c r="G2621" s="406">
        <v>14896</v>
      </c>
      <c r="H2621" s="50"/>
      <c r="I2621" s="50"/>
      <c r="J2621" s="306"/>
    </row>
    <row r="2622" spans="2:10">
      <c r="B2622" s="413"/>
      <c r="C2622" s="414"/>
      <c r="D2622" s="414"/>
      <c r="E2622" s="50"/>
      <c r="F2622" s="403">
        <v>7469</v>
      </c>
      <c r="G2622" s="406">
        <v>15060</v>
      </c>
      <c r="H2622" s="50"/>
      <c r="I2622" s="50"/>
      <c r="J2622" s="306"/>
    </row>
    <row r="2623" spans="2:10">
      <c r="B2623" s="413"/>
      <c r="C2623" s="414"/>
      <c r="D2623" s="414"/>
      <c r="E2623" s="50"/>
      <c r="F2623" s="403">
        <v>7470</v>
      </c>
      <c r="G2623" s="406">
        <v>14896</v>
      </c>
      <c r="H2623" s="50"/>
      <c r="I2623" s="50"/>
      <c r="J2623" s="306"/>
    </row>
    <row r="2624" spans="2:10">
      <c r="B2624" s="413"/>
      <c r="C2624" s="414"/>
      <c r="D2624" s="414"/>
      <c r="E2624" s="50"/>
      <c r="F2624" s="403" t="s">
        <v>2825</v>
      </c>
      <c r="G2624" s="406">
        <v>15750</v>
      </c>
      <c r="H2624" s="50"/>
      <c r="I2624" s="50"/>
      <c r="J2624" s="306"/>
    </row>
    <row r="2625" spans="2:10">
      <c r="B2625" s="413"/>
      <c r="C2625" s="414"/>
      <c r="D2625" s="414"/>
      <c r="E2625" s="50"/>
      <c r="F2625" s="403">
        <v>801</v>
      </c>
      <c r="G2625" s="406">
        <v>12922</v>
      </c>
      <c r="H2625" s="50"/>
      <c r="I2625" s="50"/>
      <c r="J2625" s="306"/>
    </row>
    <row r="2626" spans="2:10">
      <c r="B2626" s="413"/>
      <c r="C2626" s="414"/>
      <c r="D2626" s="414"/>
      <c r="E2626" s="50"/>
      <c r="F2626" s="403">
        <v>804</v>
      </c>
      <c r="G2626" s="406">
        <v>12922</v>
      </c>
      <c r="H2626" s="50"/>
      <c r="I2626" s="50"/>
      <c r="J2626" s="306"/>
    </row>
    <row r="2627" spans="2:10">
      <c r="B2627" s="413"/>
      <c r="C2627" s="414"/>
      <c r="D2627" s="414"/>
      <c r="E2627" s="50"/>
      <c r="F2627" s="403">
        <v>811</v>
      </c>
      <c r="G2627" s="406">
        <v>12922</v>
      </c>
      <c r="H2627" s="50"/>
      <c r="I2627" s="50"/>
      <c r="J2627" s="306"/>
    </row>
    <row r="2628" spans="2:10">
      <c r="B2628" s="413"/>
      <c r="C2628" s="414"/>
      <c r="D2628" s="414"/>
      <c r="E2628" s="50"/>
      <c r="F2628" s="403">
        <v>813</v>
      </c>
      <c r="G2628" s="406">
        <v>12922</v>
      </c>
      <c r="H2628" s="50"/>
      <c r="I2628" s="50"/>
      <c r="J2628" s="306"/>
    </row>
    <row r="2629" spans="2:10">
      <c r="B2629" s="413"/>
      <c r="C2629" s="414"/>
      <c r="D2629" s="414"/>
      <c r="E2629" s="50"/>
      <c r="F2629" s="403">
        <v>814</v>
      </c>
      <c r="G2629" s="406">
        <v>12922</v>
      </c>
      <c r="H2629" s="50"/>
      <c r="I2629" s="50"/>
      <c r="J2629" s="306"/>
    </row>
    <row r="2630" spans="2:10">
      <c r="B2630" s="413"/>
      <c r="C2630" s="414"/>
      <c r="D2630" s="414"/>
      <c r="E2630" s="50"/>
      <c r="F2630" s="403">
        <v>815</v>
      </c>
      <c r="G2630" s="406">
        <v>12922</v>
      </c>
      <c r="H2630" s="50"/>
      <c r="I2630" s="50"/>
      <c r="J2630" s="306"/>
    </row>
    <row r="2631" spans="2:10">
      <c r="B2631" s="413"/>
      <c r="C2631" s="414"/>
      <c r="D2631" s="414"/>
      <c r="E2631" s="50"/>
      <c r="F2631" s="403">
        <v>821</v>
      </c>
      <c r="G2631" s="406">
        <v>13922</v>
      </c>
      <c r="H2631" s="50"/>
      <c r="I2631" s="50"/>
      <c r="J2631" s="306"/>
    </row>
    <row r="2632" spans="2:10">
      <c r="B2632" s="413"/>
      <c r="C2632" s="414"/>
      <c r="D2632" s="414"/>
      <c r="E2632" s="50"/>
      <c r="F2632" s="403">
        <v>831</v>
      </c>
      <c r="G2632" s="406">
        <v>13015</v>
      </c>
      <c r="H2632" s="50"/>
      <c r="I2632" s="50"/>
      <c r="J2632" s="306"/>
    </row>
    <row r="2633" spans="2:10">
      <c r="B2633" s="413"/>
      <c r="C2633" s="414"/>
      <c r="D2633" s="414"/>
      <c r="E2633" s="50"/>
      <c r="F2633" s="403">
        <v>851</v>
      </c>
      <c r="G2633" s="406">
        <v>15040</v>
      </c>
      <c r="H2633" s="50"/>
      <c r="I2633" s="50"/>
      <c r="J2633" s="306"/>
    </row>
    <row r="2634" spans="2:10">
      <c r="B2634" s="413"/>
      <c r="C2634" s="414"/>
      <c r="D2634" s="414"/>
      <c r="E2634" s="50"/>
      <c r="F2634" s="403">
        <v>861</v>
      </c>
      <c r="G2634" s="406">
        <v>16309</v>
      </c>
      <c r="H2634" s="50"/>
      <c r="I2634" s="50"/>
      <c r="J2634" s="306"/>
    </row>
    <row r="2635" spans="2:10">
      <c r="B2635" s="413"/>
      <c r="C2635" s="414"/>
      <c r="D2635" s="414"/>
      <c r="E2635" s="50"/>
      <c r="F2635" s="403">
        <v>871</v>
      </c>
      <c r="G2635" s="406">
        <v>17786</v>
      </c>
      <c r="H2635" s="50"/>
      <c r="I2635" s="50"/>
      <c r="J2635" s="306"/>
    </row>
    <row r="2636" spans="2:10">
      <c r="B2636" s="413"/>
      <c r="C2636" s="414"/>
      <c r="D2636" s="414"/>
      <c r="E2636" s="50"/>
      <c r="F2636" s="403">
        <v>881</v>
      </c>
      <c r="G2636" s="406">
        <v>15064</v>
      </c>
      <c r="H2636" s="50"/>
      <c r="I2636" s="50"/>
      <c r="J2636" s="306"/>
    </row>
    <row r="2637" spans="2:10">
      <c r="B2637" s="413"/>
      <c r="C2637" s="414"/>
      <c r="D2637" s="414"/>
      <c r="E2637" s="50"/>
      <c r="F2637" s="403">
        <v>906</v>
      </c>
      <c r="G2637" s="406">
        <v>14033</v>
      </c>
      <c r="H2637" s="50"/>
      <c r="I2637" s="50"/>
      <c r="J2637" s="306"/>
    </row>
    <row r="2638" spans="2:10">
      <c r="B2638" s="413"/>
      <c r="C2638" s="414"/>
      <c r="D2638" s="414"/>
      <c r="E2638" s="50"/>
      <c r="F2638" s="403">
        <v>907</v>
      </c>
      <c r="G2638" s="406">
        <v>14033</v>
      </c>
      <c r="H2638" s="50"/>
      <c r="I2638" s="50"/>
      <c r="J2638" s="306"/>
    </row>
    <row r="2639" spans="2:10">
      <c r="B2639" s="413"/>
      <c r="C2639" s="414"/>
      <c r="D2639" s="414"/>
      <c r="E2639" s="50"/>
      <c r="F2639" s="403">
        <v>908</v>
      </c>
      <c r="G2639" s="406">
        <v>15750</v>
      </c>
      <c r="H2639" s="50"/>
      <c r="I2639" s="50"/>
      <c r="J2639" s="306"/>
    </row>
    <row r="2640" spans="2:10">
      <c r="B2640" s="413"/>
      <c r="C2640" s="414"/>
      <c r="D2640" s="414"/>
      <c r="E2640" s="50"/>
      <c r="F2640" s="403">
        <v>909</v>
      </c>
      <c r="G2640" s="406">
        <v>15750</v>
      </c>
      <c r="H2640" s="50"/>
      <c r="I2640" s="50"/>
      <c r="J2640" s="306"/>
    </row>
    <row r="2641" spans="2:10">
      <c r="B2641" s="413"/>
      <c r="C2641" s="414"/>
      <c r="D2641" s="414"/>
      <c r="E2641" s="50"/>
      <c r="F2641" s="403">
        <v>1044</v>
      </c>
      <c r="G2641" s="406">
        <v>15750</v>
      </c>
      <c r="H2641" s="50"/>
      <c r="I2641" s="50"/>
      <c r="J2641" s="306"/>
    </row>
    <row r="2642" spans="2:10">
      <c r="B2642" s="413"/>
      <c r="C2642" s="414"/>
      <c r="D2642" s="414"/>
      <c r="E2642" s="50"/>
      <c r="F2642" s="403">
        <v>1215</v>
      </c>
      <c r="G2642" s="406">
        <v>15750</v>
      </c>
      <c r="H2642" s="50"/>
      <c r="I2642" s="50"/>
      <c r="J2642" s="306"/>
    </row>
    <row r="2643" spans="2:10">
      <c r="B2643" s="413"/>
      <c r="C2643" s="414"/>
      <c r="D2643" s="414"/>
      <c r="E2643" s="50"/>
      <c r="F2643" s="403">
        <v>1220</v>
      </c>
      <c r="G2643" s="406">
        <v>15750</v>
      </c>
      <c r="H2643" s="50"/>
      <c r="I2643" s="50"/>
      <c r="J2643" s="306"/>
    </row>
    <row r="2644" spans="2:10">
      <c r="B2644" s="413"/>
      <c r="C2644" s="414"/>
      <c r="D2644" s="414"/>
      <c r="E2644" s="50"/>
      <c r="F2644" s="403">
        <v>1225</v>
      </c>
      <c r="G2644" s="406">
        <v>15750</v>
      </c>
      <c r="H2644" s="50"/>
      <c r="I2644" s="50"/>
      <c r="J2644" s="306"/>
    </row>
    <row r="2645" spans="2:10">
      <c r="B2645" s="413"/>
      <c r="C2645" s="414"/>
      <c r="D2645" s="414"/>
      <c r="E2645" s="50"/>
      <c r="F2645" s="403">
        <v>1230</v>
      </c>
      <c r="G2645" s="406">
        <v>15750</v>
      </c>
      <c r="H2645" s="50"/>
      <c r="I2645" s="50"/>
      <c r="J2645" s="306"/>
    </row>
    <row r="2646" spans="2:10">
      <c r="B2646" s="413"/>
      <c r="C2646" s="414"/>
      <c r="D2646" s="414"/>
      <c r="E2646" s="50"/>
      <c r="F2646" s="403">
        <v>1234</v>
      </c>
      <c r="G2646" s="406">
        <v>15750</v>
      </c>
      <c r="H2646" s="50"/>
      <c r="I2646" s="50"/>
      <c r="J2646" s="306"/>
    </row>
    <row r="2647" spans="2:10">
      <c r="B2647" s="413"/>
      <c r="C2647" s="414"/>
      <c r="D2647" s="414"/>
      <c r="E2647" s="50"/>
      <c r="F2647" s="403">
        <v>1235</v>
      </c>
      <c r="G2647" s="406">
        <v>15750</v>
      </c>
      <c r="H2647" s="50"/>
      <c r="I2647" s="50"/>
      <c r="J2647" s="306"/>
    </row>
    <row r="2648" spans="2:10">
      <c r="B2648" s="413"/>
      <c r="C2648" s="414"/>
      <c r="D2648" s="414"/>
      <c r="E2648" s="50"/>
      <c r="F2648" s="403">
        <v>1240</v>
      </c>
      <c r="G2648" s="406">
        <v>15750</v>
      </c>
      <c r="H2648" s="50"/>
      <c r="I2648" s="50"/>
      <c r="J2648" s="306"/>
    </row>
    <row r="2649" spans="2:10">
      <c r="B2649" s="413"/>
      <c r="C2649" s="414"/>
      <c r="D2649" s="414"/>
      <c r="E2649" s="50"/>
      <c r="F2649" s="403">
        <v>1291</v>
      </c>
      <c r="G2649" s="406">
        <v>15750</v>
      </c>
      <c r="H2649" s="50"/>
      <c r="I2649" s="50"/>
      <c r="J2649" s="306"/>
    </row>
    <row r="2650" spans="2:10">
      <c r="B2650" s="413"/>
      <c r="C2650" s="414"/>
      <c r="D2650" s="414"/>
      <c r="E2650" s="50"/>
      <c r="F2650" s="403">
        <v>1292</v>
      </c>
      <c r="G2650" s="406">
        <v>15750</v>
      </c>
      <c r="H2650" s="50"/>
      <c r="I2650" s="50"/>
      <c r="J2650" s="306"/>
    </row>
    <row r="2651" spans="2:10">
      <c r="B2651" s="413"/>
      <c r="C2651" s="414"/>
      <c r="D2651" s="414"/>
      <c r="E2651" s="50"/>
      <c r="F2651" s="403">
        <v>1295</v>
      </c>
      <c r="G2651" s="406">
        <v>15750</v>
      </c>
      <c r="H2651" s="50"/>
      <c r="I2651" s="50"/>
      <c r="J2651" s="306"/>
    </row>
    <row r="2652" spans="2:10">
      <c r="B2652" s="413"/>
      <c r="C2652" s="414"/>
      <c r="D2652" s="414"/>
      <c r="E2652" s="50"/>
      <c r="F2652" s="403">
        <v>1297</v>
      </c>
      <c r="G2652" s="406">
        <v>15750</v>
      </c>
      <c r="H2652" s="50"/>
      <c r="I2652" s="50"/>
      <c r="J2652" s="306"/>
    </row>
    <row r="2653" spans="2:10">
      <c r="B2653" s="413"/>
      <c r="C2653" s="414"/>
      <c r="D2653" s="414"/>
      <c r="E2653" s="50"/>
      <c r="F2653" s="403">
        <v>1298</v>
      </c>
      <c r="G2653" s="406">
        <v>15750</v>
      </c>
      <c r="H2653" s="50"/>
      <c r="I2653" s="50"/>
      <c r="J2653" s="306"/>
    </row>
    <row r="2654" spans="2:10">
      <c r="B2654" s="413"/>
      <c r="C2654" s="414"/>
      <c r="D2654" s="414"/>
      <c r="E2654" s="50"/>
      <c r="F2654" s="403">
        <v>1300</v>
      </c>
      <c r="G2654" s="406">
        <v>15750</v>
      </c>
      <c r="H2654" s="50"/>
      <c r="I2654" s="50"/>
      <c r="J2654" s="306"/>
    </row>
    <row r="2655" spans="2:10">
      <c r="B2655" s="413"/>
      <c r="C2655" s="414"/>
      <c r="D2655" s="414"/>
      <c r="E2655" s="50"/>
      <c r="F2655" s="403">
        <v>1335</v>
      </c>
      <c r="G2655" s="406">
        <v>15750</v>
      </c>
      <c r="H2655" s="50"/>
      <c r="I2655" s="50"/>
      <c r="J2655" s="306"/>
    </row>
    <row r="2656" spans="2:10">
      <c r="B2656" s="413"/>
      <c r="C2656" s="414"/>
      <c r="D2656" s="414"/>
      <c r="E2656" s="50"/>
      <c r="F2656" s="403">
        <v>1340</v>
      </c>
      <c r="G2656" s="406">
        <v>15750</v>
      </c>
      <c r="H2656" s="50"/>
      <c r="I2656" s="50"/>
      <c r="J2656" s="306"/>
    </row>
    <row r="2657" spans="2:10">
      <c r="B2657" s="413"/>
      <c r="C2657" s="414"/>
      <c r="D2657" s="414"/>
      <c r="E2657" s="50"/>
      <c r="F2657" s="403">
        <v>1350</v>
      </c>
      <c r="G2657" s="406">
        <v>15750</v>
      </c>
      <c r="H2657" s="50"/>
      <c r="I2657" s="50"/>
      <c r="J2657" s="306"/>
    </row>
    <row r="2658" spans="2:10">
      <c r="B2658" s="413"/>
      <c r="C2658" s="414"/>
      <c r="D2658" s="414"/>
      <c r="E2658" s="50"/>
      <c r="F2658" s="403">
        <v>1355</v>
      </c>
      <c r="G2658" s="406">
        <v>15750</v>
      </c>
      <c r="H2658" s="50"/>
      <c r="I2658" s="50"/>
      <c r="J2658" s="306"/>
    </row>
    <row r="2659" spans="2:10">
      <c r="B2659" s="413"/>
      <c r="C2659" s="414"/>
      <c r="D2659" s="414"/>
      <c r="E2659" s="50"/>
      <c r="F2659" s="403">
        <v>1360</v>
      </c>
      <c r="G2659" s="406">
        <v>15750</v>
      </c>
      <c r="H2659" s="50"/>
      <c r="I2659" s="50"/>
      <c r="J2659" s="306"/>
    </row>
    <row r="2660" spans="2:10">
      <c r="B2660" s="413"/>
      <c r="C2660" s="414"/>
      <c r="D2660" s="414"/>
      <c r="E2660" s="50"/>
      <c r="F2660" s="403">
        <v>1405</v>
      </c>
      <c r="G2660" s="406">
        <v>15750</v>
      </c>
      <c r="H2660" s="50"/>
      <c r="I2660" s="50"/>
      <c r="J2660" s="306"/>
    </row>
    <row r="2661" spans="2:10">
      <c r="B2661" s="413"/>
      <c r="C2661" s="414"/>
      <c r="D2661" s="414"/>
      <c r="E2661" s="50"/>
      <c r="F2661" s="403">
        <v>1435</v>
      </c>
      <c r="G2661" s="406">
        <v>15750</v>
      </c>
      <c r="H2661" s="50"/>
      <c r="I2661" s="50"/>
      <c r="J2661" s="306"/>
    </row>
    <row r="2662" spans="2:10">
      <c r="B2662" s="413"/>
      <c r="C2662" s="414"/>
      <c r="D2662" s="414"/>
      <c r="E2662" s="50"/>
      <c r="F2662" s="403">
        <v>1440</v>
      </c>
      <c r="G2662" s="406">
        <v>15750</v>
      </c>
      <c r="H2662" s="50"/>
      <c r="I2662" s="50"/>
      <c r="J2662" s="306"/>
    </row>
    <row r="2663" spans="2:10">
      <c r="B2663" s="413"/>
      <c r="C2663" s="414"/>
      <c r="D2663" s="414"/>
      <c r="E2663" s="50"/>
      <c r="F2663" s="403">
        <v>1445</v>
      </c>
      <c r="G2663" s="406">
        <v>15750</v>
      </c>
      <c r="H2663" s="50"/>
      <c r="I2663" s="50"/>
      <c r="J2663" s="306"/>
    </row>
    <row r="2664" spans="2:10">
      <c r="B2664" s="413"/>
      <c r="C2664" s="414"/>
      <c r="D2664" s="414"/>
      <c r="E2664" s="50"/>
      <c r="F2664" s="403">
        <v>1450</v>
      </c>
      <c r="G2664" s="406">
        <v>15750</v>
      </c>
      <c r="H2664" s="50"/>
      <c r="I2664" s="50"/>
      <c r="J2664" s="306"/>
    </row>
    <row r="2665" spans="2:10">
      <c r="B2665" s="413"/>
      <c r="C2665" s="414"/>
      <c r="D2665" s="414"/>
      <c r="E2665" s="50"/>
      <c r="F2665" s="403">
        <v>1455</v>
      </c>
      <c r="G2665" s="406">
        <v>15750</v>
      </c>
      <c r="H2665" s="50"/>
      <c r="I2665" s="50"/>
      <c r="J2665" s="306"/>
    </row>
    <row r="2666" spans="2:10">
      <c r="B2666" s="413"/>
      <c r="C2666" s="414"/>
      <c r="D2666" s="414"/>
      <c r="E2666" s="50"/>
      <c r="F2666" s="403">
        <v>1460</v>
      </c>
      <c r="G2666" s="406">
        <v>15750</v>
      </c>
      <c r="H2666" s="50"/>
      <c r="I2666" s="50"/>
      <c r="J2666" s="306"/>
    </row>
    <row r="2667" spans="2:10">
      <c r="B2667" s="413"/>
      <c r="C2667" s="414"/>
      <c r="D2667" s="414"/>
      <c r="E2667" s="50"/>
      <c r="F2667" s="403">
        <v>1465</v>
      </c>
      <c r="G2667" s="406">
        <v>15750</v>
      </c>
      <c r="H2667" s="50"/>
      <c r="I2667" s="50"/>
      <c r="J2667" s="306"/>
    </row>
    <row r="2668" spans="2:10">
      <c r="B2668" s="413"/>
      <c r="C2668" s="414"/>
      <c r="D2668" s="414"/>
      <c r="E2668" s="50"/>
      <c r="F2668" s="403">
        <v>1466</v>
      </c>
      <c r="G2668" s="406">
        <v>15750</v>
      </c>
      <c r="H2668" s="50"/>
      <c r="I2668" s="50"/>
      <c r="J2668" s="306"/>
    </row>
    <row r="2669" spans="2:10">
      <c r="B2669" s="413"/>
      <c r="C2669" s="414"/>
      <c r="D2669" s="414"/>
      <c r="E2669" s="50"/>
      <c r="F2669" s="403">
        <v>1470</v>
      </c>
      <c r="G2669" s="406">
        <v>15750</v>
      </c>
      <c r="H2669" s="50"/>
      <c r="I2669" s="50"/>
      <c r="J2669" s="306"/>
    </row>
    <row r="2670" spans="2:10">
      <c r="B2670" s="413"/>
      <c r="C2670" s="414"/>
      <c r="D2670" s="414"/>
      <c r="E2670" s="50"/>
      <c r="F2670" s="403">
        <v>1475</v>
      </c>
      <c r="G2670" s="406">
        <v>15750</v>
      </c>
      <c r="H2670" s="50"/>
      <c r="I2670" s="50"/>
      <c r="J2670" s="306"/>
    </row>
    <row r="2671" spans="2:10">
      <c r="B2671" s="413"/>
      <c r="C2671" s="414"/>
      <c r="D2671" s="414"/>
      <c r="E2671" s="50"/>
      <c r="F2671" s="403">
        <v>1480</v>
      </c>
      <c r="G2671" s="406">
        <v>15750</v>
      </c>
      <c r="H2671" s="50"/>
      <c r="I2671" s="50"/>
      <c r="J2671" s="306"/>
    </row>
    <row r="2672" spans="2:10">
      <c r="B2672" s="413"/>
      <c r="C2672" s="414"/>
      <c r="D2672" s="414"/>
      <c r="E2672" s="50"/>
      <c r="F2672" s="403">
        <v>1481</v>
      </c>
      <c r="G2672" s="406">
        <v>15750</v>
      </c>
      <c r="H2672" s="50"/>
      <c r="I2672" s="50"/>
      <c r="J2672" s="306"/>
    </row>
    <row r="2673" spans="2:10">
      <c r="B2673" s="413"/>
      <c r="C2673" s="414"/>
      <c r="D2673" s="414"/>
      <c r="E2673" s="50"/>
      <c r="F2673" s="403">
        <v>1485</v>
      </c>
      <c r="G2673" s="406">
        <v>15750</v>
      </c>
      <c r="H2673" s="50"/>
      <c r="I2673" s="50"/>
      <c r="J2673" s="306"/>
    </row>
    <row r="2674" spans="2:10">
      <c r="B2674" s="413"/>
      <c r="C2674" s="414"/>
      <c r="D2674" s="414"/>
      <c r="E2674" s="50"/>
      <c r="F2674" s="403">
        <v>1490</v>
      </c>
      <c r="G2674" s="406">
        <v>15750</v>
      </c>
      <c r="H2674" s="50"/>
      <c r="I2674" s="50"/>
      <c r="J2674" s="306"/>
    </row>
    <row r="2675" spans="2:10">
      <c r="B2675" s="413"/>
      <c r="C2675" s="414"/>
      <c r="D2675" s="414"/>
      <c r="E2675" s="50"/>
      <c r="F2675" s="403">
        <v>1495</v>
      </c>
      <c r="G2675" s="406">
        <v>15750</v>
      </c>
      <c r="H2675" s="50"/>
      <c r="I2675" s="50"/>
      <c r="J2675" s="306"/>
    </row>
    <row r="2676" spans="2:10">
      <c r="B2676" s="413"/>
      <c r="C2676" s="414"/>
      <c r="D2676" s="414"/>
      <c r="E2676" s="50"/>
      <c r="F2676" s="403">
        <v>1499</v>
      </c>
      <c r="G2676" s="406">
        <v>15750</v>
      </c>
      <c r="H2676" s="50"/>
      <c r="I2676" s="50"/>
      <c r="J2676" s="306"/>
    </row>
    <row r="2677" spans="2:10">
      <c r="B2677" s="413"/>
      <c r="C2677" s="414"/>
      <c r="D2677" s="414"/>
      <c r="E2677" s="50"/>
      <c r="F2677" s="403">
        <v>1515</v>
      </c>
      <c r="G2677" s="406">
        <v>15750</v>
      </c>
      <c r="H2677" s="50"/>
      <c r="I2677" s="50"/>
      <c r="J2677" s="306"/>
    </row>
    <row r="2678" spans="2:10">
      <c r="B2678" s="413"/>
      <c r="C2678" s="414"/>
      <c r="D2678" s="414"/>
      <c r="E2678" s="50"/>
      <c r="F2678" s="403">
        <v>1560</v>
      </c>
      <c r="G2678" s="406">
        <v>15750</v>
      </c>
      <c r="H2678" s="50"/>
      <c r="I2678" s="50"/>
      <c r="J2678" s="306"/>
    </row>
    <row r="2679" spans="2:10">
      <c r="B2679" s="413"/>
      <c r="C2679" s="414"/>
      <c r="D2679" s="414"/>
      <c r="E2679" s="50"/>
      <c r="F2679" s="403">
        <v>1565</v>
      </c>
      <c r="G2679" s="406">
        <v>15750</v>
      </c>
      <c r="H2679" s="50"/>
      <c r="I2679" s="50"/>
      <c r="J2679" s="306"/>
    </row>
    <row r="2680" spans="2:10">
      <c r="B2680" s="413"/>
      <c r="C2680" s="414"/>
      <c r="D2680" s="414"/>
      <c r="E2680" s="50"/>
      <c r="F2680" s="403">
        <v>1570</v>
      </c>
      <c r="G2680" s="406">
        <v>15750</v>
      </c>
      <c r="H2680" s="50"/>
      <c r="I2680" s="50"/>
      <c r="J2680" s="306"/>
    </row>
    <row r="2681" spans="2:10">
      <c r="B2681" s="413"/>
      <c r="C2681" s="414"/>
      <c r="D2681" s="414"/>
      <c r="E2681" s="50"/>
      <c r="F2681" s="403">
        <v>1585</v>
      </c>
      <c r="G2681" s="406">
        <v>15750</v>
      </c>
      <c r="H2681" s="50"/>
      <c r="I2681" s="50"/>
      <c r="J2681" s="306"/>
    </row>
    <row r="2682" spans="2:10">
      <c r="B2682" s="413"/>
      <c r="C2682" s="414"/>
      <c r="D2682" s="414"/>
      <c r="E2682" s="50"/>
      <c r="F2682" s="403">
        <v>1590</v>
      </c>
      <c r="G2682" s="406">
        <v>15750</v>
      </c>
      <c r="H2682" s="50"/>
      <c r="I2682" s="50"/>
      <c r="J2682" s="306"/>
    </row>
    <row r="2683" spans="2:10">
      <c r="B2683" s="413"/>
      <c r="C2683" s="414"/>
      <c r="D2683" s="414"/>
      <c r="E2683" s="50"/>
      <c r="F2683" s="403">
        <v>1595</v>
      </c>
      <c r="G2683" s="406">
        <v>15750</v>
      </c>
      <c r="H2683" s="50"/>
      <c r="I2683" s="50"/>
      <c r="J2683" s="306"/>
    </row>
    <row r="2684" spans="2:10">
      <c r="B2684" s="413"/>
      <c r="C2684" s="414"/>
      <c r="D2684" s="414"/>
      <c r="E2684" s="50"/>
      <c r="F2684" s="403">
        <v>1630</v>
      </c>
      <c r="G2684" s="406">
        <v>15750</v>
      </c>
      <c r="H2684" s="50"/>
      <c r="I2684" s="50"/>
      <c r="J2684" s="306"/>
    </row>
    <row r="2685" spans="2:10">
      <c r="B2685" s="413"/>
      <c r="C2685" s="414"/>
      <c r="D2685" s="414"/>
      <c r="E2685" s="50"/>
      <c r="F2685" s="403">
        <v>1635</v>
      </c>
      <c r="G2685" s="406">
        <v>15750</v>
      </c>
      <c r="H2685" s="50"/>
      <c r="I2685" s="50"/>
      <c r="J2685" s="306"/>
    </row>
    <row r="2686" spans="2:10">
      <c r="B2686" s="413"/>
      <c r="C2686" s="414"/>
      <c r="D2686" s="414"/>
      <c r="E2686" s="50"/>
      <c r="F2686" s="403">
        <v>1640</v>
      </c>
      <c r="G2686" s="406">
        <v>15750</v>
      </c>
      <c r="H2686" s="50"/>
      <c r="I2686" s="50"/>
      <c r="J2686" s="306"/>
    </row>
    <row r="2687" spans="2:10">
      <c r="B2687" s="413"/>
      <c r="C2687" s="414"/>
      <c r="D2687" s="414"/>
      <c r="E2687" s="50"/>
      <c r="F2687" s="403">
        <v>1655</v>
      </c>
      <c r="G2687" s="406">
        <v>15750</v>
      </c>
      <c r="H2687" s="50"/>
      <c r="I2687" s="50"/>
      <c r="J2687" s="306"/>
    </row>
    <row r="2688" spans="2:10">
      <c r="B2688" s="413"/>
      <c r="C2688" s="414"/>
      <c r="D2688" s="414"/>
      <c r="E2688" s="50"/>
      <c r="F2688" s="403">
        <v>1660</v>
      </c>
      <c r="G2688" s="406">
        <v>15750</v>
      </c>
      <c r="H2688" s="50"/>
      <c r="I2688" s="50"/>
      <c r="J2688" s="306"/>
    </row>
    <row r="2689" spans="2:10">
      <c r="B2689" s="413"/>
      <c r="C2689" s="414"/>
      <c r="D2689" s="414"/>
      <c r="E2689" s="50"/>
      <c r="F2689" s="403">
        <v>1670</v>
      </c>
      <c r="G2689" s="406">
        <v>15750</v>
      </c>
      <c r="H2689" s="50"/>
      <c r="I2689" s="50"/>
      <c r="J2689" s="306"/>
    </row>
    <row r="2690" spans="2:10">
      <c r="B2690" s="413"/>
      <c r="C2690" s="414"/>
      <c r="D2690" s="414"/>
      <c r="E2690" s="50"/>
      <c r="F2690" s="403">
        <v>1675</v>
      </c>
      <c r="G2690" s="406">
        <v>15750</v>
      </c>
      <c r="H2690" s="50"/>
      <c r="I2690" s="50"/>
      <c r="J2690" s="306"/>
    </row>
    <row r="2691" spans="2:10">
      <c r="B2691" s="413"/>
      <c r="C2691" s="414"/>
      <c r="D2691" s="414"/>
      <c r="E2691" s="50"/>
      <c r="F2691" s="403">
        <v>1680</v>
      </c>
      <c r="G2691" s="406">
        <v>15750</v>
      </c>
      <c r="H2691" s="50"/>
      <c r="I2691" s="50"/>
      <c r="J2691" s="306"/>
    </row>
    <row r="2692" spans="2:10">
      <c r="B2692" s="413"/>
      <c r="C2692" s="414"/>
      <c r="D2692" s="414"/>
      <c r="E2692" s="50"/>
      <c r="F2692" s="403">
        <v>1685</v>
      </c>
      <c r="G2692" s="406">
        <v>15750</v>
      </c>
      <c r="H2692" s="50"/>
      <c r="I2692" s="50"/>
      <c r="J2692" s="306"/>
    </row>
    <row r="2693" spans="2:10">
      <c r="B2693" s="413"/>
      <c r="C2693" s="414"/>
      <c r="D2693" s="414"/>
      <c r="E2693" s="50"/>
      <c r="F2693" s="403">
        <v>1700</v>
      </c>
      <c r="G2693" s="406">
        <v>15750</v>
      </c>
      <c r="H2693" s="50"/>
      <c r="I2693" s="50"/>
      <c r="J2693" s="306"/>
    </row>
    <row r="2694" spans="2:10">
      <c r="B2694" s="413"/>
      <c r="C2694" s="414"/>
      <c r="D2694" s="414"/>
      <c r="E2694" s="50"/>
      <c r="F2694" s="403">
        <v>1701</v>
      </c>
      <c r="G2694" s="406">
        <v>15750</v>
      </c>
      <c r="H2694" s="50"/>
      <c r="I2694" s="50"/>
      <c r="J2694" s="306"/>
    </row>
    <row r="2695" spans="2:10">
      <c r="B2695" s="413"/>
      <c r="C2695" s="414"/>
      <c r="D2695" s="414"/>
      <c r="E2695" s="50"/>
      <c r="F2695" s="403">
        <v>1710</v>
      </c>
      <c r="G2695" s="406">
        <v>15750</v>
      </c>
      <c r="H2695" s="50"/>
      <c r="I2695" s="50"/>
      <c r="J2695" s="306"/>
    </row>
    <row r="2696" spans="2:10">
      <c r="B2696" s="413"/>
      <c r="C2696" s="414"/>
      <c r="D2696" s="414"/>
      <c r="E2696" s="50"/>
      <c r="F2696" s="403">
        <v>1715</v>
      </c>
      <c r="G2696" s="406">
        <v>15750</v>
      </c>
      <c r="H2696" s="50"/>
      <c r="I2696" s="50"/>
      <c r="J2696" s="306"/>
    </row>
    <row r="2697" spans="2:10">
      <c r="B2697" s="413"/>
      <c r="C2697" s="414"/>
      <c r="D2697" s="414"/>
      <c r="E2697" s="50"/>
      <c r="F2697" s="403">
        <v>1730</v>
      </c>
      <c r="G2697" s="406">
        <v>15750</v>
      </c>
      <c r="H2697" s="50"/>
      <c r="I2697" s="50"/>
      <c r="J2697" s="306"/>
    </row>
    <row r="2698" spans="2:10">
      <c r="B2698" s="413"/>
      <c r="C2698" s="414"/>
      <c r="D2698" s="414"/>
      <c r="E2698" s="50"/>
      <c r="F2698" s="403">
        <v>1750</v>
      </c>
      <c r="G2698" s="406">
        <v>15750</v>
      </c>
      <c r="H2698" s="50"/>
      <c r="I2698" s="50"/>
      <c r="J2698" s="306"/>
    </row>
    <row r="2699" spans="2:10">
      <c r="B2699" s="413"/>
      <c r="C2699" s="414"/>
      <c r="D2699" s="414"/>
      <c r="E2699" s="50"/>
      <c r="F2699" s="403">
        <v>1755</v>
      </c>
      <c r="G2699" s="406">
        <v>15750</v>
      </c>
      <c r="H2699" s="50"/>
      <c r="I2699" s="50"/>
      <c r="J2699" s="306"/>
    </row>
    <row r="2700" spans="2:10">
      <c r="B2700" s="413"/>
      <c r="C2700" s="414"/>
      <c r="D2700" s="414"/>
      <c r="E2700" s="50"/>
      <c r="F2700" s="403">
        <v>1765</v>
      </c>
      <c r="G2700" s="406">
        <v>15750</v>
      </c>
      <c r="H2700" s="50"/>
      <c r="I2700" s="50"/>
      <c r="J2700" s="306"/>
    </row>
    <row r="2701" spans="2:10">
      <c r="B2701" s="413"/>
      <c r="C2701" s="414"/>
      <c r="D2701" s="414"/>
      <c r="E2701" s="50"/>
      <c r="F2701" s="403">
        <v>1790</v>
      </c>
      <c r="G2701" s="406">
        <v>15750</v>
      </c>
      <c r="H2701" s="50"/>
      <c r="I2701" s="50"/>
      <c r="J2701" s="306"/>
    </row>
    <row r="2702" spans="2:10">
      <c r="B2702" s="413"/>
      <c r="C2702" s="414"/>
      <c r="D2702" s="414"/>
      <c r="E2702" s="50"/>
      <c r="F2702" s="403">
        <v>1793</v>
      </c>
      <c r="G2702" s="406">
        <v>15750</v>
      </c>
      <c r="H2702" s="50"/>
      <c r="I2702" s="50"/>
      <c r="J2702" s="306"/>
    </row>
    <row r="2703" spans="2:10">
      <c r="B2703" s="413"/>
      <c r="C2703" s="414"/>
      <c r="D2703" s="414"/>
      <c r="E2703" s="50"/>
      <c r="F2703" s="403">
        <v>1797</v>
      </c>
      <c r="G2703" s="406">
        <v>15750</v>
      </c>
      <c r="H2703" s="50"/>
      <c r="I2703" s="50"/>
      <c r="J2703" s="306"/>
    </row>
    <row r="2704" spans="2:10">
      <c r="B2704" s="413"/>
      <c r="C2704" s="414"/>
      <c r="D2704" s="414"/>
      <c r="E2704" s="50"/>
      <c r="F2704" s="403">
        <v>1800</v>
      </c>
      <c r="G2704" s="406">
        <v>15750</v>
      </c>
      <c r="H2704" s="50"/>
      <c r="I2704" s="50"/>
      <c r="J2704" s="306"/>
    </row>
    <row r="2705" spans="2:10">
      <c r="B2705" s="413"/>
      <c r="C2705" s="414"/>
      <c r="D2705" s="414"/>
      <c r="E2705" s="50"/>
      <c r="F2705" s="403">
        <v>1805</v>
      </c>
      <c r="G2705" s="406">
        <v>15750</v>
      </c>
      <c r="H2705" s="50"/>
      <c r="I2705" s="50"/>
      <c r="J2705" s="306"/>
    </row>
    <row r="2706" spans="2:10">
      <c r="B2706" s="413"/>
      <c r="C2706" s="414"/>
      <c r="D2706" s="414"/>
      <c r="E2706" s="50"/>
      <c r="F2706" s="403">
        <v>1811</v>
      </c>
      <c r="G2706" s="406">
        <v>15750</v>
      </c>
      <c r="H2706" s="50"/>
      <c r="I2706" s="50"/>
      <c r="J2706" s="306"/>
    </row>
    <row r="2707" spans="2:10">
      <c r="B2707" s="413"/>
      <c r="C2707" s="414"/>
      <c r="D2707" s="414"/>
      <c r="E2707" s="50"/>
      <c r="F2707" s="403">
        <v>1812</v>
      </c>
      <c r="G2707" s="406">
        <v>15750</v>
      </c>
      <c r="H2707" s="50"/>
      <c r="I2707" s="50"/>
      <c r="J2707" s="306"/>
    </row>
    <row r="2708" spans="2:10">
      <c r="B2708" s="413"/>
      <c r="C2708" s="414"/>
      <c r="D2708" s="414"/>
      <c r="E2708" s="50"/>
      <c r="F2708" s="403">
        <v>1825</v>
      </c>
      <c r="G2708" s="406">
        <v>15750</v>
      </c>
      <c r="H2708" s="50"/>
      <c r="I2708" s="50"/>
      <c r="J2708" s="306"/>
    </row>
    <row r="2709" spans="2:10">
      <c r="B2709" s="413"/>
      <c r="C2709" s="414"/>
      <c r="D2709" s="414"/>
      <c r="E2709" s="50"/>
      <c r="F2709" s="403">
        <v>1835</v>
      </c>
      <c r="G2709" s="406">
        <v>15750</v>
      </c>
      <c r="H2709" s="50"/>
      <c r="I2709" s="50"/>
      <c r="J2709" s="306"/>
    </row>
    <row r="2710" spans="2:10">
      <c r="B2710" s="413"/>
      <c r="C2710" s="414"/>
      <c r="D2710" s="414"/>
      <c r="E2710" s="50"/>
      <c r="F2710" s="403">
        <v>1848</v>
      </c>
      <c r="G2710" s="406">
        <v>15750</v>
      </c>
      <c r="H2710" s="50"/>
      <c r="I2710" s="50"/>
      <c r="J2710" s="306"/>
    </row>
    <row r="2711" spans="2:10">
      <c r="B2711" s="413"/>
      <c r="C2711" s="414"/>
      <c r="D2711" s="414"/>
      <c r="E2711" s="50"/>
      <c r="F2711" s="403">
        <v>1851</v>
      </c>
      <c r="G2711" s="406">
        <v>15750</v>
      </c>
      <c r="H2711" s="50"/>
      <c r="I2711" s="50"/>
      <c r="J2711" s="306"/>
    </row>
    <row r="2712" spans="2:10">
      <c r="B2712" s="413"/>
      <c r="C2712" s="414"/>
      <c r="D2712" s="414"/>
      <c r="E2712" s="50"/>
      <c r="F2712" s="403">
        <v>1860</v>
      </c>
      <c r="G2712" s="406">
        <v>15750</v>
      </c>
      <c r="H2712" s="50"/>
      <c r="I2712" s="50"/>
      <c r="J2712" s="306"/>
    </row>
    <row r="2713" spans="2:10">
      <c r="B2713" s="413"/>
      <c r="C2713" s="414"/>
      <c r="D2713" s="414"/>
      <c r="E2713" s="50"/>
      <c r="F2713" s="403">
        <v>1871</v>
      </c>
      <c r="G2713" s="406">
        <v>15750</v>
      </c>
      <c r="H2713" s="50"/>
      <c r="I2713" s="50"/>
      <c r="J2713" s="306"/>
    </row>
    <row r="2714" spans="2:10">
      <c r="B2714" s="413"/>
      <c r="C2714" s="414"/>
      <c r="D2714" s="414"/>
      <c r="E2714" s="50"/>
      <c r="F2714" s="403">
        <v>1875</v>
      </c>
      <c r="G2714" s="406">
        <v>15750</v>
      </c>
      <c r="H2714" s="50"/>
      <c r="I2714" s="50"/>
      <c r="J2714" s="306"/>
    </row>
    <row r="2715" spans="2:10">
      <c r="B2715" s="413"/>
      <c r="C2715" s="414"/>
      <c r="D2715" s="414"/>
      <c r="E2715" s="50"/>
      <c r="F2715" s="403">
        <v>1885</v>
      </c>
      <c r="G2715" s="406">
        <v>15750</v>
      </c>
      <c r="H2715" s="50"/>
      <c r="I2715" s="50"/>
      <c r="J2715" s="306"/>
    </row>
    <row r="2716" spans="2:10">
      <c r="B2716" s="413"/>
      <c r="C2716" s="414"/>
      <c r="D2716" s="414"/>
      <c r="E2716" s="50"/>
      <c r="F2716" s="403">
        <v>1888</v>
      </c>
      <c r="G2716" s="406">
        <v>15750</v>
      </c>
      <c r="H2716" s="50"/>
      <c r="I2716" s="50"/>
      <c r="J2716" s="306"/>
    </row>
    <row r="2717" spans="2:10">
      <c r="B2717" s="413"/>
      <c r="C2717" s="414"/>
      <c r="D2717" s="414"/>
      <c r="E2717" s="50"/>
      <c r="F2717" s="403">
        <v>1890</v>
      </c>
      <c r="G2717" s="406">
        <v>15750</v>
      </c>
      <c r="H2717" s="50"/>
      <c r="I2717" s="50"/>
      <c r="J2717" s="306"/>
    </row>
    <row r="2718" spans="2:10">
      <c r="B2718" s="413"/>
      <c r="C2718" s="414"/>
      <c r="D2718" s="414"/>
      <c r="E2718" s="50"/>
      <c r="F2718" s="403">
        <v>1891</v>
      </c>
      <c r="G2718" s="406">
        <v>13397</v>
      </c>
      <c r="H2718" s="50"/>
      <c r="I2718" s="50"/>
      <c r="J2718" s="306"/>
    </row>
    <row r="2719" spans="2:10">
      <c r="B2719" s="413"/>
      <c r="C2719" s="414"/>
      <c r="D2719" s="414"/>
      <c r="E2719" s="50"/>
      <c r="F2719" s="403">
        <v>1936</v>
      </c>
      <c r="G2719" s="406">
        <v>13397</v>
      </c>
      <c r="H2719" s="50"/>
      <c r="I2719" s="50"/>
      <c r="J2719" s="306"/>
    </row>
    <row r="2720" spans="2:10">
      <c r="B2720" s="413"/>
      <c r="C2720" s="414"/>
      <c r="D2720" s="414"/>
      <c r="E2720" s="50"/>
      <c r="F2720" s="403">
        <v>2001</v>
      </c>
      <c r="G2720" s="406">
        <v>13397</v>
      </c>
      <c r="H2720" s="50"/>
      <c r="I2720" s="50"/>
      <c r="J2720" s="306"/>
    </row>
    <row r="2721" spans="2:10">
      <c r="B2721" s="413"/>
      <c r="C2721" s="414"/>
      <c r="D2721" s="414"/>
      <c r="E2721" s="50"/>
      <c r="F2721" s="403">
        <v>2002</v>
      </c>
      <c r="G2721" s="406">
        <v>12361.5</v>
      </c>
      <c r="H2721" s="50"/>
      <c r="I2721" s="50"/>
      <c r="J2721" s="306"/>
    </row>
    <row r="2722" spans="2:10">
      <c r="B2722" s="413"/>
      <c r="C2722" s="414"/>
      <c r="D2722" s="414"/>
      <c r="E2722" s="50"/>
      <c r="F2722" s="403">
        <v>2004</v>
      </c>
      <c r="G2722" s="406">
        <v>11326</v>
      </c>
      <c r="H2722" s="50"/>
      <c r="I2722" s="50"/>
      <c r="J2722" s="306"/>
    </row>
    <row r="2723" spans="2:10">
      <c r="B2723" s="413"/>
      <c r="C2723" s="414"/>
      <c r="D2723" s="414"/>
      <c r="E2723" s="50"/>
      <c r="F2723" s="403">
        <v>2012</v>
      </c>
      <c r="G2723" s="406">
        <v>12393.5</v>
      </c>
      <c r="H2723" s="50"/>
      <c r="I2723" s="50"/>
      <c r="J2723" s="306"/>
    </row>
    <row r="2724" spans="2:10">
      <c r="B2724" s="413"/>
      <c r="C2724" s="414"/>
      <c r="D2724" s="414"/>
      <c r="E2724" s="50"/>
      <c r="F2724" s="403">
        <v>2055</v>
      </c>
      <c r="G2724" s="406">
        <v>10629</v>
      </c>
      <c r="H2724" s="50"/>
      <c r="I2724" s="50"/>
      <c r="J2724" s="306"/>
    </row>
    <row r="2725" spans="2:10">
      <c r="B2725" s="413"/>
      <c r="C2725" s="414"/>
      <c r="D2725" s="414"/>
      <c r="E2725" s="50"/>
      <c r="F2725" s="403">
        <v>2057</v>
      </c>
      <c r="G2725" s="406">
        <v>12212</v>
      </c>
      <c r="H2725" s="50"/>
      <c r="I2725" s="50"/>
      <c r="J2725" s="306"/>
    </row>
    <row r="2726" spans="2:10">
      <c r="B2726" s="413"/>
      <c r="C2726" s="414"/>
      <c r="D2726" s="414"/>
      <c r="E2726" s="50"/>
      <c r="F2726" s="403">
        <v>2059</v>
      </c>
      <c r="G2726" s="406">
        <v>13795</v>
      </c>
      <c r="H2726" s="50"/>
      <c r="I2726" s="50"/>
      <c r="J2726" s="306"/>
    </row>
    <row r="2727" spans="2:10">
      <c r="B2727" s="413"/>
      <c r="C2727" s="414"/>
      <c r="D2727" s="414"/>
      <c r="E2727" s="50"/>
      <c r="F2727" s="403">
        <v>2124</v>
      </c>
      <c r="G2727" s="406">
        <v>18495.5</v>
      </c>
      <c r="H2727" s="50"/>
      <c r="I2727" s="50"/>
      <c r="J2727" s="306"/>
    </row>
    <row r="2728" spans="2:10">
      <c r="B2728" s="413"/>
      <c r="C2728" s="414"/>
      <c r="D2728" s="414"/>
      <c r="E2728" s="50"/>
      <c r="F2728" s="403">
        <v>2252</v>
      </c>
      <c r="G2728" s="406">
        <v>17246.5</v>
      </c>
      <c r="H2728" s="50"/>
      <c r="I2728" s="50"/>
      <c r="J2728" s="306"/>
    </row>
    <row r="2729" spans="2:10">
      <c r="B2729" s="413"/>
      <c r="C2729" s="414"/>
      <c r="D2729" s="414"/>
      <c r="E2729" s="50"/>
      <c r="F2729" s="403">
        <v>2309</v>
      </c>
      <c r="G2729" s="406">
        <v>11605</v>
      </c>
      <c r="H2729" s="50"/>
      <c r="I2729" s="50"/>
      <c r="J2729" s="306"/>
    </row>
    <row r="2730" spans="2:10">
      <c r="B2730" s="413"/>
      <c r="C2730" s="414"/>
      <c r="D2730" s="414"/>
      <c r="E2730" s="50"/>
      <c r="F2730" s="403">
        <v>2310</v>
      </c>
      <c r="G2730" s="406">
        <v>16095</v>
      </c>
      <c r="H2730" s="50"/>
      <c r="I2730" s="50"/>
      <c r="J2730" s="306"/>
    </row>
    <row r="2731" spans="2:10">
      <c r="B2731" s="413"/>
      <c r="C2731" s="414"/>
      <c r="D2731" s="414"/>
      <c r="E2731" s="50"/>
      <c r="F2731" s="403">
        <v>2348</v>
      </c>
      <c r="G2731" s="406">
        <v>14436.5</v>
      </c>
      <c r="H2731" s="50"/>
      <c r="I2731" s="50"/>
      <c r="J2731" s="306"/>
    </row>
    <row r="2732" spans="2:10">
      <c r="B2732" s="413"/>
      <c r="C2732" s="414"/>
      <c r="D2732" s="414"/>
      <c r="E2732" s="50"/>
      <c r="F2732" s="403">
        <v>2442</v>
      </c>
      <c r="G2732" s="406">
        <v>16644</v>
      </c>
      <c r="H2732" s="50"/>
      <c r="I2732" s="50"/>
      <c r="J2732" s="306"/>
    </row>
    <row r="2733" spans="2:10">
      <c r="B2733" s="413"/>
      <c r="C2733" s="414"/>
      <c r="D2733" s="414"/>
      <c r="E2733" s="50"/>
      <c r="F2733" s="403">
        <v>2520</v>
      </c>
      <c r="G2733" s="406">
        <v>17168</v>
      </c>
      <c r="H2733" s="50"/>
      <c r="I2733" s="50"/>
      <c r="J2733" s="306"/>
    </row>
    <row r="2734" spans="2:10">
      <c r="B2734" s="413"/>
      <c r="C2734" s="414"/>
      <c r="D2734" s="414"/>
      <c r="E2734" s="50"/>
      <c r="F2734" s="403">
        <v>2522</v>
      </c>
      <c r="G2734" s="406">
        <v>16399</v>
      </c>
      <c r="H2734" s="50"/>
      <c r="I2734" s="50"/>
      <c r="J2734" s="306"/>
    </row>
    <row r="2735" spans="2:10">
      <c r="B2735" s="413"/>
      <c r="C2735" s="414"/>
      <c r="D2735" s="414"/>
      <c r="E2735" s="50"/>
      <c r="F2735" s="403">
        <v>2608</v>
      </c>
      <c r="G2735" s="406">
        <v>15295.5</v>
      </c>
      <c r="H2735" s="50"/>
      <c r="I2735" s="50"/>
      <c r="J2735" s="306"/>
    </row>
    <row r="2736" spans="2:10">
      <c r="B2736" s="413"/>
      <c r="C2736" s="414"/>
      <c r="D2736" s="414"/>
      <c r="E2736" s="50"/>
      <c r="F2736" s="403">
        <v>2610</v>
      </c>
      <c r="G2736" s="406">
        <v>15402</v>
      </c>
      <c r="H2736" s="50"/>
      <c r="I2736" s="50"/>
      <c r="J2736" s="306"/>
    </row>
    <row r="2737" spans="2:10">
      <c r="B2737" s="413"/>
      <c r="C2737" s="414"/>
      <c r="D2737" s="414"/>
      <c r="E2737" s="50"/>
      <c r="F2737" s="403">
        <v>2616</v>
      </c>
      <c r="G2737" s="406">
        <v>15895</v>
      </c>
      <c r="H2737" s="50"/>
      <c r="I2737" s="50"/>
      <c r="J2737" s="306"/>
    </row>
    <row r="2738" spans="2:10">
      <c r="B2738" s="413"/>
      <c r="C2738" s="414"/>
      <c r="D2738" s="414"/>
      <c r="E2738" s="50"/>
      <c r="F2738" s="403">
        <v>2678</v>
      </c>
      <c r="G2738" s="406">
        <v>17096.5</v>
      </c>
      <c r="H2738" s="50"/>
      <c r="I2738" s="50"/>
      <c r="J2738" s="306"/>
    </row>
    <row r="2739" spans="2:10">
      <c r="B2739" s="413"/>
      <c r="C2739" s="414"/>
      <c r="D2739" s="414"/>
      <c r="E2739" s="50"/>
      <c r="F2739" s="403">
        <v>2708</v>
      </c>
      <c r="G2739" s="406">
        <v>16209.5</v>
      </c>
      <c r="H2739" s="50"/>
      <c r="I2739" s="50"/>
      <c r="J2739" s="306"/>
    </row>
    <row r="2740" spans="2:10">
      <c r="B2740" s="413"/>
      <c r="C2740" s="414"/>
      <c r="D2740" s="414"/>
      <c r="E2740" s="50"/>
      <c r="F2740" s="403">
        <v>2740</v>
      </c>
      <c r="G2740" s="406">
        <v>15169.5</v>
      </c>
      <c r="H2740" s="50"/>
      <c r="I2740" s="50"/>
      <c r="J2740" s="306"/>
    </row>
    <row r="2741" spans="2:10">
      <c r="B2741" s="413"/>
      <c r="C2741" s="414"/>
      <c r="D2741" s="414"/>
      <c r="E2741" s="50"/>
      <c r="F2741" s="403">
        <v>2751</v>
      </c>
      <c r="G2741" s="406">
        <v>17190.5</v>
      </c>
      <c r="H2741" s="50"/>
      <c r="I2741" s="50"/>
      <c r="J2741" s="306"/>
    </row>
    <row r="2742" spans="2:10">
      <c r="B2742" s="413"/>
      <c r="C2742" s="414"/>
      <c r="D2742" s="414"/>
      <c r="E2742" s="50"/>
      <c r="F2742" s="403">
        <v>2891</v>
      </c>
      <c r="G2742" s="406">
        <v>17994</v>
      </c>
      <c r="H2742" s="50"/>
      <c r="I2742" s="50"/>
      <c r="J2742" s="306"/>
    </row>
    <row r="2743" spans="2:10">
      <c r="B2743" s="413"/>
      <c r="C2743" s="414"/>
      <c r="D2743" s="414"/>
      <c r="E2743" s="50"/>
      <c r="F2743" s="403">
        <v>2898</v>
      </c>
      <c r="G2743" s="406">
        <v>16948.5</v>
      </c>
      <c r="H2743" s="50"/>
      <c r="I2743" s="50"/>
      <c r="J2743" s="306"/>
    </row>
    <row r="2744" spans="2:10">
      <c r="B2744" s="413"/>
      <c r="C2744" s="414"/>
      <c r="D2744" s="414"/>
      <c r="E2744" s="50"/>
      <c r="F2744" s="403">
        <v>2899</v>
      </c>
      <c r="G2744" s="406">
        <v>15903</v>
      </c>
      <c r="H2744" s="50"/>
      <c r="I2744" s="50"/>
      <c r="J2744" s="306"/>
    </row>
    <row r="2745" spans="2:10">
      <c r="B2745" s="413"/>
      <c r="C2745" s="414"/>
      <c r="D2745" s="414"/>
      <c r="E2745" s="50"/>
      <c r="F2745" s="403">
        <v>2901</v>
      </c>
      <c r="G2745" s="406">
        <v>15828.5</v>
      </c>
      <c r="H2745" s="50"/>
      <c r="I2745" s="50"/>
      <c r="J2745" s="306"/>
    </row>
    <row r="2746" spans="2:10">
      <c r="B2746" s="413"/>
      <c r="C2746" s="414"/>
      <c r="D2746" s="414"/>
      <c r="E2746" s="50"/>
      <c r="F2746" s="403">
        <v>3001</v>
      </c>
      <c r="G2746" s="406">
        <v>10190.5</v>
      </c>
      <c r="H2746" s="50"/>
      <c r="I2746" s="50"/>
      <c r="J2746" s="306"/>
    </row>
    <row r="2747" spans="2:10">
      <c r="B2747" s="413"/>
      <c r="C2747" s="414"/>
      <c r="D2747" s="414"/>
      <c r="E2747" s="50"/>
      <c r="F2747" s="403">
        <v>3110</v>
      </c>
      <c r="G2747" s="406">
        <v>14328</v>
      </c>
      <c r="H2747" s="50"/>
      <c r="I2747" s="50"/>
      <c r="J2747" s="306"/>
    </row>
    <row r="2748" spans="2:10">
      <c r="B2748" s="413"/>
      <c r="C2748" s="414"/>
      <c r="D2748" s="414"/>
      <c r="E2748" s="50"/>
      <c r="F2748" s="403">
        <v>3164</v>
      </c>
      <c r="G2748" s="406">
        <v>13480</v>
      </c>
      <c r="H2748" s="50"/>
      <c r="I2748" s="50"/>
      <c r="J2748" s="306"/>
    </row>
    <row r="2749" spans="2:10">
      <c r="B2749" s="413"/>
      <c r="C2749" s="414"/>
      <c r="D2749" s="414"/>
      <c r="E2749" s="50"/>
      <c r="F2749" s="403">
        <v>3176</v>
      </c>
      <c r="G2749" s="406">
        <v>15504</v>
      </c>
      <c r="H2749" s="50"/>
      <c r="I2749" s="50"/>
      <c r="J2749" s="306"/>
    </row>
    <row r="2750" spans="2:10">
      <c r="B2750" s="413"/>
      <c r="C2750" s="414"/>
      <c r="D2750" s="414"/>
      <c r="E2750" s="50"/>
      <c r="F2750" s="403">
        <v>3353</v>
      </c>
      <c r="G2750" s="406">
        <v>14497</v>
      </c>
      <c r="H2750" s="50"/>
      <c r="I2750" s="50"/>
      <c r="J2750" s="306"/>
    </row>
    <row r="2751" spans="2:10">
      <c r="B2751" s="413"/>
      <c r="C2751" s="414"/>
      <c r="D2751" s="414"/>
      <c r="E2751" s="50"/>
      <c r="F2751" s="403">
        <v>3354</v>
      </c>
      <c r="G2751" s="406">
        <v>14497</v>
      </c>
      <c r="H2751" s="50"/>
      <c r="I2751" s="50"/>
      <c r="J2751" s="306"/>
    </row>
    <row r="2752" spans="2:10">
      <c r="B2752" s="413"/>
      <c r="C2752" s="414"/>
      <c r="D2752" s="414"/>
      <c r="E2752" s="50"/>
      <c r="F2752" s="403">
        <v>3402</v>
      </c>
      <c r="G2752" s="406">
        <v>12637</v>
      </c>
      <c r="H2752" s="50"/>
      <c r="I2752" s="50"/>
      <c r="J2752" s="306"/>
    </row>
    <row r="2753" spans="2:10">
      <c r="B2753" s="413"/>
      <c r="C2753" s="414"/>
      <c r="D2753" s="414"/>
      <c r="E2753" s="50"/>
      <c r="F2753" s="403">
        <v>3502</v>
      </c>
      <c r="G2753" s="406">
        <v>13326.5</v>
      </c>
      <c r="H2753" s="50"/>
      <c r="I2753" s="50"/>
      <c r="J2753" s="306"/>
    </row>
    <row r="2754" spans="2:10">
      <c r="B2754" s="413"/>
      <c r="C2754" s="414"/>
      <c r="D2754" s="414"/>
      <c r="E2754" s="50"/>
      <c r="F2754" s="403">
        <v>3552</v>
      </c>
      <c r="G2754" s="406">
        <v>14692</v>
      </c>
      <c r="H2754" s="50"/>
      <c r="I2754" s="50"/>
      <c r="J2754" s="306"/>
    </row>
    <row r="2755" spans="2:10">
      <c r="B2755" s="413"/>
      <c r="C2755" s="414"/>
      <c r="D2755" s="414"/>
      <c r="E2755" s="50"/>
      <c r="F2755" s="403">
        <v>3554</v>
      </c>
      <c r="G2755" s="406">
        <v>14471</v>
      </c>
      <c r="H2755" s="50"/>
      <c r="I2755" s="50"/>
      <c r="J2755" s="306"/>
    </row>
    <row r="2756" spans="2:10">
      <c r="B2756" s="413"/>
      <c r="C2756" s="414"/>
      <c r="D2756" s="414"/>
      <c r="E2756" s="50"/>
      <c r="F2756" s="403">
        <v>3619</v>
      </c>
      <c r="G2756" s="406">
        <v>17106</v>
      </c>
      <c r="H2756" s="50"/>
      <c r="I2756" s="50"/>
      <c r="J2756" s="306"/>
    </row>
    <row r="2757" spans="2:10">
      <c r="B2757" s="413"/>
      <c r="C2757" s="414"/>
      <c r="D2757" s="414"/>
      <c r="E2757" s="50"/>
      <c r="F2757" s="403">
        <v>3632</v>
      </c>
      <c r="G2757" s="406">
        <v>15431.5</v>
      </c>
      <c r="H2757" s="50"/>
      <c r="I2757" s="50"/>
      <c r="J2757" s="306"/>
    </row>
    <row r="2758" spans="2:10">
      <c r="B2758" s="413"/>
      <c r="C2758" s="414"/>
      <c r="D2758" s="414"/>
      <c r="E2758" s="50"/>
      <c r="F2758" s="403">
        <v>3643</v>
      </c>
      <c r="G2758" s="406">
        <v>16988</v>
      </c>
      <c r="H2758" s="50"/>
      <c r="I2758" s="50"/>
      <c r="J2758" s="306"/>
    </row>
    <row r="2759" spans="2:10">
      <c r="B2759" s="413"/>
      <c r="C2759" s="414"/>
      <c r="D2759" s="414"/>
      <c r="E2759" s="50"/>
      <c r="F2759" s="403">
        <v>3661</v>
      </c>
      <c r="G2759" s="406">
        <v>21025.5</v>
      </c>
      <c r="H2759" s="50"/>
      <c r="I2759" s="50"/>
      <c r="J2759" s="306"/>
    </row>
    <row r="2760" spans="2:10">
      <c r="B2760" s="413"/>
      <c r="C2760" s="414"/>
      <c r="D2760" s="414"/>
      <c r="E2760" s="50"/>
      <c r="F2760" s="403">
        <v>3671</v>
      </c>
      <c r="G2760" s="406">
        <v>19236</v>
      </c>
      <c r="H2760" s="50"/>
      <c r="I2760" s="50"/>
      <c r="J2760" s="306"/>
    </row>
    <row r="2761" spans="2:10">
      <c r="B2761" s="413"/>
      <c r="C2761" s="414"/>
      <c r="D2761" s="414"/>
      <c r="E2761" s="50"/>
      <c r="F2761" s="403">
        <v>3676</v>
      </c>
      <c r="G2761" s="406">
        <v>20367</v>
      </c>
      <c r="H2761" s="50"/>
      <c r="I2761" s="50"/>
      <c r="J2761" s="306"/>
    </row>
    <row r="2762" spans="2:10">
      <c r="B2762" s="413"/>
      <c r="C2762" s="414"/>
      <c r="D2762" s="414"/>
      <c r="E2762" s="50"/>
      <c r="F2762" s="403">
        <v>3689</v>
      </c>
      <c r="G2762" s="406">
        <v>14177</v>
      </c>
      <c r="H2762" s="50"/>
      <c r="I2762" s="50"/>
      <c r="J2762" s="306"/>
    </row>
    <row r="2763" spans="2:10">
      <c r="B2763" s="413"/>
      <c r="C2763" s="414"/>
      <c r="D2763" s="414"/>
      <c r="E2763" s="50"/>
      <c r="F2763" s="403">
        <v>3724</v>
      </c>
      <c r="G2763" s="406">
        <v>18465</v>
      </c>
      <c r="H2763" s="50"/>
      <c r="I2763" s="50"/>
      <c r="J2763" s="306"/>
    </row>
    <row r="2764" spans="2:10">
      <c r="B2764" s="413"/>
      <c r="C2764" s="414"/>
      <c r="D2764" s="414"/>
      <c r="E2764" s="50"/>
      <c r="F2764" s="403">
        <v>3736</v>
      </c>
      <c r="G2764" s="406">
        <v>18749</v>
      </c>
      <c r="H2764" s="50"/>
      <c r="I2764" s="50"/>
      <c r="J2764" s="306"/>
    </row>
    <row r="2765" spans="2:10">
      <c r="B2765" s="413"/>
      <c r="C2765" s="414"/>
      <c r="D2765" s="414"/>
      <c r="E2765" s="50"/>
      <c r="F2765" s="403">
        <v>3832</v>
      </c>
      <c r="G2765" s="406">
        <v>17529.5</v>
      </c>
      <c r="H2765" s="50"/>
      <c r="I2765" s="50"/>
      <c r="J2765" s="306"/>
    </row>
    <row r="2766" spans="2:10">
      <c r="B2766" s="413"/>
      <c r="C2766" s="414"/>
      <c r="D2766" s="414"/>
      <c r="E2766" s="50"/>
      <c r="F2766" s="403">
        <v>3841</v>
      </c>
      <c r="G2766" s="406">
        <v>16273</v>
      </c>
      <c r="H2766" s="50"/>
      <c r="I2766" s="50"/>
      <c r="J2766" s="306"/>
    </row>
    <row r="2767" spans="2:10">
      <c r="B2767" s="413"/>
      <c r="C2767" s="414"/>
      <c r="D2767" s="414"/>
      <c r="E2767" s="50"/>
      <c r="F2767" s="403">
        <v>3853</v>
      </c>
      <c r="G2767" s="406">
        <v>16273.5</v>
      </c>
      <c r="H2767" s="50"/>
      <c r="I2767" s="50"/>
      <c r="J2767" s="306"/>
    </row>
    <row r="2768" spans="2:10">
      <c r="B2768" s="413"/>
      <c r="C2768" s="414"/>
      <c r="D2768" s="414"/>
      <c r="E2768" s="50"/>
      <c r="F2768" s="403">
        <v>3921</v>
      </c>
      <c r="G2768" s="406">
        <v>21671</v>
      </c>
      <c r="H2768" s="50"/>
      <c r="I2768" s="50"/>
      <c r="J2768" s="306"/>
    </row>
    <row r="2769" spans="2:10">
      <c r="B2769" s="413"/>
      <c r="C2769" s="414"/>
      <c r="D2769" s="414"/>
      <c r="E2769" s="50"/>
      <c r="F2769" s="403">
        <v>4001</v>
      </c>
      <c r="G2769" s="406">
        <v>11965</v>
      </c>
      <c r="H2769" s="50"/>
      <c r="I2769" s="50"/>
      <c r="J2769" s="306"/>
    </row>
    <row r="2770" spans="2:10">
      <c r="B2770" s="413"/>
      <c r="C2770" s="414"/>
      <c r="D2770" s="414"/>
      <c r="E2770" s="50"/>
      <c r="F2770" s="403">
        <v>4002</v>
      </c>
      <c r="G2770" s="406">
        <v>11965</v>
      </c>
      <c r="H2770" s="50"/>
      <c r="I2770" s="50"/>
      <c r="J2770" s="306"/>
    </row>
    <row r="2771" spans="2:10">
      <c r="B2771" s="413"/>
      <c r="C2771" s="414"/>
      <c r="D2771" s="414"/>
      <c r="E2771" s="50"/>
      <c r="F2771" s="403">
        <v>4003</v>
      </c>
      <c r="G2771" s="406">
        <v>12185</v>
      </c>
      <c r="H2771" s="50"/>
      <c r="I2771" s="50"/>
      <c r="J2771" s="306"/>
    </row>
    <row r="2772" spans="2:10">
      <c r="B2772" s="413"/>
      <c r="C2772" s="414"/>
      <c r="D2772" s="414"/>
      <c r="E2772" s="50"/>
      <c r="F2772" s="403">
        <v>4004</v>
      </c>
      <c r="G2772" s="406">
        <v>12185</v>
      </c>
      <c r="H2772" s="50"/>
      <c r="I2772" s="50"/>
      <c r="J2772" s="306"/>
    </row>
    <row r="2773" spans="2:10">
      <c r="B2773" s="413"/>
      <c r="C2773" s="414"/>
      <c r="D2773" s="414"/>
      <c r="E2773" s="50"/>
      <c r="F2773" s="403">
        <v>4025</v>
      </c>
      <c r="G2773" s="406">
        <v>12829.5</v>
      </c>
      <c r="H2773" s="50"/>
      <c r="I2773" s="50"/>
      <c r="J2773" s="306"/>
    </row>
    <row r="2774" spans="2:10">
      <c r="B2774" s="413"/>
      <c r="C2774" s="414"/>
      <c r="D2774" s="414"/>
      <c r="E2774" s="50"/>
      <c r="F2774" s="403">
        <v>4183</v>
      </c>
      <c r="G2774" s="406">
        <v>15068</v>
      </c>
      <c r="H2774" s="50"/>
      <c r="I2774" s="50"/>
      <c r="J2774" s="306"/>
    </row>
    <row r="2775" spans="2:10">
      <c r="B2775" s="413"/>
      <c r="C2775" s="414"/>
      <c r="D2775" s="414"/>
      <c r="E2775" s="50"/>
      <c r="F2775" s="403">
        <v>4184</v>
      </c>
      <c r="G2775" s="406">
        <v>15647</v>
      </c>
      <c r="H2775" s="50"/>
      <c r="I2775" s="50"/>
      <c r="J2775" s="306"/>
    </row>
    <row r="2776" spans="2:10">
      <c r="B2776" s="413"/>
      <c r="C2776" s="414"/>
      <c r="D2776" s="414"/>
      <c r="E2776" s="50"/>
      <c r="F2776" s="403">
        <v>4801</v>
      </c>
      <c r="G2776" s="406">
        <v>15234</v>
      </c>
      <c r="H2776" s="50"/>
      <c r="I2776" s="50"/>
      <c r="J2776" s="306"/>
    </row>
    <row r="2777" spans="2:10">
      <c r="B2777" s="413"/>
      <c r="C2777" s="414"/>
      <c r="D2777" s="414"/>
      <c r="E2777" s="50"/>
      <c r="F2777" s="403">
        <v>4803</v>
      </c>
      <c r="G2777" s="406">
        <v>15011.5</v>
      </c>
      <c r="H2777" s="50"/>
      <c r="I2777" s="50"/>
      <c r="J2777" s="306"/>
    </row>
    <row r="2778" spans="2:10">
      <c r="B2778" s="413"/>
      <c r="C2778" s="414"/>
      <c r="D2778" s="414"/>
      <c r="E2778" s="50"/>
      <c r="F2778" s="403">
        <v>4819</v>
      </c>
      <c r="G2778" s="406">
        <v>13788.5</v>
      </c>
      <c r="H2778" s="50"/>
      <c r="I2778" s="50"/>
      <c r="J2778" s="306"/>
    </row>
    <row r="2779" spans="2:10">
      <c r="B2779" s="413"/>
      <c r="C2779" s="414"/>
      <c r="D2779" s="414"/>
      <c r="E2779" s="50"/>
      <c r="F2779" s="403">
        <v>4875</v>
      </c>
      <c r="G2779" s="406">
        <v>13974</v>
      </c>
      <c r="H2779" s="50"/>
      <c r="I2779" s="50"/>
      <c r="J2779" s="306"/>
    </row>
    <row r="2780" spans="2:10">
      <c r="B2780" s="413"/>
      <c r="C2780" s="414"/>
      <c r="D2780" s="414"/>
      <c r="E2780" s="50"/>
      <c r="F2780" s="403">
        <v>5001</v>
      </c>
      <c r="G2780" s="406">
        <v>11825</v>
      </c>
      <c r="H2780" s="50"/>
      <c r="I2780" s="50"/>
      <c r="J2780" s="306"/>
    </row>
    <row r="2781" spans="2:10">
      <c r="B2781" s="413"/>
      <c r="C2781" s="414"/>
      <c r="D2781" s="414"/>
      <c r="E2781" s="50"/>
      <c r="F2781" s="403">
        <v>5005</v>
      </c>
      <c r="G2781" s="406">
        <v>11538</v>
      </c>
      <c r="H2781" s="50"/>
      <c r="I2781" s="50"/>
      <c r="J2781" s="306"/>
    </row>
    <row r="2782" spans="2:10">
      <c r="B2782" s="413"/>
      <c r="C2782" s="414"/>
      <c r="D2782" s="414"/>
      <c r="E2782" s="50"/>
      <c r="F2782" s="403">
        <v>5071</v>
      </c>
      <c r="G2782" s="406">
        <v>12631</v>
      </c>
      <c r="H2782" s="50"/>
      <c r="I2782" s="50"/>
      <c r="J2782" s="306"/>
    </row>
    <row r="2783" spans="2:10">
      <c r="B2783" s="413"/>
      <c r="C2783" s="414"/>
      <c r="D2783" s="414"/>
      <c r="E2783" s="50"/>
      <c r="F2783" s="403">
        <v>5220</v>
      </c>
      <c r="G2783" s="406">
        <v>14622</v>
      </c>
      <c r="H2783" s="50"/>
      <c r="I2783" s="50"/>
      <c r="J2783" s="306"/>
    </row>
    <row r="2784" spans="2:10">
      <c r="B2784" s="413"/>
      <c r="C2784" s="414"/>
      <c r="D2784" s="414"/>
      <c r="E2784" s="50"/>
      <c r="F2784" s="403">
        <v>5221</v>
      </c>
      <c r="G2784" s="406">
        <v>14622</v>
      </c>
      <c r="H2784" s="50"/>
      <c r="I2784" s="50"/>
      <c r="J2784" s="306"/>
    </row>
    <row r="2785" spans="2:10">
      <c r="B2785" s="413"/>
      <c r="C2785" s="414"/>
      <c r="D2785" s="414"/>
      <c r="E2785" s="50"/>
      <c r="F2785" s="403">
        <v>5222</v>
      </c>
      <c r="G2785" s="406">
        <v>15649</v>
      </c>
      <c r="H2785" s="50"/>
      <c r="I2785" s="50"/>
      <c r="J2785" s="306"/>
    </row>
    <row r="2786" spans="2:10">
      <c r="B2786" s="413"/>
      <c r="C2786" s="414"/>
      <c r="D2786" s="414"/>
      <c r="E2786" s="50"/>
      <c r="F2786" s="403">
        <v>5223</v>
      </c>
      <c r="G2786" s="406">
        <v>15649</v>
      </c>
      <c r="H2786" s="50"/>
      <c r="I2786" s="50"/>
      <c r="J2786" s="306"/>
    </row>
    <row r="2787" spans="2:10">
      <c r="B2787" s="413"/>
      <c r="C2787" s="414"/>
      <c r="D2787" s="414"/>
      <c r="E2787" s="50"/>
      <c r="F2787" s="403">
        <v>5430</v>
      </c>
      <c r="G2787" s="406">
        <v>16277.5</v>
      </c>
      <c r="H2787" s="50"/>
      <c r="I2787" s="50"/>
      <c r="J2787" s="306"/>
    </row>
    <row r="2788" spans="2:10">
      <c r="B2788" s="413"/>
      <c r="C2788" s="414"/>
      <c r="D2788" s="414"/>
      <c r="E2788" s="50"/>
      <c r="F2788" s="403">
        <v>5800</v>
      </c>
      <c r="G2788" s="406">
        <v>17443</v>
      </c>
      <c r="H2788" s="50"/>
      <c r="I2788" s="50"/>
      <c r="J2788" s="306"/>
    </row>
    <row r="2789" spans="2:10">
      <c r="B2789" s="413"/>
      <c r="C2789" s="414"/>
      <c r="D2789" s="414"/>
      <c r="E2789" s="50"/>
      <c r="F2789" s="403">
        <v>5888</v>
      </c>
      <c r="G2789" s="406">
        <v>14065</v>
      </c>
      <c r="H2789" s="50"/>
      <c r="I2789" s="50"/>
      <c r="J2789" s="306"/>
    </row>
    <row r="2790" spans="2:10">
      <c r="B2790" s="413"/>
      <c r="C2790" s="414"/>
      <c r="D2790" s="414"/>
      <c r="E2790" s="50"/>
      <c r="F2790" s="403">
        <v>5942</v>
      </c>
      <c r="G2790" s="406">
        <v>10687</v>
      </c>
      <c r="H2790" s="50"/>
      <c r="I2790" s="50"/>
      <c r="J2790" s="306"/>
    </row>
    <row r="2791" spans="2:10">
      <c r="B2791" s="413"/>
      <c r="C2791" s="414"/>
      <c r="D2791" s="414"/>
      <c r="E2791" s="50"/>
      <c r="F2791" s="403">
        <v>6001</v>
      </c>
      <c r="G2791" s="406">
        <v>13634</v>
      </c>
      <c r="H2791" s="50"/>
      <c r="I2791" s="50"/>
      <c r="J2791" s="306"/>
    </row>
    <row r="2792" spans="2:10">
      <c r="B2792" s="413"/>
      <c r="C2792" s="414"/>
      <c r="D2792" s="414"/>
      <c r="E2792" s="50"/>
      <c r="F2792" s="403">
        <v>6161</v>
      </c>
      <c r="G2792" s="406">
        <v>12540.5</v>
      </c>
      <c r="H2792" s="50"/>
      <c r="I2792" s="50"/>
      <c r="J2792" s="306"/>
    </row>
    <row r="2793" spans="2:10">
      <c r="B2793" s="413"/>
      <c r="C2793" s="414"/>
      <c r="D2793" s="414"/>
      <c r="E2793" s="50"/>
      <c r="F2793" s="403">
        <v>6231</v>
      </c>
      <c r="G2793" s="406">
        <v>16700.5</v>
      </c>
      <c r="H2793" s="50"/>
      <c r="I2793" s="50"/>
      <c r="J2793" s="306"/>
    </row>
    <row r="2794" spans="2:10">
      <c r="B2794" s="413"/>
      <c r="C2794" s="414"/>
      <c r="D2794" s="414"/>
      <c r="E2794" s="50"/>
      <c r="F2794" s="403">
        <v>6331</v>
      </c>
      <c r="G2794" s="406">
        <v>14264</v>
      </c>
      <c r="H2794" s="50"/>
      <c r="I2794" s="50"/>
      <c r="J2794" s="306"/>
    </row>
    <row r="2795" spans="2:10">
      <c r="B2795" s="413"/>
      <c r="C2795" s="414"/>
      <c r="D2795" s="414"/>
      <c r="E2795" s="50"/>
      <c r="F2795" s="403">
        <v>6332</v>
      </c>
      <c r="G2795" s="406">
        <v>14268</v>
      </c>
      <c r="H2795" s="50"/>
      <c r="I2795" s="50"/>
      <c r="J2795" s="306"/>
    </row>
    <row r="2796" spans="2:10">
      <c r="B2796" s="413"/>
      <c r="C2796" s="414"/>
      <c r="D2796" s="414"/>
      <c r="E2796" s="50"/>
      <c r="F2796" s="403">
        <v>6433</v>
      </c>
      <c r="G2796" s="406">
        <v>14008</v>
      </c>
      <c r="H2796" s="50"/>
      <c r="I2796" s="50"/>
      <c r="J2796" s="306"/>
    </row>
    <row r="2797" spans="2:10">
      <c r="B2797" s="413"/>
      <c r="C2797" s="414"/>
      <c r="D2797" s="414"/>
      <c r="E2797" s="50"/>
      <c r="F2797" s="403">
        <v>6531</v>
      </c>
      <c r="G2797" s="406">
        <v>12392.5</v>
      </c>
      <c r="H2797" s="50"/>
      <c r="I2797" s="50"/>
      <c r="J2797" s="306"/>
    </row>
    <row r="2798" spans="2:10">
      <c r="B2798" s="413"/>
      <c r="C2798" s="414"/>
      <c r="D2798" s="414"/>
      <c r="E2798" s="50"/>
      <c r="F2798" s="403">
        <v>6711</v>
      </c>
      <c r="G2798" s="406">
        <v>12295</v>
      </c>
      <c r="H2798" s="50"/>
      <c r="I2798" s="50"/>
      <c r="J2798" s="306"/>
    </row>
    <row r="2799" spans="2:10">
      <c r="B2799" s="413"/>
      <c r="C2799" s="414"/>
      <c r="D2799" s="414"/>
      <c r="E2799" s="50"/>
      <c r="F2799" s="403">
        <v>6712</v>
      </c>
      <c r="G2799" s="406">
        <v>12295</v>
      </c>
      <c r="H2799" s="50"/>
      <c r="I2799" s="50"/>
      <c r="J2799" s="306"/>
    </row>
    <row r="2800" spans="2:10">
      <c r="B2800" s="413"/>
      <c r="C2800" s="414"/>
      <c r="D2800" s="414"/>
      <c r="E2800" s="50"/>
      <c r="F2800" s="403">
        <v>6731</v>
      </c>
      <c r="G2800" s="406">
        <v>15895</v>
      </c>
      <c r="H2800" s="50"/>
      <c r="I2800" s="50"/>
      <c r="J2800" s="306"/>
    </row>
    <row r="2801" spans="2:10">
      <c r="B2801" s="413"/>
      <c r="C2801" s="414"/>
      <c r="D2801" s="414"/>
      <c r="E2801" s="50"/>
      <c r="F2801" s="403">
        <v>6798</v>
      </c>
      <c r="G2801" s="406">
        <v>16847</v>
      </c>
      <c r="H2801" s="50"/>
      <c r="I2801" s="50"/>
      <c r="J2801" s="306"/>
    </row>
    <row r="2802" spans="2:10">
      <c r="B2802" s="413"/>
      <c r="C2802" s="414"/>
      <c r="D2802" s="414"/>
      <c r="E2802" s="50"/>
      <c r="F2802" s="403">
        <v>6799</v>
      </c>
      <c r="G2802" s="406">
        <v>16847</v>
      </c>
      <c r="H2802" s="50"/>
      <c r="I2802" s="50"/>
      <c r="J2802" s="306"/>
    </row>
    <row r="2803" spans="2:10">
      <c r="B2803" s="413"/>
      <c r="C2803" s="414"/>
      <c r="D2803" s="414"/>
      <c r="E2803" s="50"/>
      <c r="F2803" s="403">
        <v>6800</v>
      </c>
      <c r="G2803" s="406">
        <v>15750</v>
      </c>
      <c r="H2803" s="50"/>
      <c r="I2803" s="50"/>
      <c r="J2803" s="306"/>
    </row>
    <row r="2804" spans="2:10">
      <c r="B2804" s="413"/>
      <c r="C2804" s="414"/>
      <c r="D2804" s="414"/>
      <c r="E2804" s="50"/>
      <c r="F2804" s="403">
        <v>6831</v>
      </c>
      <c r="G2804" s="406">
        <v>15750</v>
      </c>
      <c r="H2804" s="50"/>
      <c r="I2804" s="50"/>
      <c r="J2804" s="306"/>
    </row>
    <row r="2805" spans="2:10">
      <c r="B2805" s="413"/>
      <c r="C2805" s="414"/>
      <c r="D2805" s="414"/>
      <c r="E2805" s="50"/>
      <c r="F2805" s="403">
        <v>6832</v>
      </c>
      <c r="G2805" s="406">
        <v>15750</v>
      </c>
      <c r="H2805" s="50"/>
      <c r="I2805" s="50"/>
      <c r="J2805" s="306"/>
    </row>
    <row r="2806" spans="2:10">
      <c r="B2806" s="413"/>
      <c r="C2806" s="414"/>
      <c r="D2806" s="414"/>
      <c r="E2806" s="50"/>
      <c r="F2806" s="403">
        <v>6837</v>
      </c>
      <c r="G2806" s="406">
        <v>15750</v>
      </c>
      <c r="H2806" s="50"/>
      <c r="I2806" s="50"/>
      <c r="J2806" s="306"/>
    </row>
    <row r="2807" spans="2:10">
      <c r="B2807" s="413"/>
      <c r="C2807" s="414"/>
      <c r="D2807" s="414"/>
      <c r="E2807" s="50"/>
      <c r="F2807" s="403">
        <v>6838</v>
      </c>
      <c r="G2807" s="406">
        <v>15750</v>
      </c>
      <c r="H2807" s="50"/>
      <c r="I2807" s="50"/>
      <c r="J2807" s="306"/>
    </row>
    <row r="2808" spans="2:10">
      <c r="B2808" s="413"/>
      <c r="C2808" s="414"/>
      <c r="D2808" s="414"/>
      <c r="E2808" s="50"/>
      <c r="F2808" s="403">
        <v>6839</v>
      </c>
      <c r="G2808" s="406">
        <v>15750</v>
      </c>
      <c r="H2808" s="50"/>
      <c r="I2808" s="50"/>
      <c r="J2808" s="306"/>
    </row>
    <row r="2809" spans="2:10">
      <c r="B2809" s="413"/>
      <c r="C2809" s="414"/>
      <c r="D2809" s="414"/>
      <c r="E2809" s="50"/>
      <c r="F2809" s="403">
        <v>6840</v>
      </c>
      <c r="G2809" s="406">
        <v>15750</v>
      </c>
      <c r="H2809" s="50"/>
      <c r="I2809" s="50"/>
      <c r="J2809" s="306"/>
    </row>
    <row r="2810" spans="2:10">
      <c r="B2810" s="413"/>
      <c r="C2810" s="414"/>
      <c r="D2810" s="414"/>
      <c r="E2810" s="50"/>
      <c r="F2810" s="403">
        <v>6841</v>
      </c>
      <c r="G2810" s="406">
        <v>15750</v>
      </c>
      <c r="H2810" s="50"/>
      <c r="I2810" s="50"/>
      <c r="J2810" s="306"/>
    </row>
    <row r="2811" spans="2:10">
      <c r="B2811" s="413"/>
      <c r="C2811" s="414"/>
      <c r="D2811" s="414"/>
      <c r="E2811" s="50"/>
      <c r="F2811" s="403">
        <v>6842</v>
      </c>
      <c r="G2811" s="406">
        <v>15750</v>
      </c>
      <c r="H2811" s="50"/>
      <c r="I2811" s="50"/>
      <c r="J2811" s="306"/>
    </row>
    <row r="2812" spans="2:10">
      <c r="B2812" s="413"/>
      <c r="C2812" s="414"/>
      <c r="D2812" s="414"/>
      <c r="E2812" s="50"/>
      <c r="F2812" s="403">
        <v>6843</v>
      </c>
      <c r="G2812" s="406">
        <v>15750</v>
      </c>
      <c r="H2812" s="50"/>
      <c r="I2812" s="50"/>
      <c r="J2812" s="306"/>
    </row>
    <row r="2813" spans="2:10">
      <c r="B2813" s="413"/>
      <c r="C2813" s="414"/>
      <c r="D2813" s="414"/>
      <c r="E2813" s="50"/>
      <c r="F2813" s="403">
        <v>6844</v>
      </c>
      <c r="G2813" s="406">
        <v>15750</v>
      </c>
      <c r="H2813" s="50"/>
      <c r="I2813" s="50"/>
      <c r="J2813" s="306"/>
    </row>
    <row r="2814" spans="2:10">
      <c r="B2814" s="413"/>
      <c r="C2814" s="414"/>
      <c r="D2814" s="414"/>
      <c r="E2814" s="50"/>
      <c r="F2814" s="403">
        <v>6845</v>
      </c>
      <c r="G2814" s="406">
        <v>15750</v>
      </c>
      <c r="H2814" s="50"/>
      <c r="I2814" s="50"/>
      <c r="J2814" s="306"/>
    </row>
    <row r="2815" spans="2:10">
      <c r="B2815" s="413"/>
      <c r="C2815" s="414"/>
      <c r="D2815" s="414"/>
      <c r="E2815" s="50"/>
      <c r="F2815" s="403">
        <v>6846</v>
      </c>
      <c r="G2815" s="406">
        <v>15750</v>
      </c>
      <c r="H2815" s="50"/>
      <c r="I2815" s="50"/>
      <c r="J2815" s="306"/>
    </row>
    <row r="2816" spans="2:10">
      <c r="B2816" s="413"/>
      <c r="C2816" s="414"/>
      <c r="D2816" s="414"/>
      <c r="E2816" s="50"/>
      <c r="F2816" s="403">
        <v>6847</v>
      </c>
      <c r="G2816" s="406">
        <v>15750</v>
      </c>
      <c r="H2816" s="50"/>
      <c r="I2816" s="50"/>
      <c r="J2816" s="306"/>
    </row>
    <row r="2817" spans="2:10">
      <c r="B2817" s="413"/>
      <c r="C2817" s="414"/>
      <c r="D2817" s="414"/>
      <c r="E2817" s="50"/>
      <c r="F2817" s="403">
        <v>6848</v>
      </c>
      <c r="G2817" s="406">
        <v>15750</v>
      </c>
      <c r="H2817" s="50"/>
      <c r="I2817" s="50"/>
      <c r="J2817" s="306"/>
    </row>
    <row r="2818" spans="2:10">
      <c r="B2818" s="413"/>
      <c r="C2818" s="414"/>
      <c r="D2818" s="414"/>
      <c r="E2818" s="50"/>
      <c r="F2818" s="403">
        <v>6849</v>
      </c>
      <c r="G2818" s="406">
        <v>15750</v>
      </c>
      <c r="H2818" s="50"/>
      <c r="I2818" s="50"/>
      <c r="J2818" s="306"/>
    </row>
    <row r="2819" spans="2:10">
      <c r="B2819" s="413"/>
      <c r="C2819" s="414"/>
      <c r="D2819" s="414"/>
      <c r="E2819" s="50"/>
      <c r="F2819" s="403">
        <v>6850</v>
      </c>
      <c r="G2819" s="406">
        <v>15750</v>
      </c>
      <c r="H2819" s="50"/>
      <c r="I2819" s="50"/>
      <c r="J2819" s="306"/>
    </row>
    <row r="2820" spans="2:10">
      <c r="B2820" s="413"/>
      <c r="C2820" s="414"/>
      <c r="D2820" s="414"/>
      <c r="E2820" s="50"/>
      <c r="F2820" s="403">
        <v>6865</v>
      </c>
      <c r="G2820" s="406">
        <v>15750</v>
      </c>
      <c r="H2820" s="50"/>
      <c r="I2820" s="50"/>
      <c r="J2820" s="306"/>
    </row>
    <row r="2821" spans="2:10">
      <c r="B2821" s="413"/>
      <c r="C2821" s="414"/>
      <c r="D2821" s="414"/>
      <c r="E2821" s="50"/>
      <c r="F2821" s="403">
        <v>6872</v>
      </c>
      <c r="G2821" s="406">
        <v>15750</v>
      </c>
      <c r="H2821" s="50"/>
      <c r="I2821" s="50"/>
      <c r="J2821" s="306"/>
    </row>
    <row r="2822" spans="2:10">
      <c r="B2822" s="413"/>
      <c r="C2822" s="414"/>
      <c r="D2822" s="414"/>
      <c r="E2822" s="50"/>
      <c r="F2822" s="403">
        <v>6892</v>
      </c>
      <c r="G2822" s="406">
        <v>15750</v>
      </c>
      <c r="H2822" s="50"/>
      <c r="I2822" s="50"/>
      <c r="J2822" s="306"/>
    </row>
    <row r="2823" spans="2:10">
      <c r="B2823" s="413"/>
      <c r="C2823" s="414"/>
      <c r="D2823" s="414"/>
      <c r="E2823" s="50"/>
      <c r="F2823" s="403">
        <v>6901</v>
      </c>
      <c r="G2823" s="406">
        <v>15750</v>
      </c>
      <c r="H2823" s="50"/>
      <c r="I2823" s="50"/>
      <c r="J2823" s="306"/>
    </row>
    <row r="2824" spans="2:10">
      <c r="B2824" s="413"/>
      <c r="C2824" s="414"/>
      <c r="D2824" s="414"/>
      <c r="E2824" s="50"/>
      <c r="F2824" s="403">
        <v>6902</v>
      </c>
      <c r="G2824" s="406">
        <v>15750</v>
      </c>
      <c r="H2824" s="50"/>
      <c r="I2824" s="50"/>
      <c r="J2824" s="306"/>
    </row>
    <row r="2825" spans="2:10">
      <c r="B2825" s="413"/>
      <c r="C2825" s="414"/>
      <c r="D2825" s="414"/>
      <c r="E2825" s="50"/>
      <c r="F2825" s="403">
        <v>6903</v>
      </c>
      <c r="G2825" s="406">
        <v>15750</v>
      </c>
      <c r="H2825" s="50"/>
      <c r="I2825" s="50"/>
      <c r="J2825" s="306"/>
    </row>
    <row r="2826" spans="2:10">
      <c r="B2826" s="413"/>
      <c r="C2826" s="414"/>
      <c r="D2826" s="414"/>
      <c r="E2826" s="50"/>
      <c r="F2826" s="403">
        <v>6904</v>
      </c>
      <c r="G2826" s="406">
        <v>15750</v>
      </c>
      <c r="H2826" s="50"/>
      <c r="I2826" s="50"/>
      <c r="J2826" s="306"/>
    </row>
    <row r="2827" spans="2:10">
      <c r="B2827" s="413"/>
      <c r="C2827" s="414"/>
      <c r="D2827" s="414"/>
      <c r="E2827" s="50"/>
      <c r="F2827" s="403">
        <v>6905</v>
      </c>
      <c r="G2827" s="406">
        <v>15750</v>
      </c>
      <c r="H2827" s="50"/>
      <c r="I2827" s="50"/>
      <c r="J2827" s="306"/>
    </row>
    <row r="2828" spans="2:10">
      <c r="B2828" s="413"/>
      <c r="C2828" s="414"/>
      <c r="D2828" s="414"/>
      <c r="E2828" s="50"/>
      <c r="F2828" s="403">
        <v>6906</v>
      </c>
      <c r="G2828" s="406">
        <v>15750</v>
      </c>
      <c r="H2828" s="50"/>
      <c r="I2828" s="50"/>
      <c r="J2828" s="306"/>
    </row>
    <row r="2829" spans="2:10">
      <c r="B2829" s="413"/>
      <c r="C2829" s="414"/>
      <c r="D2829" s="414"/>
      <c r="E2829" s="50"/>
      <c r="F2829" s="403">
        <v>6909</v>
      </c>
      <c r="G2829" s="406">
        <v>15750</v>
      </c>
      <c r="H2829" s="50"/>
      <c r="I2829" s="50"/>
      <c r="J2829" s="306"/>
    </row>
    <row r="2830" spans="2:10">
      <c r="B2830" s="413"/>
      <c r="C2830" s="414"/>
      <c r="D2830" s="414"/>
      <c r="E2830" s="50"/>
      <c r="F2830" s="403">
        <v>6910</v>
      </c>
      <c r="G2830" s="406">
        <v>15750</v>
      </c>
      <c r="H2830" s="50"/>
      <c r="I2830" s="50"/>
      <c r="J2830" s="306"/>
    </row>
    <row r="2831" spans="2:10">
      <c r="B2831" s="413"/>
      <c r="C2831" s="414"/>
      <c r="D2831" s="414"/>
      <c r="E2831" s="50"/>
      <c r="F2831" s="403">
        <v>6911</v>
      </c>
      <c r="G2831" s="406">
        <v>15750</v>
      </c>
      <c r="H2831" s="50"/>
      <c r="I2831" s="50"/>
      <c r="J2831" s="306"/>
    </row>
    <row r="2832" spans="2:10">
      <c r="B2832" s="413"/>
      <c r="C2832" s="414"/>
      <c r="D2832" s="414"/>
      <c r="E2832" s="50"/>
      <c r="F2832" s="403">
        <v>6912</v>
      </c>
      <c r="G2832" s="406">
        <v>15750</v>
      </c>
      <c r="H2832" s="50"/>
      <c r="I2832" s="50"/>
      <c r="J2832" s="306"/>
    </row>
    <row r="2833" spans="2:10">
      <c r="B2833" s="413"/>
      <c r="C2833" s="414"/>
      <c r="D2833" s="414"/>
      <c r="E2833" s="50"/>
      <c r="F2833" s="403">
        <v>6913</v>
      </c>
      <c r="G2833" s="406">
        <v>15750</v>
      </c>
      <c r="H2833" s="50"/>
      <c r="I2833" s="50"/>
      <c r="J2833" s="306"/>
    </row>
    <row r="2834" spans="2:10">
      <c r="B2834" s="413"/>
      <c r="C2834" s="414"/>
      <c r="D2834" s="414"/>
      <c r="E2834" s="50"/>
      <c r="F2834" s="403">
        <v>6914</v>
      </c>
      <c r="G2834" s="406">
        <v>15750</v>
      </c>
      <c r="H2834" s="50"/>
      <c r="I2834" s="50"/>
      <c r="J2834" s="306"/>
    </row>
    <row r="2835" spans="2:10">
      <c r="B2835" s="413"/>
      <c r="C2835" s="414"/>
      <c r="D2835" s="414"/>
      <c r="E2835" s="50"/>
      <c r="F2835" s="403">
        <v>6915</v>
      </c>
      <c r="G2835" s="406">
        <v>15750</v>
      </c>
      <c r="H2835" s="50"/>
      <c r="I2835" s="50"/>
      <c r="J2835" s="306"/>
    </row>
    <row r="2836" spans="2:10">
      <c r="B2836" s="413"/>
      <c r="C2836" s="414"/>
      <c r="D2836" s="414"/>
      <c r="E2836" s="50"/>
      <c r="F2836" s="403">
        <v>6916</v>
      </c>
      <c r="G2836" s="406">
        <v>15750</v>
      </c>
      <c r="H2836" s="50"/>
      <c r="I2836" s="50"/>
      <c r="J2836" s="306"/>
    </row>
    <row r="2837" spans="2:10">
      <c r="B2837" s="413"/>
      <c r="C2837" s="414"/>
      <c r="D2837" s="414"/>
      <c r="E2837" s="50"/>
      <c r="F2837" s="403">
        <v>6917</v>
      </c>
      <c r="G2837" s="406">
        <v>15750</v>
      </c>
      <c r="H2837" s="50"/>
      <c r="I2837" s="50"/>
      <c r="J2837" s="306"/>
    </row>
    <row r="2838" spans="2:10">
      <c r="B2838" s="413"/>
      <c r="C2838" s="414"/>
      <c r="D2838" s="414"/>
      <c r="E2838" s="50"/>
      <c r="F2838" s="403">
        <v>6918</v>
      </c>
      <c r="G2838" s="406">
        <v>15750</v>
      </c>
      <c r="H2838" s="50"/>
      <c r="I2838" s="50"/>
      <c r="J2838" s="306"/>
    </row>
    <row r="2839" spans="2:10">
      <c r="B2839" s="413"/>
      <c r="C2839" s="414"/>
      <c r="D2839" s="414"/>
      <c r="E2839" s="50"/>
      <c r="F2839" s="403">
        <v>6919</v>
      </c>
      <c r="G2839" s="406">
        <v>15750</v>
      </c>
      <c r="H2839" s="50"/>
      <c r="I2839" s="50"/>
      <c r="J2839" s="306"/>
    </row>
    <row r="2840" spans="2:10">
      <c r="B2840" s="413"/>
      <c r="C2840" s="414"/>
      <c r="D2840" s="414"/>
      <c r="E2840" s="50"/>
      <c r="F2840" s="403">
        <v>6920</v>
      </c>
      <c r="G2840" s="406">
        <v>15750</v>
      </c>
      <c r="H2840" s="50"/>
      <c r="I2840" s="50"/>
      <c r="J2840" s="306"/>
    </row>
    <row r="2841" spans="2:10">
      <c r="B2841" s="413"/>
      <c r="C2841" s="414"/>
      <c r="D2841" s="414"/>
      <c r="E2841" s="50"/>
      <c r="F2841" s="403">
        <v>6921</v>
      </c>
      <c r="G2841" s="406">
        <v>15750</v>
      </c>
      <c r="H2841" s="50"/>
      <c r="I2841" s="50"/>
      <c r="J2841" s="306"/>
    </row>
    <row r="2842" spans="2:10">
      <c r="B2842" s="413"/>
      <c r="C2842" s="414"/>
      <c r="D2842" s="414"/>
      <c r="E2842" s="50"/>
      <c r="F2842" s="403">
        <v>6922</v>
      </c>
      <c r="G2842" s="406">
        <v>15750</v>
      </c>
      <c r="H2842" s="50"/>
      <c r="I2842" s="50"/>
      <c r="J2842" s="306"/>
    </row>
    <row r="2843" spans="2:10">
      <c r="B2843" s="413"/>
      <c r="C2843" s="414"/>
      <c r="D2843" s="414"/>
      <c r="E2843" s="50"/>
      <c r="F2843" s="403">
        <v>6923</v>
      </c>
      <c r="G2843" s="406">
        <v>15750</v>
      </c>
      <c r="H2843" s="50"/>
      <c r="I2843" s="50"/>
      <c r="J2843" s="306"/>
    </row>
    <row r="2844" spans="2:10">
      <c r="B2844" s="413"/>
      <c r="C2844" s="414"/>
      <c r="D2844" s="414"/>
      <c r="E2844" s="50"/>
      <c r="F2844" s="403">
        <v>6924</v>
      </c>
      <c r="G2844" s="406">
        <v>15750</v>
      </c>
      <c r="H2844" s="50"/>
      <c r="I2844" s="50"/>
      <c r="J2844" s="306"/>
    </row>
    <row r="2845" spans="2:10">
      <c r="B2845" s="413"/>
      <c r="C2845" s="414"/>
      <c r="D2845" s="414"/>
      <c r="E2845" s="50"/>
      <c r="F2845" s="403">
        <v>6925</v>
      </c>
      <c r="G2845" s="406">
        <v>15750</v>
      </c>
      <c r="H2845" s="50"/>
      <c r="I2845" s="50"/>
      <c r="J2845" s="306"/>
    </row>
    <row r="2846" spans="2:10">
      <c r="B2846" s="413"/>
      <c r="C2846" s="414"/>
      <c r="D2846" s="414"/>
      <c r="E2846" s="50"/>
      <c r="F2846" s="403">
        <v>6926</v>
      </c>
      <c r="G2846" s="406">
        <v>15750</v>
      </c>
      <c r="H2846" s="50"/>
      <c r="I2846" s="50"/>
      <c r="J2846" s="306"/>
    </row>
    <row r="2847" spans="2:10">
      <c r="B2847" s="413"/>
      <c r="C2847" s="414"/>
      <c r="D2847" s="414"/>
      <c r="E2847" s="50"/>
      <c r="F2847" s="403">
        <v>6929</v>
      </c>
      <c r="G2847" s="406">
        <v>15750</v>
      </c>
      <c r="H2847" s="50"/>
      <c r="I2847" s="50"/>
      <c r="J2847" s="306"/>
    </row>
    <row r="2848" spans="2:10">
      <c r="B2848" s="413"/>
      <c r="C2848" s="414"/>
      <c r="D2848" s="414"/>
      <c r="E2848" s="50"/>
      <c r="F2848" s="403">
        <v>6931</v>
      </c>
      <c r="G2848" s="406">
        <v>15750</v>
      </c>
      <c r="H2848" s="50"/>
      <c r="I2848" s="50"/>
      <c r="J2848" s="306"/>
    </row>
    <row r="2849" spans="2:10">
      <c r="B2849" s="413"/>
      <c r="C2849" s="414"/>
      <c r="D2849" s="414"/>
      <c r="E2849" s="50"/>
      <c r="F2849" s="403">
        <v>6932</v>
      </c>
      <c r="G2849" s="406">
        <v>15750</v>
      </c>
      <c r="H2849" s="50"/>
      <c r="I2849" s="50"/>
      <c r="J2849" s="306"/>
    </row>
    <row r="2850" spans="2:10">
      <c r="B2850" s="413"/>
      <c r="C2850" s="414"/>
      <c r="D2850" s="414"/>
      <c r="E2850" s="50"/>
      <c r="F2850" s="403">
        <v>6933</v>
      </c>
      <c r="G2850" s="406">
        <v>15750</v>
      </c>
      <c r="H2850" s="50"/>
      <c r="I2850" s="50"/>
      <c r="J2850" s="306"/>
    </row>
    <row r="2851" spans="2:10">
      <c r="B2851" s="413"/>
      <c r="C2851" s="414"/>
      <c r="D2851" s="414"/>
      <c r="E2851" s="50"/>
      <c r="F2851" s="403">
        <v>6934</v>
      </c>
      <c r="G2851" s="406">
        <v>15750</v>
      </c>
      <c r="H2851" s="50"/>
      <c r="I2851" s="50"/>
      <c r="J2851" s="306"/>
    </row>
    <row r="2852" spans="2:10">
      <c r="B2852" s="413"/>
      <c r="C2852" s="414"/>
      <c r="D2852" s="414"/>
      <c r="E2852" s="50"/>
      <c r="F2852" s="403">
        <v>6935</v>
      </c>
      <c r="G2852" s="406">
        <v>15750</v>
      </c>
      <c r="H2852" s="50"/>
      <c r="I2852" s="50"/>
      <c r="J2852" s="306"/>
    </row>
    <row r="2853" spans="2:10">
      <c r="B2853" s="413"/>
      <c r="C2853" s="414"/>
      <c r="D2853" s="414"/>
      <c r="E2853" s="50"/>
      <c r="F2853" s="403">
        <v>6936</v>
      </c>
      <c r="G2853" s="406">
        <v>15750</v>
      </c>
      <c r="H2853" s="50"/>
      <c r="I2853" s="50"/>
      <c r="J2853" s="306"/>
    </row>
    <row r="2854" spans="2:10">
      <c r="B2854" s="413"/>
      <c r="C2854" s="414"/>
      <c r="D2854" s="414"/>
      <c r="E2854" s="50"/>
      <c r="F2854" s="403">
        <v>6939</v>
      </c>
      <c r="G2854" s="406">
        <v>15750</v>
      </c>
      <c r="H2854" s="50"/>
      <c r="I2854" s="50"/>
      <c r="J2854" s="306"/>
    </row>
    <row r="2855" spans="2:10">
      <c r="B2855" s="413"/>
      <c r="C2855" s="414"/>
      <c r="D2855" s="414"/>
      <c r="E2855" s="50"/>
      <c r="F2855" s="403">
        <v>6941</v>
      </c>
      <c r="G2855" s="406">
        <v>15750</v>
      </c>
      <c r="H2855" s="50"/>
      <c r="I2855" s="50"/>
      <c r="J2855" s="306"/>
    </row>
    <row r="2856" spans="2:10">
      <c r="B2856" s="413"/>
      <c r="C2856" s="414"/>
      <c r="D2856" s="414"/>
      <c r="E2856" s="50"/>
      <c r="F2856" s="403">
        <v>6942</v>
      </c>
      <c r="G2856" s="406">
        <v>15750</v>
      </c>
      <c r="H2856" s="50"/>
      <c r="I2856" s="50"/>
      <c r="J2856" s="306"/>
    </row>
    <row r="2857" spans="2:10">
      <c r="B2857" s="413"/>
      <c r="C2857" s="414"/>
      <c r="D2857" s="414"/>
      <c r="E2857" s="50"/>
      <c r="F2857" s="403">
        <v>6943</v>
      </c>
      <c r="G2857" s="406">
        <v>15750</v>
      </c>
      <c r="H2857" s="50"/>
      <c r="I2857" s="50"/>
      <c r="J2857" s="306"/>
    </row>
    <row r="2858" spans="2:10">
      <c r="B2858" s="413"/>
      <c r="C2858" s="414"/>
      <c r="D2858" s="414"/>
      <c r="E2858" s="50"/>
      <c r="F2858" s="403">
        <v>6944</v>
      </c>
      <c r="G2858" s="406">
        <v>15750</v>
      </c>
      <c r="H2858" s="50"/>
      <c r="I2858" s="50"/>
      <c r="J2858" s="306"/>
    </row>
    <row r="2859" spans="2:10">
      <c r="B2859" s="413"/>
      <c r="C2859" s="414"/>
      <c r="D2859" s="414"/>
      <c r="E2859" s="50"/>
      <c r="F2859" s="403">
        <v>6945</v>
      </c>
      <c r="G2859" s="406">
        <v>15750</v>
      </c>
      <c r="H2859" s="50"/>
      <c r="I2859" s="50"/>
      <c r="J2859" s="306"/>
    </row>
    <row r="2860" spans="2:10">
      <c r="B2860" s="413"/>
      <c r="C2860" s="414"/>
      <c r="D2860" s="414"/>
      <c r="E2860" s="50"/>
      <c r="F2860" s="403">
        <v>6946</v>
      </c>
      <c r="G2860" s="406">
        <v>15750</v>
      </c>
      <c r="H2860" s="50"/>
      <c r="I2860" s="50"/>
      <c r="J2860" s="306"/>
    </row>
    <row r="2861" spans="2:10">
      <c r="B2861" s="413"/>
      <c r="C2861" s="414"/>
      <c r="D2861" s="414"/>
      <c r="E2861" s="50"/>
      <c r="F2861" s="403">
        <v>6947</v>
      </c>
      <c r="G2861" s="406">
        <v>15750</v>
      </c>
      <c r="H2861" s="50"/>
      <c r="I2861" s="50"/>
      <c r="J2861" s="306"/>
    </row>
    <row r="2862" spans="2:10">
      <c r="B2862" s="413"/>
      <c r="C2862" s="414"/>
      <c r="D2862" s="414"/>
      <c r="E2862" s="50"/>
      <c r="F2862" s="403">
        <v>6951</v>
      </c>
      <c r="G2862" s="406">
        <v>15750</v>
      </c>
      <c r="H2862" s="50"/>
      <c r="I2862" s="50"/>
      <c r="J2862" s="306"/>
    </row>
    <row r="2863" spans="2:10">
      <c r="B2863" s="413"/>
      <c r="C2863" s="414"/>
      <c r="D2863" s="414"/>
      <c r="E2863" s="50"/>
      <c r="F2863" s="403">
        <v>6952</v>
      </c>
      <c r="G2863" s="406">
        <v>15750</v>
      </c>
      <c r="H2863" s="50"/>
      <c r="I2863" s="50"/>
      <c r="J2863" s="306"/>
    </row>
    <row r="2864" spans="2:10">
      <c r="B2864" s="413"/>
      <c r="C2864" s="414"/>
      <c r="D2864" s="414"/>
      <c r="E2864" s="50"/>
      <c r="F2864" s="403">
        <v>6953</v>
      </c>
      <c r="G2864" s="406">
        <v>15750</v>
      </c>
      <c r="H2864" s="50"/>
      <c r="I2864" s="50"/>
      <c r="J2864" s="306"/>
    </row>
    <row r="2865" spans="2:10">
      <c r="B2865" s="413"/>
      <c r="C2865" s="414"/>
      <c r="D2865" s="414"/>
      <c r="E2865" s="50"/>
      <c r="F2865" s="403">
        <v>6954</v>
      </c>
      <c r="G2865" s="406">
        <v>15750</v>
      </c>
      <c r="H2865" s="50"/>
      <c r="I2865" s="50"/>
      <c r="J2865" s="306"/>
    </row>
    <row r="2866" spans="2:10">
      <c r="B2866" s="413"/>
      <c r="C2866" s="414"/>
      <c r="D2866" s="414"/>
      <c r="E2866" s="50"/>
      <c r="F2866" s="403">
        <v>6955</v>
      </c>
      <c r="G2866" s="406">
        <v>15750</v>
      </c>
      <c r="H2866" s="50"/>
      <c r="I2866" s="50"/>
      <c r="J2866" s="306"/>
    </row>
    <row r="2867" spans="2:10">
      <c r="B2867" s="413"/>
      <c r="C2867" s="414"/>
      <c r="D2867" s="414"/>
      <c r="E2867" s="50"/>
      <c r="F2867" s="403">
        <v>6956</v>
      </c>
      <c r="G2867" s="406">
        <v>15750</v>
      </c>
      <c r="H2867" s="50"/>
      <c r="I2867" s="50"/>
      <c r="J2867" s="306"/>
    </row>
    <row r="2868" spans="2:10">
      <c r="B2868" s="413"/>
      <c r="C2868" s="414"/>
      <c r="D2868" s="414"/>
      <c r="E2868" s="50"/>
      <c r="F2868" s="403">
        <v>6957</v>
      </c>
      <c r="G2868" s="406">
        <v>15750</v>
      </c>
      <c r="H2868" s="50"/>
      <c r="I2868" s="50"/>
      <c r="J2868" s="306"/>
    </row>
    <row r="2869" spans="2:10">
      <c r="B2869" s="413"/>
      <c r="C2869" s="414"/>
      <c r="D2869" s="414"/>
      <c r="E2869" s="50"/>
      <c r="F2869" s="403">
        <v>6959</v>
      </c>
      <c r="G2869" s="406">
        <v>15750</v>
      </c>
      <c r="H2869" s="50"/>
      <c r="I2869" s="50"/>
      <c r="J2869" s="306"/>
    </row>
    <row r="2870" spans="2:10">
      <c r="B2870" s="413"/>
      <c r="C2870" s="414"/>
      <c r="D2870" s="414"/>
      <c r="E2870" s="50"/>
      <c r="F2870" s="403">
        <v>6960</v>
      </c>
      <c r="G2870" s="406">
        <v>15750</v>
      </c>
      <c r="H2870" s="50"/>
      <c r="I2870" s="50"/>
      <c r="J2870" s="306"/>
    </row>
    <row r="2871" spans="2:10">
      <c r="B2871" s="413"/>
      <c r="C2871" s="414"/>
      <c r="D2871" s="414"/>
      <c r="E2871" s="50"/>
      <c r="F2871" s="403">
        <v>6961</v>
      </c>
      <c r="G2871" s="406">
        <v>15750</v>
      </c>
      <c r="H2871" s="50"/>
      <c r="I2871" s="50"/>
      <c r="J2871" s="306"/>
    </row>
    <row r="2872" spans="2:10">
      <c r="B2872" s="413"/>
      <c r="C2872" s="414"/>
      <c r="D2872" s="414"/>
      <c r="E2872" s="50"/>
      <c r="F2872" s="403">
        <v>6963</v>
      </c>
      <c r="G2872" s="406">
        <v>15750</v>
      </c>
      <c r="H2872" s="50"/>
      <c r="I2872" s="50"/>
      <c r="J2872" s="306"/>
    </row>
    <row r="2873" spans="2:10">
      <c r="B2873" s="413"/>
      <c r="C2873" s="414"/>
      <c r="D2873" s="414"/>
      <c r="E2873" s="50"/>
      <c r="F2873" s="403">
        <v>6964</v>
      </c>
      <c r="G2873" s="406">
        <v>15750</v>
      </c>
      <c r="H2873" s="50"/>
      <c r="I2873" s="50"/>
      <c r="J2873" s="306"/>
    </row>
    <row r="2874" spans="2:10">
      <c r="B2874" s="413"/>
      <c r="C2874" s="414"/>
      <c r="D2874" s="414"/>
      <c r="E2874" s="50"/>
      <c r="F2874" s="403">
        <v>6965</v>
      </c>
      <c r="G2874" s="406">
        <v>15750</v>
      </c>
      <c r="H2874" s="50"/>
      <c r="I2874" s="50"/>
      <c r="J2874" s="306"/>
    </row>
    <row r="2875" spans="2:10">
      <c r="B2875" s="413"/>
      <c r="C2875" s="414"/>
      <c r="D2875" s="414"/>
      <c r="E2875" s="50"/>
      <c r="F2875" s="403">
        <v>6966</v>
      </c>
      <c r="G2875" s="406">
        <v>15750</v>
      </c>
      <c r="H2875" s="50"/>
      <c r="I2875" s="50"/>
      <c r="J2875" s="306"/>
    </row>
    <row r="2876" spans="2:10">
      <c r="B2876" s="413"/>
      <c r="C2876" s="414"/>
      <c r="D2876" s="414"/>
      <c r="E2876" s="50"/>
      <c r="F2876" s="403">
        <v>6967</v>
      </c>
      <c r="G2876" s="406">
        <v>15750</v>
      </c>
      <c r="H2876" s="50"/>
      <c r="I2876" s="50"/>
      <c r="J2876" s="306"/>
    </row>
    <row r="2877" spans="2:10">
      <c r="B2877" s="413"/>
      <c r="C2877" s="414"/>
      <c r="D2877" s="414"/>
      <c r="E2877" s="50"/>
      <c r="F2877" s="403">
        <v>6968</v>
      </c>
      <c r="G2877" s="406">
        <v>15750</v>
      </c>
      <c r="H2877" s="50"/>
      <c r="I2877" s="50"/>
      <c r="J2877" s="306"/>
    </row>
    <row r="2878" spans="2:10">
      <c r="B2878" s="413"/>
      <c r="C2878" s="414"/>
      <c r="D2878" s="414"/>
      <c r="E2878" s="50"/>
      <c r="F2878" s="403">
        <v>6969</v>
      </c>
      <c r="G2878" s="406">
        <v>15750</v>
      </c>
      <c r="H2878" s="50"/>
      <c r="I2878" s="50"/>
      <c r="J2878" s="306"/>
    </row>
    <row r="2879" spans="2:10">
      <c r="B2879" s="413"/>
      <c r="C2879" s="414"/>
      <c r="D2879" s="414"/>
      <c r="E2879" s="50"/>
      <c r="F2879" s="403">
        <v>6970</v>
      </c>
      <c r="G2879" s="406">
        <v>15750</v>
      </c>
      <c r="H2879" s="50"/>
      <c r="I2879" s="50"/>
      <c r="J2879" s="306"/>
    </row>
    <row r="2880" spans="2:10">
      <c r="B2880" s="413"/>
      <c r="C2880" s="414"/>
      <c r="D2880" s="414"/>
      <c r="E2880" s="50"/>
      <c r="F2880" s="403">
        <v>6979</v>
      </c>
      <c r="G2880" s="406">
        <v>15750</v>
      </c>
      <c r="H2880" s="50"/>
      <c r="I2880" s="50"/>
      <c r="J2880" s="306"/>
    </row>
    <row r="2881" spans="2:10">
      <c r="B2881" s="413"/>
      <c r="C2881" s="414"/>
      <c r="D2881" s="414"/>
      <c r="E2881" s="50"/>
      <c r="F2881" s="403">
        <v>6981</v>
      </c>
      <c r="G2881" s="406">
        <v>15750</v>
      </c>
      <c r="H2881" s="50"/>
      <c r="I2881" s="50"/>
      <c r="J2881" s="306"/>
    </row>
    <row r="2882" spans="2:10">
      <c r="B2882" s="413"/>
      <c r="C2882" s="414"/>
      <c r="D2882" s="414"/>
      <c r="E2882" s="50"/>
      <c r="F2882" s="403">
        <v>6982</v>
      </c>
      <c r="G2882" s="406">
        <v>15750</v>
      </c>
      <c r="H2882" s="50"/>
      <c r="I2882" s="50"/>
      <c r="J2882" s="306"/>
    </row>
    <row r="2883" spans="2:10">
      <c r="B2883" s="413"/>
      <c r="C2883" s="414"/>
      <c r="D2883" s="414"/>
      <c r="E2883" s="50"/>
      <c r="F2883" s="403">
        <v>6983</v>
      </c>
      <c r="G2883" s="406">
        <v>15750</v>
      </c>
      <c r="H2883" s="50"/>
      <c r="I2883" s="50"/>
      <c r="J2883" s="306"/>
    </row>
    <row r="2884" spans="2:10">
      <c r="B2884" s="413"/>
      <c r="C2884" s="414"/>
      <c r="D2884" s="414"/>
      <c r="E2884" s="50"/>
      <c r="F2884" s="403">
        <v>6984</v>
      </c>
      <c r="G2884" s="406">
        <v>15750</v>
      </c>
      <c r="H2884" s="50"/>
      <c r="I2884" s="50"/>
      <c r="J2884" s="306"/>
    </row>
    <row r="2885" spans="2:10">
      <c r="B2885" s="413"/>
      <c r="C2885" s="414"/>
      <c r="D2885" s="414"/>
      <c r="E2885" s="50"/>
      <c r="F2885" s="403">
        <v>6985</v>
      </c>
      <c r="G2885" s="406">
        <v>15750</v>
      </c>
      <c r="H2885" s="50"/>
      <c r="I2885" s="50"/>
      <c r="J2885" s="306"/>
    </row>
    <row r="2886" spans="2:10">
      <c r="B2886" s="413"/>
      <c r="C2886" s="414"/>
      <c r="D2886" s="414"/>
      <c r="E2886" s="50"/>
      <c r="F2886" s="403">
        <v>6986</v>
      </c>
      <c r="G2886" s="406">
        <v>15750</v>
      </c>
      <c r="H2886" s="50"/>
      <c r="I2886" s="50"/>
      <c r="J2886" s="306"/>
    </row>
    <row r="2887" spans="2:10">
      <c r="B2887" s="413"/>
      <c r="C2887" s="414"/>
      <c r="D2887" s="414"/>
      <c r="E2887" s="50"/>
      <c r="F2887" s="403">
        <v>6987</v>
      </c>
      <c r="G2887" s="406">
        <v>15750</v>
      </c>
      <c r="H2887" s="50"/>
      <c r="I2887" s="50"/>
      <c r="J2887" s="306"/>
    </row>
    <row r="2888" spans="2:10">
      <c r="B2888" s="413"/>
      <c r="C2888" s="414"/>
      <c r="D2888" s="414"/>
      <c r="E2888" s="50"/>
      <c r="F2888" s="403">
        <v>6988</v>
      </c>
      <c r="G2888" s="406">
        <v>15750</v>
      </c>
      <c r="H2888" s="50"/>
      <c r="I2888" s="50"/>
      <c r="J2888" s="306"/>
    </row>
    <row r="2889" spans="2:10">
      <c r="B2889" s="413"/>
      <c r="C2889" s="414"/>
      <c r="D2889" s="414"/>
      <c r="E2889" s="50"/>
      <c r="F2889" s="403">
        <v>6989</v>
      </c>
      <c r="G2889" s="406">
        <v>15750</v>
      </c>
      <c r="H2889" s="50"/>
      <c r="I2889" s="50"/>
      <c r="J2889" s="306"/>
    </row>
    <row r="2890" spans="2:10">
      <c r="B2890" s="413"/>
      <c r="C2890" s="414"/>
      <c r="D2890" s="414"/>
      <c r="E2890" s="50"/>
      <c r="F2890" s="403">
        <v>6990</v>
      </c>
      <c r="G2890" s="406">
        <v>15750</v>
      </c>
      <c r="H2890" s="50"/>
      <c r="I2890" s="50"/>
      <c r="J2890" s="306"/>
    </row>
    <row r="2891" spans="2:10">
      <c r="B2891" s="413"/>
      <c r="C2891" s="414"/>
      <c r="D2891" s="414"/>
      <c r="E2891" s="50"/>
      <c r="F2891" s="403">
        <v>6991</v>
      </c>
      <c r="G2891" s="406">
        <v>15750</v>
      </c>
      <c r="H2891" s="50"/>
      <c r="I2891" s="50"/>
      <c r="J2891" s="306"/>
    </row>
    <row r="2892" spans="2:10">
      <c r="B2892" s="413"/>
      <c r="C2892" s="414"/>
      <c r="D2892" s="414"/>
      <c r="E2892" s="50"/>
      <c r="F2892" s="403">
        <v>6992</v>
      </c>
      <c r="G2892" s="406">
        <v>11898</v>
      </c>
      <c r="H2892" s="50"/>
      <c r="I2892" s="50"/>
      <c r="J2892" s="306"/>
    </row>
    <row r="2893" spans="2:10">
      <c r="B2893" s="413"/>
      <c r="C2893" s="414"/>
      <c r="D2893" s="414"/>
      <c r="E2893" s="50"/>
      <c r="F2893" s="403">
        <v>6997</v>
      </c>
      <c r="G2893" s="406">
        <v>11898</v>
      </c>
      <c r="H2893" s="50"/>
      <c r="I2893" s="50"/>
      <c r="J2893" s="306"/>
    </row>
    <row r="2894" spans="2:10">
      <c r="B2894" s="413"/>
      <c r="C2894" s="414"/>
      <c r="D2894" s="414"/>
      <c r="E2894" s="50"/>
      <c r="F2894" s="403">
        <v>7002</v>
      </c>
      <c r="G2894" s="406">
        <v>12129</v>
      </c>
      <c r="H2894" s="50"/>
      <c r="I2894" s="50"/>
      <c r="J2894" s="306"/>
    </row>
    <row r="2895" spans="2:10">
      <c r="B2895" s="413"/>
      <c r="C2895" s="414"/>
      <c r="D2895" s="414"/>
      <c r="E2895" s="50"/>
      <c r="F2895" s="403">
        <v>7006</v>
      </c>
      <c r="G2895" s="406">
        <v>11957</v>
      </c>
      <c r="H2895" s="50"/>
      <c r="I2895" s="50"/>
      <c r="J2895" s="306"/>
    </row>
    <row r="2896" spans="2:10">
      <c r="B2896" s="413"/>
      <c r="C2896" s="414"/>
      <c r="D2896" s="414"/>
      <c r="E2896" s="50"/>
      <c r="F2896" s="403">
        <v>7051</v>
      </c>
      <c r="G2896" s="406">
        <v>11241</v>
      </c>
      <c r="H2896" s="50"/>
      <c r="I2896" s="50"/>
      <c r="J2896" s="306"/>
    </row>
    <row r="2897" spans="2:10">
      <c r="B2897" s="413"/>
      <c r="C2897" s="414"/>
      <c r="D2897" s="414"/>
      <c r="E2897" s="50"/>
      <c r="F2897" s="403">
        <v>7151</v>
      </c>
      <c r="G2897" s="406">
        <v>11766.5</v>
      </c>
      <c r="H2897" s="50"/>
      <c r="I2897" s="50"/>
      <c r="J2897" s="306"/>
    </row>
    <row r="2898" spans="2:10">
      <c r="B2898" s="413"/>
      <c r="C2898" s="414"/>
      <c r="D2898" s="414"/>
      <c r="E2898" s="50"/>
      <c r="F2898" s="403">
        <v>7255</v>
      </c>
      <c r="G2898" s="406">
        <v>14700</v>
      </c>
      <c r="H2898" s="50"/>
      <c r="I2898" s="50"/>
      <c r="J2898" s="306"/>
    </row>
    <row r="2899" spans="2:10">
      <c r="B2899" s="413"/>
      <c r="C2899" s="414"/>
      <c r="D2899" s="414"/>
      <c r="E2899" s="50"/>
      <c r="F2899" s="403">
        <v>7256</v>
      </c>
      <c r="G2899" s="406">
        <v>13506.5</v>
      </c>
      <c r="H2899" s="50"/>
      <c r="I2899" s="50"/>
      <c r="J2899" s="306"/>
    </row>
    <row r="2900" spans="2:10">
      <c r="B2900" s="413"/>
      <c r="C2900" s="414"/>
      <c r="D2900" s="414"/>
      <c r="E2900" s="50"/>
      <c r="F2900" s="403">
        <v>7257</v>
      </c>
      <c r="G2900" s="406">
        <v>12313</v>
      </c>
      <c r="H2900" s="50"/>
      <c r="I2900" s="50"/>
      <c r="J2900" s="306"/>
    </row>
    <row r="2901" spans="2:10">
      <c r="B2901" s="413"/>
      <c r="C2901" s="414"/>
      <c r="D2901" s="414"/>
      <c r="E2901" s="50"/>
      <c r="F2901" s="403">
        <v>8001</v>
      </c>
      <c r="G2901" s="406">
        <v>14896</v>
      </c>
      <c r="H2901" s="50"/>
      <c r="I2901" s="50"/>
      <c r="J2901" s="306"/>
    </row>
    <row r="2902" spans="2:10">
      <c r="B2902" s="413"/>
      <c r="C2902" s="414"/>
      <c r="D2902" s="414"/>
      <c r="E2902" s="50"/>
      <c r="F2902" s="403">
        <v>8002</v>
      </c>
      <c r="G2902" s="406">
        <v>15750</v>
      </c>
      <c r="H2902" s="50"/>
      <c r="I2902" s="50"/>
      <c r="J2902" s="306"/>
    </row>
    <row r="2903" spans="2:10">
      <c r="B2903" s="413"/>
      <c r="C2903" s="414"/>
      <c r="D2903" s="414"/>
      <c r="E2903" s="50"/>
      <c r="F2903" s="403">
        <v>8003</v>
      </c>
      <c r="G2903" s="406">
        <v>15750</v>
      </c>
      <c r="H2903" s="50"/>
      <c r="I2903" s="50"/>
      <c r="J2903" s="306"/>
    </row>
    <row r="2904" spans="2:10">
      <c r="B2904" s="413"/>
      <c r="C2904" s="414"/>
      <c r="D2904" s="414"/>
      <c r="E2904" s="50"/>
      <c r="F2904" s="403">
        <v>8004</v>
      </c>
      <c r="G2904" s="406">
        <v>15750</v>
      </c>
      <c r="H2904" s="50"/>
      <c r="I2904" s="50"/>
      <c r="J2904" s="306"/>
    </row>
    <row r="2905" spans="2:10">
      <c r="B2905" s="413"/>
      <c r="C2905" s="414"/>
      <c r="D2905" s="414"/>
      <c r="E2905" s="50"/>
      <c r="F2905" s="403">
        <v>8005</v>
      </c>
      <c r="G2905" s="406">
        <v>15750</v>
      </c>
      <c r="H2905" s="50"/>
      <c r="I2905" s="50"/>
      <c r="J2905" s="306"/>
    </row>
    <row r="2906" spans="2:10">
      <c r="B2906" s="413"/>
      <c r="C2906" s="414"/>
      <c r="D2906" s="414"/>
      <c r="E2906" s="50"/>
      <c r="F2906" s="403">
        <v>8006</v>
      </c>
      <c r="G2906" s="406">
        <v>15750</v>
      </c>
      <c r="H2906" s="50"/>
      <c r="I2906" s="50"/>
      <c r="J2906" s="306"/>
    </row>
    <row r="2907" spans="2:10">
      <c r="B2907" s="413"/>
      <c r="C2907" s="414"/>
      <c r="D2907" s="414"/>
      <c r="E2907" s="50"/>
      <c r="F2907" s="403">
        <v>8007</v>
      </c>
      <c r="G2907" s="406">
        <v>15750</v>
      </c>
      <c r="H2907" s="50"/>
      <c r="I2907" s="50"/>
      <c r="J2907" s="306"/>
    </row>
    <row r="2908" spans="2:10">
      <c r="B2908" s="413"/>
      <c r="C2908" s="414"/>
      <c r="D2908" s="414"/>
      <c r="E2908" s="50"/>
      <c r="F2908" s="403">
        <v>8008</v>
      </c>
      <c r="G2908" s="406">
        <v>15750</v>
      </c>
      <c r="H2908" s="50"/>
      <c r="I2908" s="50"/>
      <c r="J2908" s="306"/>
    </row>
    <row r="2909" spans="2:10">
      <c r="B2909" s="413"/>
      <c r="C2909" s="414"/>
      <c r="D2909" s="414"/>
      <c r="E2909" s="50"/>
      <c r="F2909" s="403">
        <v>8009</v>
      </c>
      <c r="G2909" s="406">
        <v>15750</v>
      </c>
      <c r="H2909" s="50"/>
      <c r="I2909" s="50"/>
      <c r="J2909" s="306"/>
    </row>
    <row r="2910" spans="2:10">
      <c r="B2910" s="413"/>
      <c r="C2910" s="414"/>
      <c r="D2910" s="414"/>
      <c r="E2910" s="50"/>
      <c r="F2910" s="403">
        <v>8010</v>
      </c>
      <c r="G2910" s="406">
        <v>15750</v>
      </c>
      <c r="H2910" s="50"/>
      <c r="I2910" s="50"/>
      <c r="J2910" s="306"/>
    </row>
    <row r="2911" spans="2:10">
      <c r="B2911" s="413"/>
      <c r="C2911" s="414"/>
      <c r="D2911" s="414"/>
      <c r="E2911" s="50"/>
      <c r="F2911" s="403">
        <v>9020</v>
      </c>
      <c r="G2911" s="406">
        <v>15750</v>
      </c>
      <c r="H2911" s="50"/>
      <c r="I2911" s="50"/>
      <c r="J2911" s="306"/>
    </row>
    <row r="2912" spans="2:10">
      <c r="B2912" s="413"/>
      <c r="C2912" s="414"/>
      <c r="D2912" s="414"/>
      <c r="E2912" s="50"/>
      <c r="F2912" s="403">
        <v>9726</v>
      </c>
      <c r="G2912" s="406">
        <v>15750</v>
      </c>
      <c r="H2912" s="50"/>
      <c r="I2912" s="50"/>
      <c r="J2912" s="306"/>
    </row>
    <row r="2913" spans="2:10">
      <c r="B2913" s="413"/>
      <c r="C2913" s="414"/>
      <c r="D2913" s="414"/>
      <c r="E2913" s="50"/>
      <c r="F2913" s="403">
        <v>9729</v>
      </c>
      <c r="G2913" s="406">
        <v>15750</v>
      </c>
      <c r="H2913" s="50"/>
      <c r="I2913" s="50"/>
      <c r="J2913" s="306"/>
    </row>
    <row r="2914" spans="2:10" ht="15.75" thickBot="1">
      <c r="B2914" s="415"/>
      <c r="C2914" s="416"/>
      <c r="D2914" s="416"/>
      <c r="E2914" s="329"/>
      <c r="F2914" s="410">
        <v>9999</v>
      </c>
      <c r="G2914" s="417">
        <v>15750</v>
      </c>
      <c r="H2914" s="329"/>
      <c r="I2914" s="329"/>
      <c r="J2914" s="330"/>
    </row>
  </sheetData>
  <mergeCells count="4">
    <mergeCell ref="B3:J3"/>
    <mergeCell ref="B4:D4"/>
    <mergeCell ref="F4:G4"/>
    <mergeCell ref="H4:J4"/>
  </mergeCells>
  <dataValidations count="1">
    <dataValidation type="list" allowBlank="1" showInputMessage="1" showErrorMessage="1" sqref="N6">
      <formula1>"Male,Female,KM,Ratio"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>
    <tabColor theme="2" tint="-0.499984740745262"/>
  </sheetPr>
  <dimension ref="C2:Z112"/>
  <sheetViews>
    <sheetView showGridLines="0" topLeftCell="A7" zoomScale="70" zoomScaleNormal="70" workbookViewId="0">
      <selection activeCell="D7" sqref="D7:N7"/>
    </sheetView>
  </sheetViews>
  <sheetFormatPr defaultColWidth="8.85546875" defaultRowHeight="15"/>
  <cols>
    <col min="4" max="4" width="19.28515625" customWidth="1"/>
    <col min="5" max="5" width="19" style="453" customWidth="1"/>
    <col min="6" max="6" width="17" customWidth="1"/>
    <col min="7" max="8" width="13" customWidth="1"/>
    <col min="9" max="9" width="19.7109375" bestFit="1" customWidth="1"/>
    <col min="10" max="10" width="12.42578125" bestFit="1" customWidth="1"/>
    <col min="11" max="11" width="16" bestFit="1" customWidth="1"/>
    <col min="12" max="12" width="13" customWidth="1"/>
    <col min="13" max="13" width="14.85546875" style="63" bestFit="1" customWidth="1"/>
    <col min="14" max="14" width="17.42578125" bestFit="1" customWidth="1"/>
    <col min="15" max="15" width="8.85546875" style="50"/>
    <col min="16" max="16" width="27.5703125" style="50" customWidth="1"/>
    <col min="17" max="26" width="8.85546875" style="50"/>
  </cols>
  <sheetData>
    <row r="2" spans="3:19">
      <c r="D2" s="384"/>
      <c r="E2" s="419"/>
      <c r="H2" s="420"/>
      <c r="I2" s="420"/>
      <c r="J2" s="420"/>
    </row>
    <row r="3" spans="3:19">
      <c r="C3" s="2"/>
      <c r="D3" s="421"/>
      <c r="E3" s="422"/>
      <c r="G3" s="423"/>
      <c r="H3" s="424"/>
      <c r="I3" s="424"/>
      <c r="J3" s="424"/>
    </row>
    <row r="4" spans="3:19">
      <c r="C4" s="2"/>
      <c r="D4" s="421"/>
      <c r="E4" s="425"/>
      <c r="G4" s="426"/>
      <c r="H4" s="426"/>
      <c r="I4" s="426"/>
      <c r="J4" s="426"/>
      <c r="K4" s="426"/>
      <c r="L4" s="426"/>
      <c r="M4" s="426"/>
    </row>
    <row r="5" spans="3:19" ht="15.75" thickBot="1">
      <c r="C5" s="2"/>
      <c r="D5" s="421"/>
      <c r="E5" s="425"/>
      <c r="G5" s="426"/>
      <c r="H5" s="426"/>
      <c r="I5" s="426"/>
      <c r="J5" s="426"/>
      <c r="K5" s="426"/>
      <c r="L5" s="426"/>
      <c r="M5" s="426"/>
    </row>
    <row r="6" spans="3:19">
      <c r="D6" s="822" t="s">
        <v>2826</v>
      </c>
      <c r="E6" s="823"/>
      <c r="F6" s="823"/>
      <c r="G6" s="823"/>
      <c r="H6" s="823"/>
      <c r="I6" s="823"/>
      <c r="J6" s="823"/>
      <c r="K6" s="823"/>
      <c r="L6" s="823"/>
      <c r="M6" s="823"/>
      <c r="N6" s="824"/>
    </row>
    <row r="7" spans="3:19" ht="50.25" customHeight="1">
      <c r="D7" s="919" t="str">
        <f>LE_DECLARE_TABLE("tSplitLE","",D8:N86)</f>
        <v>Declared table TSPLITLE</v>
      </c>
      <c r="E7" s="920"/>
      <c r="F7" s="920"/>
      <c r="G7" s="920"/>
      <c r="H7" s="920"/>
      <c r="I7" s="920"/>
      <c r="J7" s="920"/>
      <c r="K7" s="920"/>
      <c r="L7" s="920"/>
      <c r="M7" s="920"/>
      <c r="N7" s="921"/>
    </row>
    <row r="8" spans="3:19" ht="15.75" thickBot="1">
      <c r="D8" s="427"/>
      <c r="E8" s="428" t="s">
        <v>2827</v>
      </c>
      <c r="F8" s="429" t="s">
        <v>239</v>
      </c>
      <c r="G8" s="430" t="s">
        <v>2828</v>
      </c>
      <c r="H8" s="428" t="s">
        <v>2829</v>
      </c>
      <c r="I8" s="428" t="s">
        <v>2830</v>
      </c>
      <c r="J8" s="428" t="s">
        <v>2831</v>
      </c>
      <c r="K8" s="428" t="s">
        <v>2832</v>
      </c>
      <c r="L8" s="428" t="s">
        <v>2833</v>
      </c>
      <c r="M8" s="428" t="s">
        <v>2834</v>
      </c>
      <c r="N8" s="431" t="s">
        <v>2835</v>
      </c>
      <c r="O8" s="432"/>
      <c r="P8" s="432"/>
      <c r="Q8" s="432"/>
      <c r="R8" s="432"/>
      <c r="S8" s="432"/>
    </row>
    <row r="9" spans="3:19">
      <c r="D9" s="433">
        <v>18</v>
      </c>
      <c r="E9" s="434">
        <v>0.2</v>
      </c>
      <c r="F9" s="435">
        <v>0</v>
      </c>
      <c r="G9" s="434">
        <v>1</v>
      </c>
      <c r="H9" s="434">
        <v>1</v>
      </c>
      <c r="I9" s="436">
        <v>0.5</v>
      </c>
      <c r="J9" s="434">
        <v>0.25</v>
      </c>
      <c r="K9" s="434">
        <v>1</v>
      </c>
      <c r="L9" s="434">
        <v>0.5</v>
      </c>
      <c r="M9" s="437">
        <v>0.5</v>
      </c>
      <c r="N9" s="438">
        <v>1</v>
      </c>
      <c r="O9" s="439"/>
    </row>
    <row r="10" spans="3:19">
      <c r="D10" s="440">
        <v>19</v>
      </c>
      <c r="E10" s="441">
        <v>0.2</v>
      </c>
      <c r="F10" s="439">
        <v>0</v>
      </c>
      <c r="G10" s="441">
        <v>1</v>
      </c>
      <c r="H10" s="441">
        <v>1</v>
      </c>
      <c r="I10" s="442">
        <v>0.5</v>
      </c>
      <c r="J10" s="441">
        <v>0.25</v>
      </c>
      <c r="K10" s="441">
        <v>1</v>
      </c>
      <c r="L10" s="441">
        <v>0.5</v>
      </c>
      <c r="M10" s="443">
        <v>0.5</v>
      </c>
      <c r="N10" s="444">
        <v>1</v>
      </c>
      <c r="O10" s="439"/>
    </row>
    <row r="11" spans="3:19">
      <c r="D11" s="440">
        <v>20</v>
      </c>
      <c r="E11" s="441">
        <v>0.2</v>
      </c>
      <c r="F11" s="439">
        <v>0</v>
      </c>
      <c r="G11" s="441">
        <v>1</v>
      </c>
      <c r="H11" s="441">
        <v>1</v>
      </c>
      <c r="I11" s="442">
        <v>0.5</v>
      </c>
      <c r="J11" s="441">
        <v>0.25</v>
      </c>
      <c r="K11" s="441">
        <v>1</v>
      </c>
      <c r="L11" s="441">
        <v>0.5</v>
      </c>
      <c r="M11" s="443">
        <v>0.5</v>
      </c>
      <c r="N11" s="444">
        <v>1</v>
      </c>
      <c r="O11" s="439"/>
    </row>
    <row r="12" spans="3:19">
      <c r="D12" s="440">
        <v>21</v>
      </c>
      <c r="E12" s="441">
        <v>0.2</v>
      </c>
      <c r="F12" s="439">
        <v>0</v>
      </c>
      <c r="G12" s="441">
        <v>1</v>
      </c>
      <c r="H12" s="441">
        <v>1</v>
      </c>
      <c r="I12" s="442">
        <v>0.5</v>
      </c>
      <c r="J12" s="441">
        <v>0.25</v>
      </c>
      <c r="K12" s="441">
        <v>1</v>
      </c>
      <c r="L12" s="441">
        <v>0.5</v>
      </c>
      <c r="M12" s="443">
        <v>0.5</v>
      </c>
      <c r="N12" s="444">
        <v>1</v>
      </c>
      <c r="O12" s="439"/>
    </row>
    <row r="13" spans="3:19">
      <c r="D13" s="440">
        <v>22</v>
      </c>
      <c r="E13" s="441">
        <v>0.2</v>
      </c>
      <c r="F13" s="439">
        <v>0</v>
      </c>
      <c r="G13" s="441">
        <v>1</v>
      </c>
      <c r="H13" s="441">
        <v>1</v>
      </c>
      <c r="I13" s="442">
        <v>0.5</v>
      </c>
      <c r="J13" s="441">
        <v>0.25</v>
      </c>
      <c r="K13" s="441">
        <v>1</v>
      </c>
      <c r="L13" s="441">
        <v>0.5</v>
      </c>
      <c r="M13" s="443">
        <v>0.5</v>
      </c>
      <c r="N13" s="444">
        <v>1</v>
      </c>
      <c r="O13" s="439"/>
    </row>
    <row r="14" spans="3:19">
      <c r="D14" s="440">
        <v>23</v>
      </c>
      <c r="E14" s="441">
        <v>0.2</v>
      </c>
      <c r="F14" s="439">
        <v>0</v>
      </c>
      <c r="G14" s="441">
        <v>1</v>
      </c>
      <c r="H14" s="441">
        <v>1</v>
      </c>
      <c r="I14" s="442">
        <v>0.5</v>
      </c>
      <c r="J14" s="441">
        <v>0.25</v>
      </c>
      <c r="K14" s="441">
        <v>1</v>
      </c>
      <c r="L14" s="441">
        <v>0.5</v>
      </c>
      <c r="M14" s="443">
        <v>0.5</v>
      </c>
      <c r="N14" s="444">
        <v>1</v>
      </c>
      <c r="O14" s="439"/>
    </row>
    <row r="15" spans="3:19">
      <c r="D15" s="440">
        <v>24</v>
      </c>
      <c r="E15" s="441">
        <v>0.2</v>
      </c>
      <c r="F15" s="439">
        <v>0</v>
      </c>
      <c r="G15" s="441">
        <v>1</v>
      </c>
      <c r="H15" s="441">
        <v>1</v>
      </c>
      <c r="I15" s="442">
        <v>0.5</v>
      </c>
      <c r="J15" s="441">
        <v>0.25</v>
      </c>
      <c r="K15" s="441">
        <v>1</v>
      </c>
      <c r="L15" s="441">
        <v>0.5</v>
      </c>
      <c r="M15" s="443">
        <v>0.5</v>
      </c>
      <c r="N15" s="444">
        <v>1</v>
      </c>
      <c r="O15" s="439"/>
    </row>
    <row r="16" spans="3:19">
      <c r="D16" s="440">
        <v>25</v>
      </c>
      <c r="E16" s="441">
        <v>0.2</v>
      </c>
      <c r="F16" s="439">
        <v>0</v>
      </c>
      <c r="G16" s="441">
        <v>1</v>
      </c>
      <c r="H16" s="441">
        <v>1</v>
      </c>
      <c r="I16" s="442">
        <v>0.5</v>
      </c>
      <c r="J16" s="441">
        <v>0.25</v>
      </c>
      <c r="K16" s="441">
        <v>1</v>
      </c>
      <c r="L16" s="441">
        <v>0.5</v>
      </c>
      <c r="M16" s="443">
        <v>0.5</v>
      </c>
      <c r="N16" s="444">
        <v>1</v>
      </c>
      <c r="O16" s="439"/>
    </row>
    <row r="17" spans="4:15">
      <c r="D17" s="440">
        <v>26</v>
      </c>
      <c r="E17" s="441">
        <v>0.2</v>
      </c>
      <c r="F17" s="439">
        <v>0</v>
      </c>
      <c r="G17" s="441">
        <v>1</v>
      </c>
      <c r="H17" s="441">
        <v>1</v>
      </c>
      <c r="I17" s="442">
        <v>0.5</v>
      </c>
      <c r="J17" s="441">
        <v>0.25</v>
      </c>
      <c r="K17" s="441">
        <v>1</v>
      </c>
      <c r="L17" s="441">
        <v>0.5</v>
      </c>
      <c r="M17" s="443">
        <v>0.5</v>
      </c>
      <c r="N17" s="444">
        <v>1</v>
      </c>
      <c r="O17" s="439"/>
    </row>
    <row r="18" spans="4:15">
      <c r="D18" s="440">
        <v>27</v>
      </c>
      <c r="E18" s="441">
        <v>0.2</v>
      </c>
      <c r="F18" s="439">
        <v>0</v>
      </c>
      <c r="G18" s="441">
        <v>1</v>
      </c>
      <c r="H18" s="441">
        <v>1</v>
      </c>
      <c r="I18" s="442">
        <v>0.5</v>
      </c>
      <c r="J18" s="441">
        <v>0.25</v>
      </c>
      <c r="K18" s="441">
        <v>1</v>
      </c>
      <c r="L18" s="441">
        <v>0.5</v>
      </c>
      <c r="M18" s="443">
        <v>0.5</v>
      </c>
      <c r="N18" s="445">
        <v>1</v>
      </c>
      <c r="O18" s="439"/>
    </row>
    <row r="19" spans="4:15">
      <c r="D19" s="440">
        <v>28</v>
      </c>
      <c r="E19" s="441">
        <v>0.2</v>
      </c>
      <c r="F19" s="439">
        <v>0</v>
      </c>
      <c r="G19" s="441">
        <v>1</v>
      </c>
      <c r="H19" s="441">
        <v>1</v>
      </c>
      <c r="I19" s="442">
        <v>0.5</v>
      </c>
      <c r="J19" s="441">
        <v>0.25</v>
      </c>
      <c r="K19" s="441">
        <v>1</v>
      </c>
      <c r="L19" s="441">
        <v>0.5</v>
      </c>
      <c r="M19" s="443">
        <v>0.5</v>
      </c>
      <c r="N19" s="445">
        <v>0</v>
      </c>
      <c r="O19" s="439"/>
    </row>
    <row r="20" spans="4:15">
      <c r="D20" s="440">
        <v>29</v>
      </c>
      <c r="E20" s="441">
        <v>0.2</v>
      </c>
      <c r="F20" s="439">
        <v>0</v>
      </c>
      <c r="G20" s="441">
        <v>1</v>
      </c>
      <c r="H20" s="441">
        <v>1</v>
      </c>
      <c r="I20" s="442">
        <v>0.5</v>
      </c>
      <c r="J20" s="441">
        <v>0.25</v>
      </c>
      <c r="K20" s="441">
        <v>1</v>
      </c>
      <c r="L20" s="441">
        <v>0.5</v>
      </c>
      <c r="M20" s="443">
        <v>0.5</v>
      </c>
      <c r="N20" s="446">
        <v>0</v>
      </c>
      <c r="O20" s="439"/>
    </row>
    <row r="21" spans="4:15">
      <c r="D21" s="440">
        <v>30</v>
      </c>
      <c r="E21" s="441">
        <v>0.2</v>
      </c>
      <c r="F21" s="439">
        <v>0</v>
      </c>
      <c r="G21" s="441">
        <v>1</v>
      </c>
      <c r="H21" s="441">
        <v>1</v>
      </c>
      <c r="I21" s="442">
        <v>0.5</v>
      </c>
      <c r="J21" s="441">
        <v>0.25</v>
      </c>
      <c r="K21" s="441">
        <v>1</v>
      </c>
      <c r="L21" s="441">
        <v>0.5</v>
      </c>
      <c r="M21" s="443">
        <v>0.5</v>
      </c>
      <c r="N21" s="446">
        <v>0</v>
      </c>
      <c r="O21" s="439"/>
    </row>
    <row r="22" spans="4:15">
      <c r="D22" s="440">
        <v>31</v>
      </c>
      <c r="E22" s="441">
        <v>0.2</v>
      </c>
      <c r="F22" s="439">
        <v>0</v>
      </c>
      <c r="G22" s="441">
        <v>1</v>
      </c>
      <c r="H22" s="441">
        <v>1</v>
      </c>
      <c r="I22" s="442">
        <v>0.5</v>
      </c>
      <c r="J22" s="441">
        <v>0.25</v>
      </c>
      <c r="K22" s="441">
        <v>1</v>
      </c>
      <c r="L22" s="441">
        <v>0.5</v>
      </c>
      <c r="M22" s="443">
        <v>0.5</v>
      </c>
      <c r="N22" s="446">
        <v>0</v>
      </c>
      <c r="O22" s="439"/>
    </row>
    <row r="23" spans="4:15">
      <c r="D23" s="440">
        <v>32</v>
      </c>
      <c r="E23" s="441">
        <v>0.2</v>
      </c>
      <c r="F23" s="439">
        <v>0</v>
      </c>
      <c r="G23" s="441">
        <v>1</v>
      </c>
      <c r="H23" s="441">
        <v>1</v>
      </c>
      <c r="I23" s="442">
        <v>0.5</v>
      </c>
      <c r="J23" s="441">
        <v>0.25</v>
      </c>
      <c r="K23" s="441">
        <v>1</v>
      </c>
      <c r="L23" s="441">
        <v>0.5</v>
      </c>
      <c r="M23" s="443">
        <v>0.5</v>
      </c>
      <c r="N23" s="446">
        <v>0</v>
      </c>
      <c r="O23" s="439"/>
    </row>
    <row r="24" spans="4:15">
      <c r="D24" s="440">
        <v>33</v>
      </c>
      <c r="E24" s="441">
        <v>0.2</v>
      </c>
      <c r="F24" s="439">
        <v>0</v>
      </c>
      <c r="G24" s="441">
        <v>1</v>
      </c>
      <c r="H24" s="441">
        <v>1</v>
      </c>
      <c r="I24" s="442">
        <v>0.5</v>
      </c>
      <c r="J24" s="441">
        <v>0.25</v>
      </c>
      <c r="K24" s="441">
        <v>1</v>
      </c>
      <c r="L24" s="441">
        <v>0.5</v>
      </c>
      <c r="M24" s="443">
        <v>0.5</v>
      </c>
      <c r="N24" s="446">
        <v>0</v>
      </c>
      <c r="O24" s="439"/>
    </row>
    <row r="25" spans="4:15">
      <c r="D25" s="440">
        <v>34</v>
      </c>
      <c r="E25" s="441">
        <v>0.2</v>
      </c>
      <c r="F25" s="439">
        <v>0</v>
      </c>
      <c r="G25" s="441">
        <v>1</v>
      </c>
      <c r="H25" s="441">
        <v>1</v>
      </c>
      <c r="I25" s="442">
        <v>0.5</v>
      </c>
      <c r="J25" s="441">
        <v>0.25</v>
      </c>
      <c r="K25" s="441">
        <v>1</v>
      </c>
      <c r="L25" s="441">
        <v>0.5</v>
      </c>
      <c r="M25" s="443">
        <v>0.5</v>
      </c>
      <c r="N25" s="447">
        <v>0</v>
      </c>
      <c r="O25" s="439"/>
    </row>
    <row r="26" spans="4:15">
      <c r="D26" s="440">
        <v>35</v>
      </c>
      <c r="E26" s="441">
        <v>0.2</v>
      </c>
      <c r="F26" s="439">
        <v>0</v>
      </c>
      <c r="G26" s="441">
        <v>1</v>
      </c>
      <c r="H26" s="441">
        <v>1</v>
      </c>
      <c r="I26" s="442">
        <v>0.5</v>
      </c>
      <c r="J26" s="441">
        <v>0.25</v>
      </c>
      <c r="K26" s="441">
        <v>1</v>
      </c>
      <c r="L26" s="441">
        <v>0.5</v>
      </c>
      <c r="M26" s="443">
        <v>0.5</v>
      </c>
      <c r="N26" s="446">
        <v>0</v>
      </c>
      <c r="O26" s="439"/>
    </row>
    <row r="27" spans="4:15">
      <c r="D27" s="440">
        <v>36</v>
      </c>
      <c r="E27" s="441">
        <v>0.2</v>
      </c>
      <c r="F27" s="439">
        <v>0</v>
      </c>
      <c r="G27" s="441">
        <v>1</v>
      </c>
      <c r="H27" s="441">
        <v>1</v>
      </c>
      <c r="I27" s="442">
        <v>0.5</v>
      </c>
      <c r="J27" s="441">
        <v>0.25</v>
      </c>
      <c r="K27" s="441">
        <v>1</v>
      </c>
      <c r="L27" s="441">
        <v>0.5</v>
      </c>
      <c r="M27" s="443">
        <v>0.5</v>
      </c>
      <c r="N27" s="446">
        <v>0</v>
      </c>
      <c r="O27" s="439"/>
    </row>
    <row r="28" spans="4:15">
      <c r="D28" s="440">
        <v>37</v>
      </c>
      <c r="E28" s="441">
        <v>0.2</v>
      </c>
      <c r="F28" s="439">
        <v>0</v>
      </c>
      <c r="G28" s="441">
        <v>1</v>
      </c>
      <c r="H28" s="441">
        <v>1</v>
      </c>
      <c r="I28" s="442">
        <v>0.5</v>
      </c>
      <c r="J28" s="441">
        <v>0.25</v>
      </c>
      <c r="K28" s="441">
        <v>1</v>
      </c>
      <c r="L28" s="441">
        <v>0.5</v>
      </c>
      <c r="M28" s="443">
        <v>0.5</v>
      </c>
      <c r="N28" s="446">
        <v>0</v>
      </c>
      <c r="O28" s="439"/>
    </row>
    <row r="29" spans="4:15">
      <c r="D29" s="440">
        <v>38</v>
      </c>
      <c r="E29" s="441">
        <v>0.2</v>
      </c>
      <c r="F29" s="439">
        <v>0</v>
      </c>
      <c r="G29" s="441">
        <v>1</v>
      </c>
      <c r="H29" s="441">
        <v>1</v>
      </c>
      <c r="I29" s="442">
        <v>0.5</v>
      </c>
      <c r="J29" s="441">
        <v>0.25</v>
      </c>
      <c r="K29" s="441">
        <v>1</v>
      </c>
      <c r="L29" s="441">
        <v>0.5</v>
      </c>
      <c r="M29" s="443">
        <v>0.5</v>
      </c>
      <c r="N29" s="446">
        <v>0</v>
      </c>
      <c r="O29" s="439"/>
    </row>
    <row r="30" spans="4:15">
      <c r="D30" s="440">
        <v>39</v>
      </c>
      <c r="E30" s="441">
        <v>0.2</v>
      </c>
      <c r="F30" s="439">
        <v>0</v>
      </c>
      <c r="G30" s="441">
        <v>1</v>
      </c>
      <c r="H30" s="441">
        <v>1</v>
      </c>
      <c r="I30" s="442">
        <v>0.5</v>
      </c>
      <c r="J30" s="441">
        <v>0.25</v>
      </c>
      <c r="K30" s="441">
        <v>1</v>
      </c>
      <c r="L30" s="441">
        <v>0.5</v>
      </c>
      <c r="M30" s="443">
        <v>0.5</v>
      </c>
      <c r="N30" s="446">
        <v>0</v>
      </c>
      <c r="O30" s="439"/>
    </row>
    <row r="31" spans="4:15">
      <c r="D31" s="440">
        <v>40</v>
      </c>
      <c r="E31" s="441">
        <v>0.2</v>
      </c>
      <c r="F31" s="439">
        <v>0</v>
      </c>
      <c r="G31" s="441">
        <v>1</v>
      </c>
      <c r="H31" s="441">
        <v>1</v>
      </c>
      <c r="I31" s="442">
        <v>0.5</v>
      </c>
      <c r="J31" s="441">
        <v>0.25</v>
      </c>
      <c r="K31" s="441">
        <v>1</v>
      </c>
      <c r="L31" s="441">
        <v>0.5</v>
      </c>
      <c r="M31" s="443">
        <v>0.5</v>
      </c>
      <c r="N31" s="446">
        <v>0</v>
      </c>
      <c r="O31" s="439"/>
    </row>
    <row r="32" spans="4:15">
      <c r="D32" s="440">
        <v>41</v>
      </c>
      <c r="E32" s="441">
        <v>0.2</v>
      </c>
      <c r="F32" s="439">
        <v>0</v>
      </c>
      <c r="G32" s="441">
        <v>1</v>
      </c>
      <c r="H32" s="441">
        <v>1</v>
      </c>
      <c r="I32" s="442">
        <v>0.5</v>
      </c>
      <c r="J32" s="441">
        <v>0.25</v>
      </c>
      <c r="K32" s="441">
        <v>1</v>
      </c>
      <c r="L32" s="441">
        <v>0.5</v>
      </c>
      <c r="M32" s="443">
        <v>0.5</v>
      </c>
      <c r="N32" s="446">
        <v>0</v>
      </c>
      <c r="O32" s="439"/>
    </row>
    <row r="33" spans="4:15">
      <c r="D33" s="440">
        <v>42</v>
      </c>
      <c r="E33" s="441">
        <v>0.2</v>
      </c>
      <c r="F33" s="439">
        <v>0</v>
      </c>
      <c r="G33" s="441">
        <v>1</v>
      </c>
      <c r="H33" s="441">
        <v>1</v>
      </c>
      <c r="I33" s="442">
        <v>0.5</v>
      </c>
      <c r="J33" s="441">
        <v>0.25</v>
      </c>
      <c r="K33" s="441">
        <v>1</v>
      </c>
      <c r="L33" s="441">
        <v>0.5</v>
      </c>
      <c r="M33" s="443">
        <v>0.5</v>
      </c>
      <c r="N33" s="446">
        <v>0</v>
      </c>
      <c r="O33" s="439"/>
    </row>
    <row r="34" spans="4:15">
      <c r="D34" s="440">
        <v>43</v>
      </c>
      <c r="E34" s="441">
        <v>0.2</v>
      </c>
      <c r="F34" s="439">
        <v>0</v>
      </c>
      <c r="G34" s="441">
        <v>1</v>
      </c>
      <c r="H34" s="441">
        <v>1</v>
      </c>
      <c r="I34" s="442">
        <v>0.5</v>
      </c>
      <c r="J34" s="441">
        <v>0.25</v>
      </c>
      <c r="K34" s="441">
        <v>1</v>
      </c>
      <c r="L34" s="441">
        <v>0.5</v>
      </c>
      <c r="M34" s="443">
        <v>0.5</v>
      </c>
      <c r="N34" s="446">
        <v>0</v>
      </c>
      <c r="O34" s="439"/>
    </row>
    <row r="35" spans="4:15">
      <c r="D35" s="440">
        <v>44</v>
      </c>
      <c r="E35" s="441">
        <v>0.2</v>
      </c>
      <c r="F35" s="439">
        <v>0</v>
      </c>
      <c r="G35" s="441">
        <v>1</v>
      </c>
      <c r="H35" s="441">
        <v>1</v>
      </c>
      <c r="I35" s="442">
        <v>0.5</v>
      </c>
      <c r="J35" s="441">
        <v>0.25</v>
      </c>
      <c r="K35" s="441">
        <v>1</v>
      </c>
      <c r="L35" s="441">
        <v>0.5</v>
      </c>
      <c r="M35" s="443">
        <v>0.5</v>
      </c>
      <c r="N35" s="446">
        <v>0</v>
      </c>
      <c r="O35" s="439"/>
    </row>
    <row r="36" spans="4:15">
      <c r="D36" s="440">
        <v>45</v>
      </c>
      <c r="E36" s="441">
        <v>0.2</v>
      </c>
      <c r="F36" s="439">
        <v>0</v>
      </c>
      <c r="G36" s="441">
        <v>1</v>
      </c>
      <c r="H36" s="441">
        <v>1</v>
      </c>
      <c r="I36" s="442">
        <v>0.5</v>
      </c>
      <c r="J36" s="441">
        <v>0.25</v>
      </c>
      <c r="K36" s="441">
        <v>1</v>
      </c>
      <c r="L36" s="441">
        <v>0.5</v>
      </c>
      <c r="M36" s="443">
        <v>0.5</v>
      </c>
      <c r="N36" s="446">
        <v>0</v>
      </c>
      <c r="O36" s="439"/>
    </row>
    <row r="37" spans="4:15">
      <c r="D37" s="440">
        <v>46</v>
      </c>
      <c r="E37" s="441">
        <v>0.2</v>
      </c>
      <c r="F37" s="439">
        <v>0</v>
      </c>
      <c r="G37" s="441">
        <v>1</v>
      </c>
      <c r="H37" s="441">
        <v>1</v>
      </c>
      <c r="I37" s="442">
        <v>0.5</v>
      </c>
      <c r="J37" s="441">
        <v>0.25</v>
      </c>
      <c r="K37" s="441">
        <v>1</v>
      </c>
      <c r="L37" s="441">
        <v>0.5</v>
      </c>
      <c r="M37" s="443">
        <v>0.5</v>
      </c>
      <c r="N37" s="446">
        <v>0</v>
      </c>
      <c r="O37" s="439"/>
    </row>
    <row r="38" spans="4:15">
      <c r="D38" s="440">
        <v>47</v>
      </c>
      <c r="E38" s="441">
        <v>0.2</v>
      </c>
      <c r="F38" s="439">
        <v>0</v>
      </c>
      <c r="G38" s="441">
        <v>1</v>
      </c>
      <c r="H38" s="441">
        <v>1</v>
      </c>
      <c r="I38" s="442">
        <v>0.5</v>
      </c>
      <c r="J38" s="441">
        <v>0.25</v>
      </c>
      <c r="K38" s="441">
        <v>1</v>
      </c>
      <c r="L38" s="441">
        <v>0.5</v>
      </c>
      <c r="M38" s="443">
        <v>0.5</v>
      </c>
      <c r="N38" s="446">
        <v>0</v>
      </c>
      <c r="O38" s="439"/>
    </row>
    <row r="39" spans="4:15">
      <c r="D39" s="440">
        <v>48</v>
      </c>
      <c r="E39" s="441">
        <v>0.2</v>
      </c>
      <c r="F39" s="439">
        <v>0</v>
      </c>
      <c r="G39" s="441">
        <v>1</v>
      </c>
      <c r="H39" s="441">
        <v>1</v>
      </c>
      <c r="I39" s="442">
        <v>0.5</v>
      </c>
      <c r="J39" s="441">
        <v>0.25</v>
      </c>
      <c r="K39" s="441">
        <v>1</v>
      </c>
      <c r="L39" s="441">
        <v>0.5</v>
      </c>
      <c r="M39" s="443">
        <v>0.5</v>
      </c>
      <c r="N39" s="446">
        <v>0</v>
      </c>
      <c r="O39" s="439"/>
    </row>
    <row r="40" spans="4:15">
      <c r="D40" s="440">
        <v>49</v>
      </c>
      <c r="E40" s="441">
        <v>0.2</v>
      </c>
      <c r="F40" s="439">
        <v>0</v>
      </c>
      <c r="G40" s="441">
        <v>1</v>
      </c>
      <c r="H40" s="441">
        <v>1</v>
      </c>
      <c r="I40" s="442">
        <v>0.5</v>
      </c>
      <c r="J40" s="441">
        <v>0.25</v>
      </c>
      <c r="K40" s="441">
        <v>1</v>
      </c>
      <c r="L40" s="441">
        <v>0.5</v>
      </c>
      <c r="M40" s="443">
        <v>0.5</v>
      </c>
      <c r="N40" s="446">
        <v>0</v>
      </c>
      <c r="O40" s="439"/>
    </row>
    <row r="41" spans="4:15">
      <c r="D41" s="440">
        <v>50</v>
      </c>
      <c r="E41" s="441">
        <v>0.2</v>
      </c>
      <c r="F41" s="439">
        <v>0</v>
      </c>
      <c r="G41" s="441">
        <v>1</v>
      </c>
      <c r="H41" s="441">
        <v>1</v>
      </c>
      <c r="I41" s="442">
        <v>0.5</v>
      </c>
      <c r="J41" s="441">
        <v>0.25</v>
      </c>
      <c r="K41" s="441">
        <v>1</v>
      </c>
      <c r="L41" s="441">
        <v>0.5</v>
      </c>
      <c r="M41" s="443">
        <v>0.5</v>
      </c>
      <c r="N41" s="446">
        <v>0</v>
      </c>
      <c r="O41" s="439"/>
    </row>
    <row r="42" spans="4:15">
      <c r="D42" s="440">
        <v>51</v>
      </c>
      <c r="E42" s="441">
        <v>0.2</v>
      </c>
      <c r="F42" s="439">
        <v>0</v>
      </c>
      <c r="G42" s="441">
        <v>1</v>
      </c>
      <c r="H42" s="441">
        <v>1</v>
      </c>
      <c r="I42" s="442">
        <v>0.5</v>
      </c>
      <c r="J42" s="441">
        <v>0.25</v>
      </c>
      <c r="K42" s="441">
        <v>1</v>
      </c>
      <c r="L42" s="441">
        <v>0.5</v>
      </c>
      <c r="M42" s="443">
        <v>0.5</v>
      </c>
      <c r="N42" s="446">
        <v>0</v>
      </c>
      <c r="O42" s="439"/>
    </row>
    <row r="43" spans="4:15">
      <c r="D43" s="440">
        <v>52</v>
      </c>
      <c r="E43" s="441">
        <v>0.2</v>
      </c>
      <c r="F43" s="439">
        <v>0</v>
      </c>
      <c r="G43" s="441">
        <v>1</v>
      </c>
      <c r="H43" s="441">
        <v>1</v>
      </c>
      <c r="I43" s="442">
        <v>0.5</v>
      </c>
      <c r="J43" s="441">
        <v>0.25</v>
      </c>
      <c r="K43" s="441">
        <v>1</v>
      </c>
      <c r="L43" s="441">
        <v>0.5</v>
      </c>
      <c r="M43" s="443">
        <v>0.5</v>
      </c>
      <c r="N43" s="446">
        <v>0</v>
      </c>
      <c r="O43" s="439"/>
    </row>
    <row r="44" spans="4:15">
      <c r="D44" s="440">
        <v>53</v>
      </c>
      <c r="E44" s="441">
        <v>0.2</v>
      </c>
      <c r="F44" s="439">
        <v>0</v>
      </c>
      <c r="G44" s="441">
        <v>1</v>
      </c>
      <c r="H44" s="441">
        <v>1</v>
      </c>
      <c r="I44" s="442">
        <v>0.5</v>
      </c>
      <c r="J44" s="441">
        <v>0.25</v>
      </c>
      <c r="K44" s="441">
        <v>1</v>
      </c>
      <c r="L44" s="441">
        <v>0.5</v>
      </c>
      <c r="M44" s="443">
        <v>0.5</v>
      </c>
      <c r="N44" s="446">
        <v>0</v>
      </c>
      <c r="O44" s="439"/>
    </row>
    <row r="45" spans="4:15">
      <c r="D45" s="440">
        <v>54</v>
      </c>
      <c r="E45" s="441">
        <v>0.2</v>
      </c>
      <c r="F45" s="439">
        <v>0</v>
      </c>
      <c r="G45" s="441">
        <v>1</v>
      </c>
      <c r="H45" s="441">
        <v>1</v>
      </c>
      <c r="I45" s="442">
        <v>0.5</v>
      </c>
      <c r="J45" s="441">
        <v>0.25</v>
      </c>
      <c r="K45" s="441">
        <v>1</v>
      </c>
      <c r="L45" s="441">
        <v>0.5</v>
      </c>
      <c r="M45" s="443">
        <v>0.5</v>
      </c>
      <c r="N45" s="446">
        <v>0</v>
      </c>
      <c r="O45" s="439"/>
    </row>
    <row r="46" spans="4:15">
      <c r="D46" s="440">
        <v>55</v>
      </c>
      <c r="E46" s="441">
        <v>0.2</v>
      </c>
      <c r="F46" s="439">
        <v>0</v>
      </c>
      <c r="G46" s="441">
        <v>1</v>
      </c>
      <c r="H46" s="441">
        <v>1</v>
      </c>
      <c r="I46" s="442">
        <v>0.5</v>
      </c>
      <c r="J46" s="441">
        <v>0.25</v>
      </c>
      <c r="K46" s="441">
        <v>1</v>
      </c>
      <c r="L46" s="441">
        <v>0.5</v>
      </c>
      <c r="M46" s="443">
        <v>0.5</v>
      </c>
      <c r="N46" s="446">
        <v>0</v>
      </c>
      <c r="O46" s="439"/>
    </row>
    <row r="47" spans="4:15">
      <c r="D47" s="440">
        <v>56</v>
      </c>
      <c r="E47" s="441">
        <v>0.2</v>
      </c>
      <c r="F47" s="439">
        <v>0</v>
      </c>
      <c r="G47" s="441">
        <v>1</v>
      </c>
      <c r="H47" s="441">
        <v>1</v>
      </c>
      <c r="I47" s="442">
        <v>0.5</v>
      </c>
      <c r="J47" s="441">
        <v>0.25</v>
      </c>
      <c r="K47" s="441">
        <v>1</v>
      </c>
      <c r="L47" s="441">
        <v>0.5</v>
      </c>
      <c r="M47" s="443">
        <v>0.5</v>
      </c>
      <c r="N47" s="446">
        <v>0</v>
      </c>
      <c r="O47" s="439"/>
    </row>
    <row r="48" spans="4:15">
      <c r="D48" s="440">
        <v>57</v>
      </c>
      <c r="E48" s="441">
        <v>0.2</v>
      </c>
      <c r="F48" s="439">
        <v>0</v>
      </c>
      <c r="G48" s="441">
        <v>1</v>
      </c>
      <c r="H48" s="441">
        <v>1</v>
      </c>
      <c r="I48" s="442">
        <v>0.5</v>
      </c>
      <c r="J48" s="441">
        <v>0.25</v>
      </c>
      <c r="K48" s="441">
        <v>1</v>
      </c>
      <c r="L48" s="441">
        <v>0.5</v>
      </c>
      <c r="M48" s="443">
        <v>0.5</v>
      </c>
      <c r="N48" s="446">
        <v>0</v>
      </c>
      <c r="O48" s="439"/>
    </row>
    <row r="49" spans="4:15">
      <c r="D49" s="440">
        <v>58</v>
      </c>
      <c r="E49" s="441">
        <v>0.2</v>
      </c>
      <c r="F49" s="439">
        <v>0</v>
      </c>
      <c r="G49" s="441">
        <v>1</v>
      </c>
      <c r="H49" s="441">
        <v>1</v>
      </c>
      <c r="I49" s="442">
        <v>0.5</v>
      </c>
      <c r="J49" s="441">
        <v>0.25</v>
      </c>
      <c r="K49" s="441">
        <v>1</v>
      </c>
      <c r="L49" s="441">
        <v>0.5</v>
      </c>
      <c r="M49" s="443">
        <v>0.5</v>
      </c>
      <c r="N49" s="446">
        <v>0</v>
      </c>
      <c r="O49" s="439"/>
    </row>
    <row r="50" spans="4:15">
      <c r="D50" s="440">
        <v>59</v>
      </c>
      <c r="E50" s="441">
        <v>0.2</v>
      </c>
      <c r="F50" s="439">
        <v>0</v>
      </c>
      <c r="G50" s="441">
        <v>1</v>
      </c>
      <c r="H50" s="441">
        <v>1</v>
      </c>
      <c r="I50" s="442">
        <v>0.5</v>
      </c>
      <c r="J50" s="441">
        <v>0.25</v>
      </c>
      <c r="K50" s="441">
        <v>1</v>
      </c>
      <c r="L50" s="441">
        <v>0.5</v>
      </c>
      <c r="M50" s="443">
        <v>0.5</v>
      </c>
      <c r="N50" s="446">
        <v>0</v>
      </c>
      <c r="O50" s="439"/>
    </row>
    <row r="51" spans="4:15">
      <c r="D51" s="440">
        <v>60</v>
      </c>
      <c r="E51" s="441">
        <v>0.2</v>
      </c>
      <c r="F51" s="439">
        <v>0</v>
      </c>
      <c r="G51" s="441">
        <v>1</v>
      </c>
      <c r="H51" s="441">
        <v>1</v>
      </c>
      <c r="I51" s="442">
        <v>0.5</v>
      </c>
      <c r="J51" s="441">
        <v>0.25</v>
      </c>
      <c r="K51" s="441">
        <v>1</v>
      </c>
      <c r="L51" s="441">
        <v>0.5</v>
      </c>
      <c r="M51" s="443">
        <v>0.5</v>
      </c>
      <c r="N51" s="446">
        <v>0</v>
      </c>
      <c r="O51" s="439"/>
    </row>
    <row r="52" spans="4:15">
      <c r="D52" s="440">
        <v>61</v>
      </c>
      <c r="E52" s="441">
        <v>0.2</v>
      </c>
      <c r="F52" s="439">
        <v>0</v>
      </c>
      <c r="G52" s="441">
        <v>1</v>
      </c>
      <c r="H52" s="441">
        <v>1</v>
      </c>
      <c r="I52" s="442">
        <v>0.5</v>
      </c>
      <c r="J52" s="441">
        <v>0.25</v>
      </c>
      <c r="K52" s="441">
        <v>1</v>
      </c>
      <c r="L52" s="441">
        <v>0.5</v>
      </c>
      <c r="M52" s="443">
        <v>0.5</v>
      </c>
      <c r="N52" s="446">
        <v>0</v>
      </c>
      <c r="O52" s="439"/>
    </row>
    <row r="53" spans="4:15">
      <c r="D53" s="440">
        <v>62</v>
      </c>
      <c r="E53" s="441">
        <v>0.2</v>
      </c>
      <c r="F53" s="439">
        <v>0</v>
      </c>
      <c r="G53" s="441">
        <v>1</v>
      </c>
      <c r="H53" s="441">
        <v>1</v>
      </c>
      <c r="I53" s="442">
        <v>0.5</v>
      </c>
      <c r="J53" s="441">
        <v>0.25</v>
      </c>
      <c r="K53" s="441">
        <v>1</v>
      </c>
      <c r="L53" s="441">
        <v>0.5</v>
      </c>
      <c r="M53" s="443">
        <v>0.5</v>
      </c>
      <c r="N53" s="446">
        <v>0</v>
      </c>
      <c r="O53" s="439"/>
    </row>
    <row r="54" spans="4:15">
      <c r="D54" s="440">
        <v>63</v>
      </c>
      <c r="E54" s="441">
        <v>0.2</v>
      </c>
      <c r="F54" s="439">
        <v>0</v>
      </c>
      <c r="G54" s="441">
        <v>1</v>
      </c>
      <c r="H54" s="441">
        <v>1</v>
      </c>
      <c r="I54" s="442">
        <v>0.5</v>
      </c>
      <c r="J54" s="441">
        <v>0.25</v>
      </c>
      <c r="K54" s="441">
        <v>1</v>
      </c>
      <c r="L54" s="441">
        <v>0.5</v>
      </c>
      <c r="M54" s="443">
        <v>0.5</v>
      </c>
      <c r="N54" s="446">
        <v>0</v>
      </c>
      <c r="O54" s="439"/>
    </row>
    <row r="55" spans="4:15">
      <c r="D55" s="440">
        <v>64</v>
      </c>
      <c r="E55" s="441">
        <v>0.2</v>
      </c>
      <c r="F55" s="439">
        <v>0</v>
      </c>
      <c r="G55" s="441">
        <v>1</v>
      </c>
      <c r="H55" s="441">
        <v>1</v>
      </c>
      <c r="I55" s="442">
        <v>0.5</v>
      </c>
      <c r="J55" s="441">
        <v>0.25</v>
      </c>
      <c r="K55" s="441">
        <v>1</v>
      </c>
      <c r="L55" s="441">
        <v>0.5</v>
      </c>
      <c r="M55" s="443">
        <v>0.5</v>
      </c>
      <c r="N55" s="446">
        <v>0</v>
      </c>
      <c r="O55" s="439"/>
    </row>
    <row r="56" spans="4:15">
      <c r="D56" s="440">
        <v>65</v>
      </c>
      <c r="E56" s="441">
        <v>0.2</v>
      </c>
      <c r="F56" s="439">
        <v>0</v>
      </c>
      <c r="G56" s="441">
        <v>1</v>
      </c>
      <c r="H56" s="441">
        <v>1</v>
      </c>
      <c r="I56" s="442">
        <v>0.5</v>
      </c>
      <c r="J56" s="441">
        <v>0.25</v>
      </c>
      <c r="K56" s="441">
        <v>1</v>
      </c>
      <c r="L56" s="441">
        <v>0.5</v>
      </c>
      <c r="M56" s="443">
        <v>0.5</v>
      </c>
      <c r="N56" s="446">
        <v>0</v>
      </c>
      <c r="O56" s="439"/>
    </row>
    <row r="57" spans="4:15">
      <c r="D57" s="440">
        <v>66</v>
      </c>
      <c r="E57" s="441">
        <v>0.2</v>
      </c>
      <c r="F57" s="439">
        <v>0</v>
      </c>
      <c r="G57" s="441">
        <v>1</v>
      </c>
      <c r="H57" s="441">
        <v>1</v>
      </c>
      <c r="I57" s="442">
        <v>0.5</v>
      </c>
      <c r="J57" s="441">
        <v>0.25</v>
      </c>
      <c r="K57" s="441">
        <v>1</v>
      </c>
      <c r="L57" s="441">
        <v>0.5</v>
      </c>
      <c r="M57" s="443">
        <v>0.5</v>
      </c>
      <c r="N57" s="446">
        <v>0</v>
      </c>
      <c r="O57" s="439"/>
    </row>
    <row r="58" spans="4:15">
      <c r="D58" s="440">
        <v>67</v>
      </c>
      <c r="E58" s="441">
        <v>0.2</v>
      </c>
      <c r="F58" s="439">
        <v>0</v>
      </c>
      <c r="G58" s="441">
        <v>1</v>
      </c>
      <c r="H58" s="441">
        <v>1</v>
      </c>
      <c r="I58" s="442">
        <v>0.5</v>
      </c>
      <c r="J58" s="441">
        <v>0.25</v>
      </c>
      <c r="K58" s="441">
        <v>1</v>
      </c>
      <c r="L58" s="441">
        <v>0.5</v>
      </c>
      <c r="M58" s="443">
        <v>0.5</v>
      </c>
      <c r="N58" s="446">
        <v>0</v>
      </c>
      <c r="O58" s="439"/>
    </row>
    <row r="59" spans="4:15">
      <c r="D59" s="440">
        <v>68</v>
      </c>
      <c r="E59" s="441">
        <v>0.2</v>
      </c>
      <c r="F59" s="439">
        <v>0</v>
      </c>
      <c r="G59" s="441">
        <v>1</v>
      </c>
      <c r="H59" s="441">
        <v>1</v>
      </c>
      <c r="I59" s="442">
        <v>0.5</v>
      </c>
      <c r="J59" s="441">
        <v>0.25</v>
      </c>
      <c r="K59" s="441">
        <v>1</v>
      </c>
      <c r="L59" s="441">
        <v>0.5</v>
      </c>
      <c r="M59" s="443">
        <v>0.5</v>
      </c>
      <c r="N59" s="446">
        <v>0</v>
      </c>
      <c r="O59" s="439"/>
    </row>
    <row r="60" spans="4:15">
      <c r="D60" s="440">
        <v>69</v>
      </c>
      <c r="E60" s="441">
        <v>0.2</v>
      </c>
      <c r="F60" s="439">
        <v>0</v>
      </c>
      <c r="G60" s="441">
        <v>1</v>
      </c>
      <c r="H60" s="441">
        <v>1</v>
      </c>
      <c r="I60" s="442">
        <v>0.5</v>
      </c>
      <c r="J60" s="441">
        <v>0.25</v>
      </c>
      <c r="K60" s="441">
        <v>1</v>
      </c>
      <c r="L60" s="441">
        <v>0.5</v>
      </c>
      <c r="M60" s="443">
        <v>0.5</v>
      </c>
      <c r="N60" s="446">
        <v>0</v>
      </c>
      <c r="O60" s="439"/>
    </row>
    <row r="61" spans="4:15">
      <c r="D61" s="440">
        <v>70</v>
      </c>
      <c r="E61" s="441">
        <v>0.2</v>
      </c>
      <c r="F61" s="439">
        <v>0</v>
      </c>
      <c r="G61" s="441">
        <v>1</v>
      </c>
      <c r="H61" s="441">
        <v>1</v>
      </c>
      <c r="I61" s="442">
        <v>0.5</v>
      </c>
      <c r="J61" s="441">
        <v>0.25</v>
      </c>
      <c r="K61" s="441">
        <v>1</v>
      </c>
      <c r="L61" s="441">
        <v>0.5</v>
      </c>
      <c r="M61" s="443">
        <v>0.5</v>
      </c>
      <c r="N61" s="446">
        <v>0</v>
      </c>
      <c r="O61" s="439"/>
    </row>
    <row r="62" spans="4:15">
      <c r="D62" s="440">
        <v>71</v>
      </c>
      <c r="E62" s="441">
        <v>0.2</v>
      </c>
      <c r="F62" s="439">
        <v>0</v>
      </c>
      <c r="G62" s="441">
        <v>1</v>
      </c>
      <c r="H62" s="441">
        <v>1</v>
      </c>
      <c r="I62" s="442">
        <v>0.5</v>
      </c>
      <c r="J62" s="441">
        <v>0.25</v>
      </c>
      <c r="K62" s="441">
        <v>1</v>
      </c>
      <c r="L62" s="441">
        <v>0.5</v>
      </c>
      <c r="M62" s="443">
        <v>0.5</v>
      </c>
      <c r="N62" s="446">
        <v>0</v>
      </c>
      <c r="O62" s="439"/>
    </row>
    <row r="63" spans="4:15">
      <c r="D63" s="440">
        <v>72</v>
      </c>
      <c r="E63" s="441">
        <v>0.2</v>
      </c>
      <c r="F63" s="439">
        <v>0</v>
      </c>
      <c r="G63" s="441">
        <v>1</v>
      </c>
      <c r="H63" s="441">
        <v>1</v>
      </c>
      <c r="I63" s="442">
        <v>0.5</v>
      </c>
      <c r="J63" s="441">
        <v>0.25</v>
      </c>
      <c r="K63" s="441">
        <v>1</v>
      </c>
      <c r="L63" s="441">
        <v>0.5</v>
      </c>
      <c r="M63" s="443">
        <v>0.5</v>
      </c>
      <c r="N63" s="446">
        <v>0</v>
      </c>
      <c r="O63" s="439"/>
    </row>
    <row r="64" spans="4:15">
      <c r="D64" s="440">
        <v>73</v>
      </c>
      <c r="E64" s="441">
        <v>0.2</v>
      </c>
      <c r="F64" s="439">
        <v>0</v>
      </c>
      <c r="G64" s="441">
        <v>1</v>
      </c>
      <c r="H64" s="441">
        <v>1</v>
      </c>
      <c r="I64" s="442">
        <v>0.5</v>
      </c>
      <c r="J64" s="441">
        <v>0.25</v>
      </c>
      <c r="K64" s="441">
        <v>1</v>
      </c>
      <c r="L64" s="441">
        <v>0.5</v>
      </c>
      <c r="M64" s="443">
        <v>0.5</v>
      </c>
      <c r="N64" s="446">
        <v>0</v>
      </c>
      <c r="O64" s="439"/>
    </row>
    <row r="65" spans="4:15">
      <c r="D65" s="440">
        <v>74</v>
      </c>
      <c r="E65" s="441">
        <v>0.2</v>
      </c>
      <c r="F65" s="439">
        <v>0</v>
      </c>
      <c r="G65" s="441">
        <v>1</v>
      </c>
      <c r="H65" s="441">
        <v>1</v>
      </c>
      <c r="I65" s="442">
        <v>0.5</v>
      </c>
      <c r="J65" s="441">
        <v>0.25</v>
      </c>
      <c r="K65" s="441">
        <v>1</v>
      </c>
      <c r="L65" s="441">
        <v>0.5</v>
      </c>
      <c r="M65" s="443">
        <v>0.5</v>
      </c>
      <c r="N65" s="446">
        <v>0</v>
      </c>
      <c r="O65" s="439"/>
    </row>
    <row r="66" spans="4:15">
      <c r="D66" s="440">
        <v>75</v>
      </c>
      <c r="E66" s="441">
        <v>0.2</v>
      </c>
      <c r="F66" s="439">
        <v>0</v>
      </c>
      <c r="G66" s="441">
        <v>1</v>
      </c>
      <c r="H66" s="441">
        <v>1</v>
      </c>
      <c r="I66" s="442">
        <v>0.5</v>
      </c>
      <c r="J66" s="441">
        <v>0.25</v>
      </c>
      <c r="K66" s="441">
        <v>1</v>
      </c>
      <c r="L66" s="441">
        <v>0.5</v>
      </c>
      <c r="M66" s="443">
        <v>0.5</v>
      </c>
      <c r="N66" s="446">
        <v>0</v>
      </c>
      <c r="O66" s="439"/>
    </row>
    <row r="67" spans="4:15">
      <c r="D67" s="440">
        <v>76</v>
      </c>
      <c r="E67" s="441">
        <v>0.2</v>
      </c>
      <c r="F67" s="439">
        <v>0</v>
      </c>
      <c r="G67" s="441">
        <v>1</v>
      </c>
      <c r="H67" s="441">
        <v>1</v>
      </c>
      <c r="I67" s="442">
        <v>0.5</v>
      </c>
      <c r="J67" s="441">
        <v>0.25</v>
      </c>
      <c r="K67" s="441">
        <v>1</v>
      </c>
      <c r="L67" s="441">
        <v>0.5</v>
      </c>
      <c r="M67" s="443">
        <v>0.5</v>
      </c>
      <c r="N67" s="446">
        <v>0</v>
      </c>
      <c r="O67" s="439"/>
    </row>
    <row r="68" spans="4:15">
      <c r="D68" s="440">
        <v>77</v>
      </c>
      <c r="E68" s="441">
        <v>0.2</v>
      </c>
      <c r="F68" s="439">
        <v>0</v>
      </c>
      <c r="G68" s="441">
        <v>1</v>
      </c>
      <c r="H68" s="441">
        <v>1</v>
      </c>
      <c r="I68" s="442">
        <v>0.5</v>
      </c>
      <c r="J68" s="441">
        <v>0.25</v>
      </c>
      <c r="K68" s="441">
        <v>1</v>
      </c>
      <c r="L68" s="441">
        <v>0.5</v>
      </c>
      <c r="M68" s="443">
        <v>0.5</v>
      </c>
      <c r="N68" s="446">
        <v>0</v>
      </c>
      <c r="O68" s="439"/>
    </row>
    <row r="69" spans="4:15">
      <c r="D69" s="440">
        <v>78</v>
      </c>
      <c r="E69" s="441">
        <v>0.2</v>
      </c>
      <c r="F69" s="439">
        <v>0</v>
      </c>
      <c r="G69" s="441">
        <v>1</v>
      </c>
      <c r="H69" s="441">
        <v>1</v>
      </c>
      <c r="I69" s="442">
        <v>0.5</v>
      </c>
      <c r="J69" s="441">
        <v>0.25</v>
      </c>
      <c r="K69" s="441">
        <v>1</v>
      </c>
      <c r="L69" s="441">
        <v>0.5</v>
      </c>
      <c r="M69" s="443">
        <v>0.5</v>
      </c>
      <c r="N69" s="446">
        <v>0</v>
      </c>
      <c r="O69" s="439"/>
    </row>
    <row r="70" spans="4:15">
      <c r="D70" s="440">
        <v>79</v>
      </c>
      <c r="E70" s="441">
        <v>0.2</v>
      </c>
      <c r="F70" s="439">
        <v>0</v>
      </c>
      <c r="G70" s="441">
        <v>1</v>
      </c>
      <c r="H70" s="441">
        <v>1</v>
      </c>
      <c r="I70" s="442">
        <v>0.5</v>
      </c>
      <c r="J70" s="441">
        <v>0.25</v>
      </c>
      <c r="K70" s="441">
        <v>1</v>
      </c>
      <c r="L70" s="441">
        <v>0.5</v>
      </c>
      <c r="M70" s="443">
        <v>0.5</v>
      </c>
      <c r="N70" s="446">
        <v>0</v>
      </c>
      <c r="O70" s="439"/>
    </row>
    <row r="71" spans="4:15">
      <c r="D71" s="440">
        <v>80</v>
      </c>
      <c r="E71" s="441">
        <v>0.2</v>
      </c>
      <c r="F71" s="439">
        <v>0</v>
      </c>
      <c r="G71" s="441">
        <v>1</v>
      </c>
      <c r="H71" s="441">
        <v>1</v>
      </c>
      <c r="I71" s="442">
        <v>0.5</v>
      </c>
      <c r="J71" s="441">
        <v>0.25</v>
      </c>
      <c r="K71" s="441">
        <v>1</v>
      </c>
      <c r="L71" s="441">
        <v>0.5</v>
      </c>
      <c r="M71" s="443">
        <v>0.5</v>
      </c>
      <c r="N71" s="446">
        <v>0</v>
      </c>
      <c r="O71" s="439"/>
    </row>
    <row r="72" spans="4:15">
      <c r="D72" s="440">
        <v>81</v>
      </c>
      <c r="E72" s="441">
        <v>0.2</v>
      </c>
      <c r="F72" s="439">
        <v>0</v>
      </c>
      <c r="G72" s="441">
        <v>1</v>
      </c>
      <c r="H72" s="441">
        <v>1</v>
      </c>
      <c r="I72" s="442">
        <v>0.5</v>
      </c>
      <c r="J72" s="441">
        <v>0.25</v>
      </c>
      <c r="K72" s="441">
        <v>1</v>
      </c>
      <c r="L72" s="441">
        <v>0.5</v>
      </c>
      <c r="M72" s="443">
        <v>0.5</v>
      </c>
      <c r="N72" s="446">
        <v>0</v>
      </c>
      <c r="O72" s="439"/>
    </row>
    <row r="73" spans="4:15">
      <c r="D73" s="440">
        <v>82</v>
      </c>
      <c r="E73" s="441">
        <v>0.2</v>
      </c>
      <c r="F73" s="439">
        <v>0</v>
      </c>
      <c r="G73" s="441">
        <v>1</v>
      </c>
      <c r="H73" s="441">
        <v>1</v>
      </c>
      <c r="I73" s="442">
        <v>0.5</v>
      </c>
      <c r="J73" s="441">
        <v>0.25</v>
      </c>
      <c r="K73" s="441">
        <v>1</v>
      </c>
      <c r="L73" s="441">
        <v>0.5</v>
      </c>
      <c r="M73" s="443">
        <v>0.5</v>
      </c>
      <c r="N73" s="446">
        <v>0</v>
      </c>
      <c r="O73" s="439"/>
    </row>
    <row r="74" spans="4:15">
      <c r="D74" s="440">
        <v>83</v>
      </c>
      <c r="E74" s="441">
        <v>0.2</v>
      </c>
      <c r="F74" s="439">
        <v>0</v>
      </c>
      <c r="G74" s="441">
        <v>1</v>
      </c>
      <c r="H74" s="441">
        <v>1</v>
      </c>
      <c r="I74" s="442">
        <v>0.5</v>
      </c>
      <c r="J74" s="441">
        <v>0.25</v>
      </c>
      <c r="K74" s="441">
        <v>1</v>
      </c>
      <c r="L74" s="441">
        <v>0.5</v>
      </c>
      <c r="M74" s="443">
        <v>0.5</v>
      </c>
      <c r="N74" s="446">
        <v>0</v>
      </c>
      <c r="O74" s="439"/>
    </row>
    <row r="75" spans="4:15">
      <c r="D75" s="440">
        <v>84</v>
      </c>
      <c r="E75" s="441">
        <v>0.2</v>
      </c>
      <c r="F75" s="439">
        <v>0</v>
      </c>
      <c r="G75" s="441">
        <v>1</v>
      </c>
      <c r="H75" s="441">
        <v>1</v>
      </c>
      <c r="I75" s="442">
        <v>0.5</v>
      </c>
      <c r="J75" s="441">
        <v>0.25</v>
      </c>
      <c r="K75" s="441">
        <v>1</v>
      </c>
      <c r="L75" s="441">
        <v>0.5</v>
      </c>
      <c r="M75" s="443">
        <v>0.5</v>
      </c>
      <c r="N75" s="446">
        <v>0</v>
      </c>
      <c r="O75" s="439"/>
    </row>
    <row r="76" spans="4:15">
      <c r="D76" s="440">
        <v>85</v>
      </c>
      <c r="E76" s="441">
        <v>0.2</v>
      </c>
      <c r="F76" s="439">
        <v>0</v>
      </c>
      <c r="G76" s="441">
        <v>1</v>
      </c>
      <c r="H76" s="441">
        <v>1</v>
      </c>
      <c r="I76" s="442">
        <v>0.5</v>
      </c>
      <c r="J76" s="441">
        <v>0.25</v>
      </c>
      <c r="K76" s="441">
        <v>1</v>
      </c>
      <c r="L76" s="441">
        <v>0.5</v>
      </c>
      <c r="M76" s="443">
        <v>0.5</v>
      </c>
      <c r="N76" s="446">
        <v>0</v>
      </c>
      <c r="O76" s="439"/>
    </row>
    <row r="77" spans="4:15">
      <c r="D77" s="440">
        <v>86</v>
      </c>
      <c r="E77" s="441">
        <v>0.2</v>
      </c>
      <c r="F77" s="439">
        <v>0</v>
      </c>
      <c r="G77" s="441">
        <v>1</v>
      </c>
      <c r="H77" s="441">
        <v>1</v>
      </c>
      <c r="I77" s="442">
        <v>0.5</v>
      </c>
      <c r="J77" s="441">
        <v>0.25</v>
      </c>
      <c r="K77" s="441">
        <v>1</v>
      </c>
      <c r="L77" s="441">
        <v>0.5</v>
      </c>
      <c r="M77" s="443">
        <v>0.5</v>
      </c>
      <c r="N77" s="446">
        <v>0</v>
      </c>
      <c r="O77" s="439"/>
    </row>
    <row r="78" spans="4:15">
      <c r="D78" s="440">
        <v>87</v>
      </c>
      <c r="E78" s="441">
        <v>0.2</v>
      </c>
      <c r="F78" s="439">
        <v>0</v>
      </c>
      <c r="G78" s="441">
        <v>1</v>
      </c>
      <c r="H78" s="441">
        <v>1</v>
      </c>
      <c r="I78" s="442">
        <v>0.5</v>
      </c>
      <c r="J78" s="441">
        <v>0.25</v>
      </c>
      <c r="K78" s="441">
        <v>1</v>
      </c>
      <c r="L78" s="441">
        <v>0.5</v>
      </c>
      <c r="M78" s="443">
        <v>0.5</v>
      </c>
      <c r="N78" s="446">
        <v>0</v>
      </c>
      <c r="O78" s="439"/>
    </row>
    <row r="79" spans="4:15">
      <c r="D79" s="440">
        <v>88</v>
      </c>
      <c r="E79" s="441">
        <v>0.2</v>
      </c>
      <c r="F79" s="439">
        <v>0</v>
      </c>
      <c r="G79" s="441">
        <v>1</v>
      </c>
      <c r="H79" s="441">
        <v>1</v>
      </c>
      <c r="I79" s="442">
        <v>0.5</v>
      </c>
      <c r="J79" s="441">
        <v>0.25</v>
      </c>
      <c r="K79" s="441">
        <v>1</v>
      </c>
      <c r="L79" s="441">
        <v>0.5</v>
      </c>
      <c r="M79" s="443">
        <v>0.5</v>
      </c>
      <c r="N79" s="446">
        <v>0</v>
      </c>
      <c r="O79" s="439"/>
    </row>
    <row r="80" spans="4:15">
      <c r="D80" s="440">
        <v>89</v>
      </c>
      <c r="E80" s="441">
        <v>0.2</v>
      </c>
      <c r="F80" s="439">
        <v>0</v>
      </c>
      <c r="G80" s="441">
        <v>1</v>
      </c>
      <c r="H80" s="441">
        <v>1</v>
      </c>
      <c r="I80" s="442">
        <v>0.5</v>
      </c>
      <c r="J80" s="441">
        <v>0.25</v>
      </c>
      <c r="K80" s="441">
        <v>1</v>
      </c>
      <c r="L80" s="441">
        <v>0.5</v>
      </c>
      <c r="M80" s="443">
        <v>0.5</v>
      </c>
      <c r="N80" s="446">
        <v>0</v>
      </c>
      <c r="O80" s="439"/>
    </row>
    <row r="81" spans="4:26">
      <c r="D81" s="440">
        <v>90</v>
      </c>
      <c r="E81" s="441">
        <v>0.2</v>
      </c>
      <c r="F81" s="439">
        <v>0</v>
      </c>
      <c r="G81" s="441">
        <v>1</v>
      </c>
      <c r="H81" s="441">
        <v>1</v>
      </c>
      <c r="I81" s="442">
        <v>0.5</v>
      </c>
      <c r="J81" s="441">
        <v>0.25</v>
      </c>
      <c r="K81" s="441">
        <v>1</v>
      </c>
      <c r="L81" s="441">
        <v>0.5</v>
      </c>
      <c r="M81" s="443">
        <v>0.5</v>
      </c>
      <c r="N81" s="446">
        <v>0</v>
      </c>
      <c r="O81" s="439"/>
    </row>
    <row r="82" spans="4:26">
      <c r="D82" s="440">
        <v>91</v>
      </c>
      <c r="E82" s="441">
        <v>0.2</v>
      </c>
      <c r="F82" s="439">
        <v>0</v>
      </c>
      <c r="G82" s="441">
        <v>1</v>
      </c>
      <c r="H82" s="441">
        <v>1</v>
      </c>
      <c r="I82" s="442">
        <v>0.5</v>
      </c>
      <c r="J82" s="441">
        <v>0.25</v>
      </c>
      <c r="K82" s="441">
        <v>1</v>
      </c>
      <c r="L82" s="441">
        <v>0.5</v>
      </c>
      <c r="M82" s="443">
        <v>0.5</v>
      </c>
      <c r="N82" s="446">
        <v>0</v>
      </c>
      <c r="O82" s="439"/>
    </row>
    <row r="83" spans="4:26">
      <c r="D83" s="440">
        <v>92</v>
      </c>
      <c r="E83" s="441">
        <v>0.2</v>
      </c>
      <c r="F83" s="439">
        <v>0</v>
      </c>
      <c r="G83" s="441">
        <v>1</v>
      </c>
      <c r="H83" s="441">
        <v>1</v>
      </c>
      <c r="I83" s="442">
        <v>0.5</v>
      </c>
      <c r="J83" s="441">
        <v>0.25</v>
      </c>
      <c r="K83" s="441">
        <v>1</v>
      </c>
      <c r="L83" s="441">
        <v>0.5</v>
      </c>
      <c r="M83" s="443">
        <v>0.5</v>
      </c>
      <c r="N83" s="446">
        <v>0</v>
      </c>
      <c r="O83" s="439"/>
    </row>
    <row r="84" spans="4:26">
      <c r="D84" s="440">
        <v>93</v>
      </c>
      <c r="E84" s="441">
        <v>0.2</v>
      </c>
      <c r="F84" s="439">
        <v>0</v>
      </c>
      <c r="G84" s="441">
        <v>1</v>
      </c>
      <c r="H84" s="441">
        <v>1</v>
      </c>
      <c r="I84" s="442">
        <v>0.5</v>
      </c>
      <c r="J84" s="441">
        <v>0.25</v>
      </c>
      <c r="K84" s="441">
        <v>1</v>
      </c>
      <c r="L84" s="441">
        <v>0.5</v>
      </c>
      <c r="M84" s="443">
        <v>0.5</v>
      </c>
      <c r="N84" s="446">
        <v>0</v>
      </c>
      <c r="O84" s="439"/>
    </row>
    <row r="85" spans="4:26">
      <c r="D85" s="440">
        <v>94</v>
      </c>
      <c r="E85" s="441">
        <v>0.2</v>
      </c>
      <c r="F85" s="439">
        <v>0</v>
      </c>
      <c r="G85" s="441">
        <v>1</v>
      </c>
      <c r="H85" s="441">
        <v>1</v>
      </c>
      <c r="I85" s="442">
        <v>0.5</v>
      </c>
      <c r="J85" s="441">
        <v>0.25</v>
      </c>
      <c r="K85" s="441">
        <v>1</v>
      </c>
      <c r="L85" s="441">
        <v>0.5</v>
      </c>
      <c r="M85" s="443">
        <v>0.5</v>
      </c>
      <c r="N85" s="446">
        <v>0</v>
      </c>
      <c r="O85" s="439"/>
    </row>
    <row r="86" spans="4:26" ht="15.75" thickBot="1">
      <c r="D86" s="448">
        <v>95</v>
      </c>
      <c r="E86" s="449">
        <v>0.2</v>
      </c>
      <c r="F86" s="449">
        <v>0</v>
      </c>
      <c r="G86" s="449">
        <v>1</v>
      </c>
      <c r="H86" s="449">
        <v>1</v>
      </c>
      <c r="I86" s="450">
        <v>0.5</v>
      </c>
      <c r="J86" s="449">
        <v>0.25</v>
      </c>
      <c r="K86" s="449">
        <v>1</v>
      </c>
      <c r="L86" s="449">
        <v>0.5</v>
      </c>
      <c r="M86" s="451">
        <v>0.5</v>
      </c>
      <c r="N86" s="452">
        <v>0</v>
      </c>
      <c r="O86" s="439"/>
    </row>
    <row r="91" spans="4:26" ht="15.75" thickBot="1"/>
    <row r="92" spans="4:26">
      <c r="D92" s="822" t="s">
        <v>2836</v>
      </c>
      <c r="E92" s="823"/>
      <c r="F92" s="823"/>
      <c r="G92" s="823"/>
      <c r="H92" s="823"/>
      <c r="I92" s="823"/>
      <c r="J92" s="823"/>
      <c r="K92" s="823"/>
      <c r="L92" s="824"/>
    </row>
    <row r="93" spans="4:26" ht="55.5" customHeight="1">
      <c r="D93" s="922" t="str">
        <f>LE_DECLARE_TABLE("tMile_HighLow","",D94:L104)</f>
        <v>Declared table TMILE_HIGHLOW</v>
      </c>
      <c r="E93" s="923"/>
      <c r="F93" s="923"/>
      <c r="G93" s="923"/>
      <c r="H93" s="923"/>
      <c r="I93" s="923"/>
      <c r="J93" s="923"/>
      <c r="K93" s="923"/>
      <c r="L93" s="924"/>
    </row>
    <row r="94" spans="4:26" s="393" customFormat="1" ht="15.75" thickBot="1">
      <c r="D94" s="454"/>
      <c r="E94" s="455">
        <v>1</v>
      </c>
      <c r="F94" s="455">
        <f>E94+1</f>
        <v>2</v>
      </c>
      <c r="G94" s="455">
        <f t="shared" ref="G94:L94" si="0">F94+1</f>
        <v>3</v>
      </c>
      <c r="H94" s="455">
        <f t="shared" si="0"/>
        <v>4</v>
      </c>
      <c r="I94" s="455">
        <f t="shared" si="0"/>
        <v>5</v>
      </c>
      <c r="J94" s="455">
        <f t="shared" si="0"/>
        <v>6</v>
      </c>
      <c r="K94" s="455">
        <f t="shared" si="0"/>
        <v>7</v>
      </c>
      <c r="L94" s="456">
        <f t="shared" si="0"/>
        <v>8</v>
      </c>
      <c r="M94" s="457"/>
      <c r="N94" s="457"/>
      <c r="O94" s="457"/>
      <c r="P94" s="457"/>
      <c r="Q94" s="457"/>
      <c r="R94" s="457"/>
      <c r="S94" s="457"/>
      <c r="T94" s="457"/>
      <c r="U94" s="457"/>
      <c r="V94" s="457"/>
      <c r="W94" s="457"/>
      <c r="X94" s="457"/>
      <c r="Y94" s="457"/>
      <c r="Z94" s="457"/>
    </row>
    <row r="95" spans="4:26">
      <c r="D95" s="458" t="s">
        <v>294</v>
      </c>
      <c r="E95" s="459">
        <v>0</v>
      </c>
      <c r="F95" s="459">
        <v>0</v>
      </c>
      <c r="G95" s="459">
        <v>0</v>
      </c>
      <c r="H95" s="459">
        <v>0</v>
      </c>
      <c r="I95" s="460"/>
      <c r="J95" s="460"/>
      <c r="K95" s="460"/>
      <c r="L95" s="401"/>
      <c r="M95" s="148"/>
      <c r="N95" s="50"/>
    </row>
    <row r="96" spans="4:26">
      <c r="D96" s="461" t="s">
        <v>296</v>
      </c>
      <c r="E96" s="462">
        <v>210</v>
      </c>
      <c r="F96" s="462">
        <v>0</v>
      </c>
      <c r="G96" s="462">
        <v>0</v>
      </c>
      <c r="H96" s="462">
        <v>0</v>
      </c>
      <c r="I96" s="50"/>
      <c r="J96" s="50"/>
      <c r="K96" s="50"/>
      <c r="L96" s="306"/>
      <c r="M96" s="148"/>
      <c r="N96" s="50"/>
    </row>
    <row r="97" spans="4:14">
      <c r="D97" s="461" t="s">
        <v>298</v>
      </c>
      <c r="E97" s="463">
        <v>0.42604492898968532</v>
      </c>
      <c r="F97" s="463">
        <v>0.42604492898968532</v>
      </c>
      <c r="G97" s="463">
        <v>0.42604492898968532</v>
      </c>
      <c r="H97" s="463">
        <v>0.42604492898968532</v>
      </c>
      <c r="I97" s="50"/>
      <c r="J97" s="50"/>
      <c r="K97" s="50"/>
      <c r="L97" s="306"/>
      <c r="M97" s="148"/>
      <c r="N97" s="50"/>
    </row>
    <row r="98" spans="4:14">
      <c r="D98" s="461" t="s">
        <v>299</v>
      </c>
      <c r="E98" s="464">
        <v>9</v>
      </c>
      <c r="F98" s="464">
        <v>9</v>
      </c>
      <c r="G98" s="464">
        <v>9</v>
      </c>
      <c r="H98" s="464">
        <v>9</v>
      </c>
      <c r="I98" s="50"/>
      <c r="J98" s="50"/>
      <c r="K98" s="50"/>
      <c r="L98" s="306"/>
      <c r="M98" s="148"/>
      <c r="N98" s="50"/>
    </row>
    <row r="99" spans="4:14" ht="15.75" thickBot="1">
      <c r="D99" s="461" t="s">
        <v>300</v>
      </c>
      <c r="E99" s="465">
        <v>1E-4</v>
      </c>
      <c r="F99" s="465">
        <v>1E-4</v>
      </c>
      <c r="G99" s="465">
        <v>1E-4</v>
      </c>
      <c r="H99" s="465">
        <v>1E-4</v>
      </c>
      <c r="I99" s="50"/>
      <c r="J99" s="50"/>
      <c r="K99" s="50"/>
      <c r="L99" s="306"/>
      <c r="M99" s="148"/>
      <c r="N99" s="50"/>
    </row>
    <row r="100" spans="4:14">
      <c r="D100" s="458" t="s">
        <v>269</v>
      </c>
      <c r="E100" s="466">
        <v>1</v>
      </c>
      <c r="F100" s="466">
        <v>1</v>
      </c>
      <c r="G100" s="466">
        <v>1</v>
      </c>
      <c r="H100" s="466">
        <v>1</v>
      </c>
      <c r="I100" s="460"/>
      <c r="J100" s="460"/>
      <c r="K100" s="460"/>
      <c r="L100" s="401"/>
      <c r="M100" s="148"/>
      <c r="N100" s="50"/>
    </row>
    <row r="101" spans="4:14">
      <c r="D101" s="461" t="s">
        <v>273</v>
      </c>
      <c r="E101" s="467">
        <v>2</v>
      </c>
      <c r="F101" s="467">
        <v>2</v>
      </c>
      <c r="G101" s="467">
        <v>2</v>
      </c>
      <c r="H101" s="467">
        <v>2</v>
      </c>
      <c r="I101" s="50"/>
      <c r="J101" s="50"/>
      <c r="K101" s="50"/>
      <c r="L101" s="306"/>
      <c r="M101" s="148"/>
      <c r="N101" s="50"/>
    </row>
    <row r="102" spans="4:14">
      <c r="D102" s="461" t="s">
        <v>276</v>
      </c>
      <c r="E102" s="463">
        <v>2.3371624757437806</v>
      </c>
      <c r="F102" s="463">
        <v>2.3371624757437806</v>
      </c>
      <c r="G102" s="463">
        <v>2.3371624757437806</v>
      </c>
      <c r="H102" s="463">
        <v>2.3371624757437806</v>
      </c>
      <c r="I102" s="50"/>
      <c r="J102" s="50"/>
      <c r="K102" s="50"/>
      <c r="L102" s="306"/>
      <c r="M102" s="148"/>
      <c r="N102" s="50"/>
    </row>
    <row r="103" spans="4:14">
      <c r="D103" s="461" t="s">
        <v>279</v>
      </c>
      <c r="E103" s="465">
        <v>4.2772560953038186</v>
      </c>
      <c r="F103" s="465">
        <v>4.2772560953038186</v>
      </c>
      <c r="G103" s="465">
        <v>4.2772560953038186</v>
      </c>
      <c r="H103" s="465">
        <v>4.2772560953038186</v>
      </c>
      <c r="I103" s="50"/>
      <c r="J103" s="50"/>
      <c r="K103" s="50"/>
      <c r="L103" s="306"/>
      <c r="M103" s="148"/>
      <c r="N103" s="50"/>
    </row>
    <row r="104" spans="4:14" ht="15.75" thickBot="1">
      <c r="D104" s="468" t="s">
        <v>283</v>
      </c>
      <c r="E104" s="469">
        <v>1.3920271109678881</v>
      </c>
      <c r="F104" s="469">
        <v>1.3920271109678881</v>
      </c>
      <c r="G104" s="469">
        <v>1.3920271109678881</v>
      </c>
      <c r="H104" s="469">
        <v>1.3920271109678881</v>
      </c>
      <c r="I104" s="329"/>
      <c r="J104" s="329"/>
      <c r="K104" s="329"/>
      <c r="L104" s="330"/>
      <c r="M104" s="148"/>
      <c r="N104" s="50"/>
    </row>
    <row r="105" spans="4:14">
      <c r="M105" s="148"/>
      <c r="N105" s="50"/>
    </row>
    <row r="106" spans="4:14">
      <c r="E106"/>
      <c r="M106"/>
    </row>
    <row r="107" spans="4:14">
      <c r="E107"/>
      <c r="M107"/>
    </row>
    <row r="108" spans="4:14">
      <c r="E108"/>
      <c r="M108"/>
    </row>
    <row r="109" spans="4:14">
      <c r="E109"/>
      <c r="M109"/>
    </row>
    <row r="110" spans="4:14">
      <c r="E110"/>
      <c r="M110"/>
    </row>
    <row r="111" spans="4:14">
      <c r="E111"/>
      <c r="M111"/>
    </row>
    <row r="112" spans="4:14">
      <c r="E112"/>
      <c r="M112"/>
    </row>
  </sheetData>
  <mergeCells count="4">
    <mergeCell ref="D6:N6"/>
    <mergeCell ref="D7:N7"/>
    <mergeCell ref="D92:L92"/>
    <mergeCell ref="D93:L9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>
    <tabColor theme="2" tint="-0.499984740745262"/>
  </sheetPr>
  <dimension ref="C3:M57"/>
  <sheetViews>
    <sheetView showGridLines="0" topLeftCell="A3" zoomScale="70" zoomScaleNormal="70" workbookViewId="0">
      <selection activeCell="C44" sqref="C44"/>
    </sheetView>
  </sheetViews>
  <sheetFormatPr defaultColWidth="9.140625" defaultRowHeight="15"/>
  <cols>
    <col min="1" max="2" width="9.140625" style="1"/>
    <col min="3" max="3" width="23.42578125" style="1" customWidth="1"/>
    <col min="4" max="4" width="18.140625" style="1" customWidth="1"/>
    <col min="5" max="5" width="25.42578125" style="1" customWidth="1"/>
    <col min="6" max="6" width="22.42578125" style="1" bestFit="1" customWidth="1"/>
    <col min="7" max="7" width="17" style="472" customWidth="1"/>
    <col min="8" max="8" width="11.28515625" style="472" bestFit="1" customWidth="1"/>
    <col min="9" max="9" width="12.42578125" style="1" bestFit="1" customWidth="1"/>
    <col min="10" max="11" width="11.28515625" style="1" bestFit="1" customWidth="1"/>
    <col min="12" max="12" width="9.140625" style="1"/>
    <col min="13" max="15" width="36.42578125" style="1" customWidth="1"/>
    <col min="16" max="16384" width="9.140625" style="1"/>
  </cols>
  <sheetData>
    <row r="3" spans="3:13">
      <c r="C3" s="470"/>
      <c r="D3" s="470"/>
      <c r="E3" s="471" t="s">
        <v>2837</v>
      </c>
    </row>
    <row r="4" spans="3:13" ht="15.75">
      <c r="C4" s="470"/>
      <c r="D4" s="470"/>
      <c r="E4" s="473" t="s">
        <v>70</v>
      </c>
      <c r="F4" s="474">
        <f>TBASELE(E4,E5)</f>
        <v>6.25E-2</v>
      </c>
    </row>
    <row r="5" spans="3:13" ht="15.75">
      <c r="C5" s="470"/>
      <c r="D5" s="470"/>
      <c r="E5" s="475">
        <v>4</v>
      </c>
      <c r="F5" s="474"/>
    </row>
    <row r="7" spans="3:13">
      <c r="C7" s="476"/>
      <c r="D7" s="384"/>
      <c r="E7" s="422"/>
    </row>
    <row r="8" spans="3:13" ht="15.75" thickBot="1">
      <c r="C8" s="477"/>
      <c r="D8" s="478"/>
      <c r="E8" s="479"/>
      <c r="F8" s="472"/>
    </row>
    <row r="9" spans="3:13">
      <c r="C9" s="779" t="s">
        <v>2838</v>
      </c>
      <c r="D9" s="780"/>
      <c r="E9" s="780"/>
      <c r="F9" s="780"/>
      <c r="G9" s="780"/>
      <c r="H9" s="780"/>
      <c r="I9" s="780"/>
      <c r="J9" s="780"/>
      <c r="K9" s="781"/>
    </row>
    <row r="10" spans="3:13" ht="15.75" customHeight="1">
      <c r="C10" s="925" t="str">
        <f>LE_DECLARE_TABLE("tBaseLE","",C12:K54)</f>
        <v>Declared table TBASELE</v>
      </c>
      <c r="D10" s="926"/>
      <c r="E10" s="926"/>
      <c r="F10" s="926"/>
      <c r="G10" s="926"/>
      <c r="H10" s="926"/>
      <c r="I10" s="926"/>
      <c r="J10" s="926"/>
      <c r="K10" s="927"/>
    </row>
    <row r="11" spans="3:13" ht="45.75" customHeight="1">
      <c r="C11" s="928"/>
      <c r="D11" s="929"/>
      <c r="E11" s="929"/>
      <c r="F11" s="929"/>
      <c r="G11" s="929"/>
      <c r="H11" s="929"/>
      <c r="I11" s="929"/>
      <c r="J11" s="929"/>
      <c r="K11" s="930"/>
    </row>
    <row r="12" spans="3:13">
      <c r="C12" s="480"/>
      <c r="D12" s="481">
        <v>1</v>
      </c>
      <c r="E12" s="481">
        <v>2</v>
      </c>
      <c r="F12" s="482">
        <v>3</v>
      </c>
      <c r="G12" s="482">
        <v>4</v>
      </c>
      <c r="H12" s="482">
        <v>5</v>
      </c>
      <c r="I12" s="482">
        <v>6</v>
      </c>
      <c r="J12" s="482">
        <v>7</v>
      </c>
      <c r="K12" s="483">
        <v>8</v>
      </c>
    </row>
    <row r="13" spans="3:13">
      <c r="C13" s="484" t="s">
        <v>47</v>
      </c>
      <c r="D13" s="485">
        <v>7.2520000000000001E-2</v>
      </c>
      <c r="E13" s="485">
        <v>7.2520000000000001E-2</v>
      </c>
      <c r="F13" s="486">
        <v>8.2745319999999997E-2</v>
      </c>
      <c r="G13" s="485">
        <v>8.2745319999999997E-2</v>
      </c>
      <c r="H13" s="485"/>
      <c r="I13" s="485"/>
      <c r="J13" s="485"/>
      <c r="K13" s="487"/>
      <c r="M13" s="488"/>
    </row>
    <row r="14" spans="3:13">
      <c r="C14" s="484" t="s">
        <v>49</v>
      </c>
      <c r="D14" s="489">
        <v>0.4</v>
      </c>
      <c r="E14" s="489">
        <v>0.55000000000000004</v>
      </c>
      <c r="F14" s="489">
        <v>0.55000000000000004</v>
      </c>
      <c r="G14" s="489">
        <v>0.55000000000000004</v>
      </c>
      <c r="H14" s="489"/>
      <c r="I14" s="489"/>
      <c r="J14" s="489"/>
      <c r="K14" s="490"/>
      <c r="M14" s="488"/>
    </row>
    <row r="15" spans="3:13">
      <c r="C15" s="484" t="s">
        <v>52</v>
      </c>
      <c r="D15" s="491">
        <v>0.05</v>
      </c>
      <c r="E15" s="489">
        <v>0.05</v>
      </c>
      <c r="F15" s="489">
        <v>0.05</v>
      </c>
      <c r="G15" s="489">
        <v>0.05</v>
      </c>
      <c r="H15" s="489"/>
      <c r="I15" s="489"/>
      <c r="J15" s="489"/>
      <c r="K15" s="490"/>
      <c r="M15" s="488"/>
    </row>
    <row r="16" spans="3:13">
      <c r="C16" s="484" t="s">
        <v>61</v>
      </c>
      <c r="D16" s="492">
        <v>0.16466832100000001</v>
      </c>
      <c r="E16" s="493">
        <v>0</v>
      </c>
      <c r="F16" s="494">
        <v>0</v>
      </c>
      <c r="G16" s="494">
        <v>0</v>
      </c>
      <c r="H16" s="494"/>
      <c r="I16" s="489"/>
      <c r="J16" s="489"/>
      <c r="K16" s="490"/>
      <c r="M16" s="488"/>
    </row>
    <row r="17" spans="3:13">
      <c r="C17" s="484" t="s">
        <v>64</v>
      </c>
      <c r="D17" s="491">
        <v>2.09539971E-2</v>
      </c>
      <c r="E17" s="493">
        <v>261.12639999999999</v>
      </c>
      <c r="F17" s="495">
        <v>261.12639999999999</v>
      </c>
      <c r="G17" s="495">
        <v>261.12639999999999</v>
      </c>
      <c r="H17" s="495"/>
      <c r="I17" s="489"/>
      <c r="J17" s="489"/>
      <c r="K17" s="490"/>
      <c r="M17" s="488"/>
    </row>
    <row r="18" spans="3:13">
      <c r="C18" s="484" t="s">
        <v>67</v>
      </c>
      <c r="D18" s="496">
        <v>0</v>
      </c>
      <c r="E18" s="497">
        <v>0.22</v>
      </c>
      <c r="F18" s="495">
        <v>0.22</v>
      </c>
      <c r="G18" s="495">
        <v>0.22</v>
      </c>
      <c r="H18" s="498"/>
      <c r="I18" s="499"/>
      <c r="J18" s="499"/>
      <c r="K18" s="500"/>
      <c r="M18" s="488"/>
    </row>
    <row r="19" spans="3:13">
      <c r="C19" s="501" t="s">
        <v>69</v>
      </c>
      <c r="D19" s="496">
        <v>0.72</v>
      </c>
      <c r="E19" s="497">
        <v>1.5</v>
      </c>
      <c r="F19" s="498">
        <v>1.5</v>
      </c>
      <c r="G19" s="498">
        <v>1.5</v>
      </c>
      <c r="H19" s="498"/>
      <c r="I19" s="498"/>
      <c r="J19" s="498"/>
      <c r="K19" s="502"/>
    </row>
    <row r="20" spans="3:13" s="507" customFormat="1" ht="12.75">
      <c r="C20" s="503" t="s">
        <v>71</v>
      </c>
      <c r="D20" s="504"/>
      <c r="E20" s="505">
        <v>0.43</v>
      </c>
      <c r="F20" s="504">
        <v>0.43</v>
      </c>
      <c r="G20" s="504">
        <v>0.43</v>
      </c>
      <c r="H20" s="504"/>
      <c r="I20" s="504"/>
      <c r="J20" s="504"/>
      <c r="K20" s="506"/>
    </row>
    <row r="21" spans="3:13" s="507" customFormat="1" ht="12.75">
      <c r="C21" s="503" t="s">
        <v>74</v>
      </c>
      <c r="D21" s="504"/>
      <c r="E21" s="505">
        <v>1000</v>
      </c>
      <c r="F21" s="504">
        <v>1000</v>
      </c>
      <c r="G21" s="504">
        <v>1000</v>
      </c>
      <c r="H21" s="504"/>
      <c r="I21" s="504"/>
      <c r="J21" s="504"/>
      <c r="K21" s="506"/>
    </row>
    <row r="22" spans="3:13">
      <c r="C22" s="484" t="s">
        <v>54</v>
      </c>
      <c r="D22" s="504">
        <v>0.8</v>
      </c>
      <c r="E22" s="504">
        <v>0.6</v>
      </c>
      <c r="F22" s="504">
        <v>0.6</v>
      </c>
      <c r="G22" s="504">
        <v>0.6</v>
      </c>
      <c r="H22" s="508"/>
      <c r="I22" s="509"/>
      <c r="J22" s="509"/>
      <c r="K22" s="510"/>
    </row>
    <row r="23" spans="3:13">
      <c r="C23" s="484" t="s">
        <v>57</v>
      </c>
      <c r="D23" s="504">
        <v>0.4</v>
      </c>
      <c r="E23" s="509">
        <v>0.6</v>
      </c>
      <c r="F23" s="509">
        <v>0.6</v>
      </c>
      <c r="G23" s="509">
        <v>0.6</v>
      </c>
      <c r="H23" s="509"/>
      <c r="I23" s="509"/>
      <c r="J23" s="509"/>
      <c r="K23" s="510"/>
    </row>
    <row r="24" spans="3:13">
      <c r="C24" s="511" t="s">
        <v>79</v>
      </c>
      <c r="D24" s="504">
        <v>0.33</v>
      </c>
      <c r="E24" s="512">
        <v>0.5</v>
      </c>
      <c r="F24" s="512">
        <v>0.5</v>
      </c>
      <c r="G24" s="512">
        <v>0.5</v>
      </c>
      <c r="H24" s="512"/>
      <c r="I24" s="512"/>
      <c r="J24" s="512"/>
      <c r="K24" s="513"/>
    </row>
    <row r="25" spans="3:13">
      <c r="C25" s="511" t="s">
        <v>80</v>
      </c>
      <c r="D25" s="514">
        <v>3000</v>
      </c>
      <c r="E25" s="515">
        <v>2066.37</v>
      </c>
      <c r="F25" s="515">
        <v>2066.37</v>
      </c>
      <c r="G25" s="515">
        <v>2066.37</v>
      </c>
      <c r="H25" s="515"/>
      <c r="I25" s="515"/>
      <c r="J25" s="515"/>
      <c r="K25" s="516"/>
    </row>
    <row r="26" spans="3:13">
      <c r="C26" s="484" t="s">
        <v>48</v>
      </c>
      <c r="D26" s="485">
        <v>3.6259999999999999E-3</v>
      </c>
      <c r="E26" s="485">
        <v>3.6259999999999999E-3</v>
      </c>
      <c r="F26" s="486">
        <v>4.1372659999999997E-3</v>
      </c>
      <c r="G26" s="485">
        <v>4.1372659999999997E-3</v>
      </c>
      <c r="H26" s="485"/>
      <c r="I26" s="485"/>
      <c r="J26" s="485"/>
      <c r="K26" s="487"/>
      <c r="M26" s="488"/>
    </row>
    <row r="27" spans="3:13">
      <c r="C27" s="484" t="s">
        <v>50</v>
      </c>
      <c r="D27" s="489">
        <v>0.1</v>
      </c>
      <c r="E27" s="489">
        <v>0.1</v>
      </c>
      <c r="F27" s="489">
        <v>0.1</v>
      </c>
      <c r="G27" s="489">
        <v>0.1</v>
      </c>
      <c r="H27" s="489"/>
      <c r="I27" s="489"/>
      <c r="J27" s="489"/>
      <c r="K27" s="490"/>
      <c r="M27" s="488"/>
    </row>
    <row r="28" spans="3:13">
      <c r="C28" s="484" t="s">
        <v>53</v>
      </c>
      <c r="D28" s="489">
        <v>1E-3</v>
      </c>
      <c r="E28" s="489">
        <v>1E-3</v>
      </c>
      <c r="F28" s="489">
        <v>1E-3</v>
      </c>
      <c r="G28" s="489">
        <v>1E-3</v>
      </c>
      <c r="H28" s="489"/>
      <c r="I28" s="489"/>
      <c r="J28" s="489"/>
      <c r="K28" s="490"/>
      <c r="M28" s="488"/>
    </row>
    <row r="29" spans="3:13">
      <c r="C29" s="484" t="s">
        <v>55</v>
      </c>
      <c r="D29" s="489">
        <v>0.4</v>
      </c>
      <c r="E29" s="489">
        <v>0.4</v>
      </c>
      <c r="F29" s="489">
        <v>0.4</v>
      </c>
      <c r="G29" s="489">
        <v>0.4</v>
      </c>
      <c r="H29" s="489"/>
      <c r="I29" s="489"/>
      <c r="J29" s="489"/>
      <c r="K29" s="490"/>
      <c r="M29" s="488"/>
    </row>
    <row r="30" spans="3:13">
      <c r="C30" s="484" t="s">
        <v>58</v>
      </c>
      <c r="D30" s="489">
        <v>0.4</v>
      </c>
      <c r="E30" s="489">
        <v>0.4</v>
      </c>
      <c r="F30" s="489">
        <v>0.4</v>
      </c>
      <c r="G30" s="489">
        <v>0.4</v>
      </c>
      <c r="H30" s="489"/>
      <c r="I30" s="489"/>
      <c r="J30" s="489"/>
      <c r="K30" s="490"/>
      <c r="M30" s="488"/>
    </row>
    <row r="31" spans="3:13">
      <c r="C31" s="484" t="s">
        <v>62</v>
      </c>
      <c r="D31" s="485">
        <v>2.9399999999999999E-3</v>
      </c>
      <c r="E31" s="485">
        <v>2.9399999999999999E-3</v>
      </c>
      <c r="F31" s="486">
        <v>3.35454E-3</v>
      </c>
      <c r="G31" s="485">
        <v>3.35454E-3</v>
      </c>
      <c r="H31" s="485"/>
      <c r="I31" s="485"/>
      <c r="J31" s="485"/>
      <c r="K31" s="487"/>
      <c r="M31" s="488"/>
    </row>
    <row r="32" spans="3:13">
      <c r="C32" s="484" t="s">
        <v>65</v>
      </c>
      <c r="D32" s="517">
        <v>2832.8</v>
      </c>
      <c r="E32" s="517">
        <v>2832.8</v>
      </c>
      <c r="F32" s="517">
        <v>2832.8</v>
      </c>
      <c r="G32" s="517">
        <v>2832.8</v>
      </c>
      <c r="H32" s="518"/>
      <c r="I32" s="518"/>
      <c r="J32" s="518"/>
      <c r="K32" s="519"/>
      <c r="M32" s="488"/>
    </row>
    <row r="33" spans="3:13">
      <c r="C33" s="484" t="s">
        <v>68</v>
      </c>
      <c r="D33" s="517">
        <v>7.8</v>
      </c>
      <c r="E33" s="517">
        <v>7.8</v>
      </c>
      <c r="F33" s="517">
        <v>7.8</v>
      </c>
      <c r="G33" s="517">
        <v>7.8</v>
      </c>
      <c r="H33" s="520"/>
      <c r="I33" s="520"/>
      <c r="J33" s="520"/>
      <c r="K33" s="521"/>
      <c r="M33" s="488"/>
    </row>
    <row r="34" spans="3:13">
      <c r="C34" s="484" t="s">
        <v>77</v>
      </c>
      <c r="D34" s="485">
        <v>1.7541999999999999E-2</v>
      </c>
      <c r="E34" s="485">
        <v>1.7541999999999999E-2</v>
      </c>
      <c r="F34" s="486">
        <v>2.0015421999999998E-2</v>
      </c>
      <c r="G34" s="485">
        <v>2.0015421999999998E-2</v>
      </c>
      <c r="H34" s="485"/>
      <c r="I34" s="485"/>
      <c r="J34" s="485"/>
      <c r="K34" s="487"/>
      <c r="M34" s="488"/>
    </row>
    <row r="35" spans="3:13">
      <c r="C35" s="484" t="s">
        <v>78</v>
      </c>
      <c r="D35" s="499">
        <v>2</v>
      </c>
      <c r="E35" s="499">
        <v>2</v>
      </c>
      <c r="F35" s="499">
        <v>2</v>
      </c>
      <c r="G35" s="499">
        <v>2</v>
      </c>
      <c r="H35" s="499"/>
      <c r="I35" s="391"/>
      <c r="J35" s="499"/>
      <c r="K35" s="500"/>
      <c r="M35" s="488"/>
    </row>
    <row r="36" spans="3:13">
      <c r="C36" s="484" t="s">
        <v>72</v>
      </c>
      <c r="D36" s="485">
        <v>6.5659999999999998E-3</v>
      </c>
      <c r="E36" s="485">
        <v>6.5659999999999998E-3</v>
      </c>
      <c r="F36" s="486">
        <v>7.4918060000000002E-3</v>
      </c>
      <c r="G36" s="485">
        <v>7.4918060000000002E-3</v>
      </c>
      <c r="H36" s="485"/>
      <c r="I36" s="485"/>
      <c r="J36" s="485"/>
      <c r="K36" s="487"/>
      <c r="M36" s="488"/>
    </row>
    <row r="37" spans="3:13">
      <c r="C37" s="484" t="s">
        <v>75</v>
      </c>
      <c r="D37" s="489">
        <v>0.2</v>
      </c>
      <c r="E37" s="489">
        <v>0.2</v>
      </c>
      <c r="F37" s="489">
        <v>0.2</v>
      </c>
      <c r="G37" s="489">
        <v>0.2</v>
      </c>
      <c r="H37" s="489"/>
      <c r="I37" s="489"/>
      <c r="J37" s="489"/>
      <c r="K37" s="490"/>
      <c r="M37" s="488"/>
    </row>
    <row r="38" spans="3:13">
      <c r="C38" s="484" t="s">
        <v>51</v>
      </c>
      <c r="D38" s="522">
        <v>15</v>
      </c>
      <c r="E38" s="522">
        <v>15</v>
      </c>
      <c r="F38" s="522">
        <v>15</v>
      </c>
      <c r="G38" s="522">
        <v>15</v>
      </c>
      <c r="H38" s="522"/>
      <c r="I38" s="522"/>
      <c r="J38" s="522"/>
      <c r="K38" s="523"/>
      <c r="M38" s="488"/>
    </row>
    <row r="39" spans="3:13">
      <c r="C39" s="484" t="s">
        <v>2839</v>
      </c>
      <c r="D39" s="489">
        <v>1</v>
      </c>
      <c r="E39" s="489">
        <v>1</v>
      </c>
      <c r="F39" s="489">
        <v>1</v>
      </c>
      <c r="G39" s="489">
        <v>1</v>
      </c>
      <c r="H39" s="489"/>
      <c r="I39" s="489"/>
      <c r="J39" s="489"/>
      <c r="K39" s="490"/>
      <c r="M39" s="488"/>
    </row>
    <row r="40" spans="3:13">
      <c r="C40" s="484" t="s">
        <v>56</v>
      </c>
      <c r="D40" s="489">
        <v>0.04</v>
      </c>
      <c r="E40" s="489">
        <v>0.04</v>
      </c>
      <c r="F40" s="489">
        <v>0.04</v>
      </c>
      <c r="G40" s="489">
        <v>0.04</v>
      </c>
      <c r="H40" s="489"/>
      <c r="I40" s="489"/>
      <c r="J40" s="489"/>
      <c r="K40" s="490"/>
      <c r="M40" s="488"/>
    </row>
    <row r="41" spans="3:13">
      <c r="C41" s="484" t="s">
        <v>63</v>
      </c>
      <c r="D41" s="489">
        <v>0.04</v>
      </c>
      <c r="E41" s="489">
        <v>0.04</v>
      </c>
      <c r="F41" s="489">
        <v>0.04</v>
      </c>
      <c r="G41" s="489">
        <v>0.04</v>
      </c>
      <c r="H41" s="489"/>
      <c r="I41" s="391"/>
      <c r="J41" s="489"/>
      <c r="K41" s="490"/>
      <c r="M41" s="488"/>
    </row>
    <row r="42" spans="3:13">
      <c r="C42" s="484" t="s">
        <v>59</v>
      </c>
      <c r="D42" s="489">
        <v>2.5000000000000001E-2</v>
      </c>
      <c r="E42" s="489">
        <v>2.5000000000000001E-2</v>
      </c>
      <c r="F42" s="489">
        <v>2.5000000000000001E-2</v>
      </c>
      <c r="G42" s="489">
        <v>2.5000000000000001E-2</v>
      </c>
      <c r="H42" s="489"/>
      <c r="I42" s="489"/>
      <c r="J42" s="489"/>
      <c r="K42" s="490"/>
      <c r="M42" s="488"/>
    </row>
    <row r="43" spans="3:13">
      <c r="C43" s="484" t="s">
        <v>60</v>
      </c>
      <c r="D43" s="522">
        <v>25</v>
      </c>
      <c r="E43" s="522">
        <v>25</v>
      </c>
      <c r="F43" s="522">
        <v>25</v>
      </c>
      <c r="G43" s="522">
        <v>25</v>
      </c>
      <c r="H43" s="522"/>
      <c r="I43" s="522"/>
      <c r="J43" s="522"/>
      <c r="K43" s="523"/>
      <c r="M43" s="488"/>
    </row>
    <row r="44" spans="3:13">
      <c r="C44" s="484" t="s">
        <v>70</v>
      </c>
      <c r="D44" s="489">
        <v>6.25E-2</v>
      </c>
      <c r="E44" s="489">
        <v>6.25E-2</v>
      </c>
      <c r="F44" s="489">
        <v>6.25E-2</v>
      </c>
      <c r="G44" s="489">
        <v>6.25E-2</v>
      </c>
      <c r="H44" s="489"/>
      <c r="I44" s="489"/>
      <c r="J44" s="489"/>
      <c r="K44" s="490"/>
      <c r="M44" s="488"/>
    </row>
    <row r="45" spans="3:13">
      <c r="C45" s="484" t="s">
        <v>73</v>
      </c>
      <c r="D45" s="522">
        <v>40</v>
      </c>
      <c r="E45" s="522">
        <v>40</v>
      </c>
      <c r="F45" s="522">
        <v>40</v>
      </c>
      <c r="G45" s="522">
        <v>40</v>
      </c>
      <c r="H45" s="522"/>
      <c r="I45" s="522"/>
      <c r="J45" s="522"/>
      <c r="K45" s="523"/>
      <c r="M45" s="488"/>
    </row>
    <row r="46" spans="3:13" s="527" customFormat="1">
      <c r="C46" s="524" t="s">
        <v>264</v>
      </c>
      <c r="D46" s="525">
        <v>0.1</v>
      </c>
      <c r="E46" s="525">
        <v>0.1</v>
      </c>
      <c r="F46" s="525">
        <v>0.1</v>
      </c>
      <c r="G46" s="525">
        <v>0.1</v>
      </c>
      <c r="H46" s="525"/>
      <c r="I46" s="525"/>
      <c r="J46" s="525"/>
      <c r="K46" s="526"/>
      <c r="M46" s="528"/>
    </row>
    <row r="47" spans="3:13" s="527" customFormat="1">
      <c r="C47" s="524" t="s">
        <v>272</v>
      </c>
      <c r="D47" s="525"/>
      <c r="E47" s="525"/>
      <c r="F47" s="525"/>
      <c r="G47" s="525">
        <v>0</v>
      </c>
      <c r="H47" s="525"/>
      <c r="I47" s="525"/>
      <c r="J47" s="525"/>
      <c r="K47" s="526"/>
      <c r="M47" s="528"/>
    </row>
    <row r="48" spans="3:13" s="527" customFormat="1">
      <c r="C48" s="524" t="s">
        <v>268</v>
      </c>
      <c r="D48" s="525">
        <v>2.5000000000000001E-2</v>
      </c>
      <c r="E48" s="525">
        <v>2.5000000000000001E-2</v>
      </c>
      <c r="F48" s="525">
        <v>2.5000000000000001E-2</v>
      </c>
      <c r="G48" s="525">
        <v>2.5000000000000001E-2</v>
      </c>
      <c r="H48" s="525"/>
      <c r="I48" s="525"/>
      <c r="J48" s="525"/>
      <c r="K48" s="526"/>
      <c r="M48" s="528"/>
    </row>
    <row r="49" spans="3:13" s="527" customFormat="1">
      <c r="C49" s="524" t="s">
        <v>66</v>
      </c>
      <c r="D49" s="499">
        <v>4</v>
      </c>
      <c r="E49" s="499">
        <v>4</v>
      </c>
      <c r="F49" s="499">
        <v>4</v>
      </c>
      <c r="G49" s="499">
        <v>4</v>
      </c>
      <c r="H49" s="499"/>
      <c r="I49" s="499"/>
      <c r="J49" s="499"/>
      <c r="K49" s="500"/>
      <c r="M49" s="528"/>
    </row>
    <row r="50" spans="3:13" s="527" customFormat="1">
      <c r="C50" s="529" t="s">
        <v>76</v>
      </c>
      <c r="D50" s="499">
        <v>0</v>
      </c>
      <c r="E50" s="499">
        <v>0</v>
      </c>
      <c r="F50" s="530">
        <v>250</v>
      </c>
      <c r="G50" s="499">
        <v>250</v>
      </c>
      <c r="H50" s="499"/>
      <c r="I50" s="499"/>
      <c r="J50" s="499"/>
      <c r="K50" s="500"/>
      <c r="M50" s="528"/>
    </row>
    <row r="51" spans="3:13" s="527" customFormat="1">
      <c r="C51" s="461" t="s">
        <v>2840</v>
      </c>
      <c r="D51" s="531">
        <v>0</v>
      </c>
      <c r="E51" s="532">
        <v>0</v>
      </c>
      <c r="F51" s="532">
        <v>0</v>
      </c>
      <c r="G51" s="532">
        <v>0</v>
      </c>
      <c r="H51" s="499"/>
      <c r="I51" s="499"/>
      <c r="J51" s="499"/>
      <c r="K51" s="500"/>
      <c r="M51" s="528"/>
    </row>
    <row r="52" spans="3:13" s="527" customFormat="1">
      <c r="C52" s="461" t="s">
        <v>285</v>
      </c>
      <c r="D52" s="531" t="e">
        <f>NA()</f>
        <v>#N/A</v>
      </c>
      <c r="E52" s="531" t="e">
        <f>NA()</f>
        <v>#N/A</v>
      </c>
      <c r="F52" s="531" t="e">
        <f>NA()</f>
        <v>#N/A</v>
      </c>
      <c r="G52" s="499">
        <v>39</v>
      </c>
      <c r="H52" s="499"/>
      <c r="I52" s="499"/>
      <c r="J52" s="499"/>
      <c r="K52" s="500"/>
      <c r="M52" s="528"/>
    </row>
    <row r="53" spans="3:13" s="527" customFormat="1">
      <c r="C53" s="461" t="s">
        <v>289</v>
      </c>
      <c r="D53" s="531" t="e">
        <f>NA()</f>
        <v>#N/A</v>
      </c>
      <c r="E53" s="531" t="e">
        <f>NA()</f>
        <v>#N/A</v>
      </c>
      <c r="F53" s="531" t="e">
        <f>NA()</f>
        <v>#N/A</v>
      </c>
      <c r="G53" s="499">
        <v>57</v>
      </c>
      <c r="H53" s="499"/>
      <c r="I53" s="499"/>
      <c r="J53" s="499"/>
      <c r="K53" s="500"/>
      <c r="M53" s="528"/>
    </row>
    <row r="54" spans="3:13" s="527" customFormat="1" ht="15.75" thickBot="1">
      <c r="C54" s="468" t="s">
        <v>292</v>
      </c>
      <c r="D54" s="533" t="e">
        <f>NA()</f>
        <v>#N/A</v>
      </c>
      <c r="E54" s="533" t="e">
        <f>NA()</f>
        <v>#N/A</v>
      </c>
      <c r="F54" s="533" t="e">
        <f>NA()</f>
        <v>#N/A</v>
      </c>
      <c r="G54" s="534">
        <v>82</v>
      </c>
      <c r="H54" s="534"/>
      <c r="I54" s="534"/>
      <c r="J54" s="534"/>
      <c r="K54" s="535"/>
      <c r="M54" s="528"/>
    </row>
    <row r="57" spans="3:13">
      <c r="D57" s="536"/>
    </row>
  </sheetData>
  <mergeCells count="2">
    <mergeCell ref="C9:K9"/>
    <mergeCell ref="C10:K11"/>
  </mergeCells>
  <dataValidations count="2">
    <dataValidation type="list" allowBlank="1" showInputMessage="1" showErrorMessage="1" sqref="E5">
      <formula1>$D$12:$K$12</formula1>
    </dataValidation>
    <dataValidation type="list" allowBlank="1" showInputMessage="1" showErrorMessage="1" sqref="E4">
      <formula1>$C$13:$C$54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>
    <tabColor theme="2" tint="-0.499984740745262"/>
  </sheetPr>
  <dimension ref="A1:R177"/>
  <sheetViews>
    <sheetView showGridLines="0" topLeftCell="A28" zoomScale="70" zoomScaleNormal="70" workbookViewId="0">
      <selection activeCell="V36" sqref="V36"/>
    </sheetView>
  </sheetViews>
  <sheetFormatPr defaultColWidth="8.85546875" defaultRowHeight="15"/>
  <cols>
    <col min="1" max="1" width="8.85546875" style="537"/>
    <col min="2" max="2" width="9.140625" style="548" customWidth="1"/>
    <col min="3" max="3" width="18.28515625" style="549" customWidth="1"/>
    <col min="4" max="4" width="12.42578125" style="549" customWidth="1"/>
    <col min="5" max="5" width="8.85546875" style="537"/>
    <col min="6" max="6" width="10" style="546" customWidth="1"/>
    <col min="7" max="7" width="12.28515625" style="542" customWidth="1"/>
    <col min="8" max="8" width="7.42578125" style="537" customWidth="1"/>
    <col min="9" max="9" width="9" style="537" customWidth="1"/>
    <col min="10" max="10" width="6.140625" style="537" customWidth="1"/>
    <col min="11" max="11" width="12" style="549" customWidth="1"/>
    <col min="12" max="12" width="17.140625" style="549" customWidth="1"/>
    <col min="13" max="13" width="8.85546875" style="537"/>
    <col min="14" max="14" width="10" style="546" customWidth="1"/>
    <col min="15" max="15" width="9.140625" style="542" customWidth="1"/>
    <col min="16" max="16384" width="8.85546875" style="537"/>
  </cols>
  <sheetData>
    <row r="1" spans="1:18">
      <c r="B1" s="538"/>
      <c r="C1" s="539"/>
      <c r="D1" s="540"/>
      <c r="F1" s="540"/>
      <c r="G1" s="541" t="s">
        <v>2837</v>
      </c>
      <c r="H1" s="541"/>
      <c r="K1" s="539"/>
      <c r="L1" s="540"/>
      <c r="N1" s="540"/>
    </row>
    <row r="2" spans="1:18">
      <c r="B2" s="543"/>
      <c r="C2" s="539"/>
      <c r="D2" s="544"/>
      <c r="E2" s="545"/>
      <c r="F2" s="546" t="s">
        <v>81</v>
      </c>
      <c r="G2" s="547" t="s">
        <v>2841</v>
      </c>
      <c r="H2" s="537" t="s">
        <v>81</v>
      </c>
      <c r="I2" s="935">
        <f>TAGELE(G3,G4,G2,G5)</f>
        <v>264.75</v>
      </c>
      <c r="K2" s="539"/>
      <c r="L2" s="544"/>
      <c r="M2" s="545"/>
      <c r="N2" s="544"/>
    </row>
    <row r="3" spans="1:18">
      <c r="G3" s="550">
        <v>18</v>
      </c>
      <c r="I3" s="935"/>
      <c r="O3" s="551"/>
    </row>
    <row r="4" spans="1:18">
      <c r="B4" s="538"/>
      <c r="C4" s="539"/>
      <c r="D4" s="540"/>
      <c r="E4" s="540"/>
      <c r="F4" s="540"/>
      <c r="G4" s="552" t="s">
        <v>2842</v>
      </c>
      <c r="I4" s="935"/>
      <c r="K4" s="539"/>
      <c r="L4" s="540"/>
      <c r="M4" s="540"/>
      <c r="N4" s="540"/>
      <c r="O4" s="540"/>
    </row>
    <row r="5" spans="1:18">
      <c r="B5" s="543"/>
      <c r="C5" s="539"/>
      <c r="D5" s="544"/>
      <c r="E5" s="544"/>
      <c r="F5" s="544"/>
      <c r="G5" s="553">
        <v>4</v>
      </c>
      <c r="I5" s="935"/>
      <c r="K5" s="539"/>
      <c r="L5" s="544"/>
      <c r="M5" s="544"/>
      <c r="N5" s="544"/>
      <c r="O5" s="544"/>
    </row>
    <row r="6" spans="1:18">
      <c r="B6" s="543"/>
      <c r="C6" s="539"/>
      <c r="D6" s="544"/>
      <c r="E6" s="544"/>
      <c r="F6" s="544"/>
      <c r="K6" s="539"/>
      <c r="L6" s="544"/>
      <c r="M6" s="544"/>
      <c r="N6" s="544"/>
      <c r="O6" s="544"/>
    </row>
    <row r="7" spans="1:18" ht="15.75" thickBot="1">
      <c r="C7" s="539"/>
      <c r="D7" s="544"/>
      <c r="E7" s="545"/>
      <c r="F7" s="544"/>
      <c r="K7" s="539"/>
      <c r="L7" s="544"/>
      <c r="M7" s="545"/>
      <c r="N7" s="544"/>
    </row>
    <row r="8" spans="1:18">
      <c r="B8" s="779" t="s">
        <v>2843</v>
      </c>
      <c r="C8" s="780"/>
      <c r="D8" s="780"/>
      <c r="E8" s="780"/>
      <c r="F8" s="780"/>
      <c r="G8" s="780"/>
      <c r="H8" s="780"/>
      <c r="I8" s="780"/>
      <c r="J8" s="780"/>
      <c r="K8" s="780"/>
      <c r="L8" s="780"/>
      <c r="M8" s="780"/>
      <c r="N8" s="780"/>
      <c r="O8" s="780"/>
      <c r="P8" s="780"/>
      <c r="Q8" s="780"/>
      <c r="R8" s="781"/>
    </row>
    <row r="9" spans="1:18" ht="60" customHeight="1">
      <c r="B9" s="936" t="str">
        <f>LE_DECLARE_TABLE("tAgeLE","",B10:R90)</f>
        <v>Declared table TAGELE</v>
      </c>
      <c r="C9" s="937"/>
      <c r="D9" s="937"/>
      <c r="E9" s="937"/>
      <c r="F9" s="937"/>
      <c r="G9" s="937"/>
      <c r="H9" s="937"/>
      <c r="I9" s="937"/>
      <c r="J9" s="937"/>
      <c r="K9" s="937"/>
      <c r="L9" s="937"/>
      <c r="M9" s="937"/>
      <c r="N9" s="937"/>
      <c r="O9" s="937"/>
      <c r="P9" s="937"/>
      <c r="Q9" s="937"/>
      <c r="R9" s="938"/>
    </row>
    <row r="10" spans="1:18">
      <c r="B10" s="771"/>
      <c r="C10" s="939" t="s">
        <v>2842</v>
      </c>
      <c r="D10" s="939"/>
      <c r="E10" s="939"/>
      <c r="F10" s="939"/>
      <c r="G10" s="939"/>
      <c r="H10" s="939"/>
      <c r="I10" s="939"/>
      <c r="J10" s="939"/>
      <c r="K10" s="939"/>
      <c r="L10" s="939"/>
      <c r="M10" s="939"/>
      <c r="N10" s="939"/>
      <c r="O10" s="939"/>
      <c r="P10" s="939"/>
      <c r="Q10" s="939"/>
      <c r="R10" s="940"/>
    </row>
    <row r="11" spans="1:18">
      <c r="B11" s="554"/>
      <c r="C11" s="941" t="s">
        <v>862</v>
      </c>
      <c r="D11" s="941"/>
      <c r="E11" s="941"/>
      <c r="F11" s="941"/>
      <c r="G11" s="941"/>
      <c r="H11" s="941"/>
      <c r="I11" s="941"/>
      <c r="J11" s="942"/>
      <c r="K11" s="941" t="s">
        <v>2841</v>
      </c>
      <c r="L11" s="941"/>
      <c r="M11" s="941"/>
      <c r="N11" s="941"/>
      <c r="O11" s="941"/>
      <c r="P11" s="941"/>
      <c r="Q11" s="941"/>
      <c r="R11" s="942"/>
    </row>
    <row r="12" spans="1:18" s="555" customFormat="1" ht="15.75" thickBot="1">
      <c r="B12" s="556"/>
      <c r="C12" s="557">
        <v>1</v>
      </c>
      <c r="D12" s="557">
        <v>2</v>
      </c>
      <c r="E12" s="557">
        <v>3</v>
      </c>
      <c r="F12" s="557">
        <v>4</v>
      </c>
      <c r="G12" s="557">
        <v>5</v>
      </c>
      <c r="H12" s="557">
        <v>6</v>
      </c>
      <c r="I12" s="557">
        <v>7</v>
      </c>
      <c r="J12" s="558">
        <v>8</v>
      </c>
      <c r="K12" s="557">
        <v>1</v>
      </c>
      <c r="L12" s="557">
        <v>2</v>
      </c>
      <c r="M12" s="557">
        <v>3</v>
      </c>
      <c r="N12" s="557">
        <v>4</v>
      </c>
      <c r="O12" s="557">
        <v>5</v>
      </c>
      <c r="P12" s="557">
        <v>6</v>
      </c>
      <c r="Q12" s="557">
        <v>7</v>
      </c>
      <c r="R12" s="558">
        <v>8</v>
      </c>
    </row>
    <row r="13" spans="1:18">
      <c r="B13" s="559">
        <v>18</v>
      </c>
      <c r="C13" s="560">
        <v>192</v>
      </c>
      <c r="D13" s="561">
        <v>264.75</v>
      </c>
      <c r="E13" s="560">
        <v>264.75</v>
      </c>
      <c r="F13" s="560">
        <v>264.75</v>
      </c>
      <c r="G13" s="560"/>
      <c r="H13" s="561"/>
      <c r="I13" s="561"/>
      <c r="J13" s="562"/>
      <c r="K13" s="560">
        <v>192</v>
      </c>
      <c r="L13" s="561">
        <v>264.75</v>
      </c>
      <c r="M13" s="560">
        <v>264.75</v>
      </c>
      <c r="N13" s="560">
        <v>264.75</v>
      </c>
      <c r="O13" s="560"/>
      <c r="P13" s="561"/>
      <c r="Q13" s="561"/>
      <c r="R13" s="562"/>
    </row>
    <row r="14" spans="1:18">
      <c r="B14" s="563">
        <v>19</v>
      </c>
      <c r="C14" s="564">
        <v>174.66666666666666</v>
      </c>
      <c r="D14" s="565">
        <v>237.82</v>
      </c>
      <c r="E14" s="564">
        <v>237.82</v>
      </c>
      <c r="F14" s="564">
        <v>237.82</v>
      </c>
      <c r="G14" s="564"/>
      <c r="H14" s="565"/>
      <c r="I14" s="565"/>
      <c r="J14" s="566"/>
      <c r="K14" s="564">
        <v>174.66666666666666</v>
      </c>
      <c r="L14" s="565">
        <v>237.82</v>
      </c>
      <c r="M14" s="564">
        <v>237.82</v>
      </c>
      <c r="N14" s="564">
        <v>237.82</v>
      </c>
      <c r="O14" s="564"/>
      <c r="P14" s="565"/>
      <c r="Q14" s="565"/>
      <c r="R14" s="566"/>
    </row>
    <row r="15" spans="1:18">
      <c r="B15" s="563">
        <v>20</v>
      </c>
      <c r="C15" s="564">
        <v>144</v>
      </c>
      <c r="D15" s="565">
        <v>194.37</v>
      </c>
      <c r="E15" s="564">
        <v>194.37</v>
      </c>
      <c r="F15" s="564">
        <v>194.37</v>
      </c>
      <c r="G15" s="564"/>
      <c r="H15" s="565"/>
      <c r="I15" s="565"/>
      <c r="J15" s="566"/>
      <c r="K15" s="564">
        <v>144</v>
      </c>
      <c r="L15" s="565">
        <v>194.37</v>
      </c>
      <c r="M15" s="564">
        <v>194.37</v>
      </c>
      <c r="N15" s="564">
        <v>194.37</v>
      </c>
      <c r="O15" s="564"/>
      <c r="P15" s="565"/>
      <c r="Q15" s="565"/>
      <c r="R15" s="566"/>
    </row>
    <row r="16" spans="1:18">
      <c r="A16" s="567" t="s">
        <v>88</v>
      </c>
      <c r="B16" s="563">
        <v>21</v>
      </c>
      <c r="C16" s="564">
        <v>113.33333333333333</v>
      </c>
      <c r="D16" s="565">
        <v>150.32</v>
      </c>
      <c r="E16" s="564">
        <v>150.32</v>
      </c>
      <c r="F16" s="564">
        <v>150.32</v>
      </c>
      <c r="G16" s="564"/>
      <c r="H16" s="565"/>
      <c r="I16" s="565"/>
      <c r="J16" s="566"/>
      <c r="K16" s="564">
        <v>113.33333333333333</v>
      </c>
      <c r="L16" s="565">
        <v>150.32</v>
      </c>
      <c r="M16" s="564">
        <v>150.32</v>
      </c>
      <c r="N16" s="564">
        <v>150.32</v>
      </c>
      <c r="O16" s="564"/>
      <c r="P16" s="565"/>
      <c r="Q16" s="565"/>
      <c r="R16" s="566"/>
    </row>
    <row r="17" spans="2:18">
      <c r="B17" s="563">
        <v>22</v>
      </c>
      <c r="C17" s="564">
        <v>82.666666666666657</v>
      </c>
      <c r="D17" s="565">
        <v>107.39</v>
      </c>
      <c r="E17" s="564">
        <v>107.39</v>
      </c>
      <c r="F17" s="564">
        <v>107.39</v>
      </c>
      <c r="G17" s="564"/>
      <c r="H17" s="565"/>
      <c r="I17" s="565"/>
      <c r="J17" s="566"/>
      <c r="K17" s="564">
        <v>82.666666666666657</v>
      </c>
      <c r="L17" s="565">
        <v>107.39</v>
      </c>
      <c r="M17" s="564">
        <v>107.39</v>
      </c>
      <c r="N17" s="564">
        <v>107.39</v>
      </c>
      <c r="O17" s="564"/>
      <c r="P17" s="565"/>
      <c r="Q17" s="565"/>
      <c r="R17" s="566"/>
    </row>
    <row r="18" spans="2:18">
      <c r="B18" s="563">
        <v>23</v>
      </c>
      <c r="C18" s="564">
        <v>52</v>
      </c>
      <c r="D18" s="565">
        <v>69.58</v>
      </c>
      <c r="E18" s="564">
        <v>69.58</v>
      </c>
      <c r="F18" s="564">
        <v>69.58</v>
      </c>
      <c r="G18" s="564"/>
      <c r="H18" s="565"/>
      <c r="I18" s="565"/>
      <c r="J18" s="566"/>
      <c r="K18" s="564">
        <v>52</v>
      </c>
      <c r="L18" s="565">
        <v>69.58</v>
      </c>
      <c r="M18" s="564">
        <v>69.58</v>
      </c>
      <c r="N18" s="564">
        <v>69.58</v>
      </c>
      <c r="O18" s="564"/>
      <c r="P18" s="565"/>
      <c r="Q18" s="565"/>
      <c r="R18" s="566"/>
    </row>
    <row r="19" spans="2:18">
      <c r="B19" s="563">
        <v>24</v>
      </c>
      <c r="C19" s="564">
        <v>32.253599999999999</v>
      </c>
      <c r="D19" s="565">
        <v>47.89</v>
      </c>
      <c r="E19" s="564">
        <v>47.89</v>
      </c>
      <c r="F19" s="564">
        <v>47.89</v>
      </c>
      <c r="G19" s="564"/>
      <c r="H19" s="565"/>
      <c r="I19" s="565"/>
      <c r="J19" s="566"/>
      <c r="K19" s="564">
        <v>32.253599999999999</v>
      </c>
      <c r="L19" s="565">
        <v>47.89</v>
      </c>
      <c r="M19" s="564">
        <v>47.89</v>
      </c>
      <c r="N19" s="564">
        <v>47.89</v>
      </c>
      <c r="O19" s="564"/>
      <c r="P19" s="565"/>
      <c r="Q19" s="565"/>
      <c r="R19" s="566"/>
    </row>
    <row r="20" spans="2:18">
      <c r="B20" s="563">
        <v>25</v>
      </c>
      <c r="C20" s="564">
        <v>23.128</v>
      </c>
      <c r="D20" s="565">
        <v>33.67</v>
      </c>
      <c r="E20" s="564">
        <v>33.67</v>
      </c>
      <c r="F20" s="564">
        <v>33.67</v>
      </c>
      <c r="G20" s="564"/>
      <c r="H20" s="565"/>
      <c r="I20" s="565"/>
      <c r="J20" s="566"/>
      <c r="K20" s="564">
        <v>23.128</v>
      </c>
      <c r="L20" s="565">
        <v>33.67</v>
      </c>
      <c r="M20" s="564">
        <v>33.67</v>
      </c>
      <c r="N20" s="564">
        <v>33.67</v>
      </c>
      <c r="O20" s="564"/>
      <c r="P20" s="565"/>
      <c r="Q20" s="565"/>
      <c r="R20" s="566"/>
    </row>
    <row r="21" spans="2:18">
      <c r="B21" s="563">
        <v>26</v>
      </c>
      <c r="C21" s="564">
        <v>15.6464</v>
      </c>
      <c r="D21" s="565">
        <v>23.53</v>
      </c>
      <c r="E21" s="564">
        <v>23.53</v>
      </c>
      <c r="F21" s="564">
        <v>23.53</v>
      </c>
      <c r="G21" s="564"/>
      <c r="H21" s="565"/>
      <c r="I21" s="565"/>
      <c r="J21" s="566"/>
      <c r="K21" s="564">
        <v>15.6464</v>
      </c>
      <c r="L21" s="565">
        <v>23.53</v>
      </c>
      <c r="M21" s="564">
        <v>23.53</v>
      </c>
      <c r="N21" s="564">
        <v>23.53</v>
      </c>
      <c r="O21" s="564"/>
      <c r="P21" s="565"/>
      <c r="Q21" s="565"/>
      <c r="R21" s="566"/>
    </row>
    <row r="22" spans="2:18">
      <c r="B22" s="563">
        <v>27</v>
      </c>
      <c r="C22" s="564">
        <v>13.338399999999998</v>
      </c>
      <c r="D22" s="565">
        <v>17.829999999999998</v>
      </c>
      <c r="E22" s="564">
        <v>17.829999999999998</v>
      </c>
      <c r="F22" s="564">
        <v>17.829999999999998</v>
      </c>
      <c r="G22" s="564"/>
      <c r="H22" s="565"/>
      <c r="I22" s="565"/>
      <c r="J22" s="566"/>
      <c r="K22" s="564">
        <v>13.338399999999998</v>
      </c>
      <c r="L22" s="565">
        <v>17.829999999999998</v>
      </c>
      <c r="M22" s="564">
        <v>17.829999999999998</v>
      </c>
      <c r="N22" s="564">
        <v>17.829999999999998</v>
      </c>
      <c r="O22" s="564"/>
      <c r="P22" s="565"/>
      <c r="Q22" s="565"/>
      <c r="R22" s="566"/>
    </row>
    <row r="23" spans="2:18">
      <c r="B23" s="563">
        <v>28</v>
      </c>
      <c r="C23" s="564">
        <v>11.734400000000001</v>
      </c>
      <c r="D23" s="565">
        <v>12.8</v>
      </c>
      <c r="E23" s="564">
        <v>12.8</v>
      </c>
      <c r="F23" s="564">
        <v>12.8</v>
      </c>
      <c r="G23" s="564"/>
      <c r="H23" s="565"/>
      <c r="I23" s="565"/>
      <c r="J23" s="566"/>
      <c r="K23" s="564">
        <v>11.734400000000001</v>
      </c>
      <c r="L23" s="565">
        <v>12.8</v>
      </c>
      <c r="M23" s="564">
        <v>12.8</v>
      </c>
      <c r="N23" s="564">
        <v>12.8</v>
      </c>
      <c r="O23" s="564"/>
      <c r="P23" s="565"/>
      <c r="Q23" s="565"/>
      <c r="R23" s="566"/>
    </row>
    <row r="24" spans="2:18">
      <c r="B24" s="563">
        <v>29</v>
      </c>
      <c r="C24" s="564">
        <v>10.429600000000001</v>
      </c>
      <c r="D24" s="565">
        <v>10.63</v>
      </c>
      <c r="E24" s="564">
        <v>10.63</v>
      </c>
      <c r="F24" s="564">
        <v>10.63</v>
      </c>
      <c r="G24" s="564"/>
      <c r="H24" s="565"/>
      <c r="I24" s="565"/>
      <c r="J24" s="566"/>
      <c r="K24" s="564">
        <v>10.429600000000001</v>
      </c>
      <c r="L24" s="565">
        <v>10.63</v>
      </c>
      <c r="M24" s="564">
        <v>10.63</v>
      </c>
      <c r="N24" s="564">
        <v>10.63</v>
      </c>
      <c r="O24" s="564"/>
      <c r="P24" s="565"/>
      <c r="Q24" s="565"/>
      <c r="R24" s="566"/>
    </row>
    <row r="25" spans="2:18">
      <c r="B25" s="563">
        <v>30</v>
      </c>
      <c r="C25" s="564">
        <v>9.2935999999999996</v>
      </c>
      <c r="D25" s="565">
        <v>9.2899999999999991</v>
      </c>
      <c r="E25" s="564">
        <v>9.2899999999999991</v>
      </c>
      <c r="F25" s="564">
        <v>9.2899999999999991</v>
      </c>
      <c r="G25" s="564"/>
      <c r="H25" s="565"/>
      <c r="I25" s="565"/>
      <c r="J25" s="566"/>
      <c r="K25" s="564">
        <v>9.2935999999999996</v>
      </c>
      <c r="L25" s="565">
        <v>9.2899999999999991</v>
      </c>
      <c r="M25" s="564">
        <v>9.2899999999999991</v>
      </c>
      <c r="N25" s="564">
        <v>9.2899999999999991</v>
      </c>
      <c r="O25" s="564"/>
      <c r="P25" s="565"/>
      <c r="Q25" s="565"/>
      <c r="R25" s="566"/>
    </row>
    <row r="26" spans="2:18">
      <c r="B26" s="563">
        <v>31</v>
      </c>
      <c r="C26" s="564">
        <v>7.4592000000000001</v>
      </c>
      <c r="D26" s="565">
        <v>7.34</v>
      </c>
      <c r="E26" s="564">
        <v>7.34</v>
      </c>
      <c r="F26" s="564">
        <v>7.34</v>
      </c>
      <c r="G26" s="564"/>
      <c r="H26" s="565"/>
      <c r="I26" s="565"/>
      <c r="J26" s="566"/>
      <c r="K26" s="564">
        <v>7.4592000000000001</v>
      </c>
      <c r="L26" s="565">
        <v>7.34</v>
      </c>
      <c r="M26" s="564">
        <v>7.34</v>
      </c>
      <c r="N26" s="564">
        <v>7.34</v>
      </c>
      <c r="O26" s="564"/>
      <c r="P26" s="565"/>
      <c r="Q26" s="565"/>
      <c r="R26" s="566"/>
    </row>
    <row r="27" spans="2:18">
      <c r="B27" s="563">
        <v>32</v>
      </c>
      <c r="C27" s="564">
        <v>5.8218400000000008</v>
      </c>
      <c r="D27" s="565">
        <v>5.91</v>
      </c>
      <c r="E27" s="564">
        <v>5.91</v>
      </c>
      <c r="F27" s="564">
        <v>5.91</v>
      </c>
      <c r="G27" s="564"/>
      <c r="H27" s="565"/>
      <c r="I27" s="565"/>
      <c r="J27" s="566"/>
      <c r="K27" s="564">
        <v>5.8218400000000008</v>
      </c>
      <c r="L27" s="565">
        <v>5.91</v>
      </c>
      <c r="M27" s="564">
        <v>5.91</v>
      </c>
      <c r="N27" s="564">
        <v>5.91</v>
      </c>
      <c r="O27" s="564"/>
      <c r="P27" s="565"/>
      <c r="Q27" s="565"/>
      <c r="R27" s="566"/>
    </row>
    <row r="28" spans="2:18">
      <c r="B28" s="563">
        <v>33</v>
      </c>
      <c r="C28" s="564">
        <v>4.6364000000000001</v>
      </c>
      <c r="D28" s="565">
        <v>4.92</v>
      </c>
      <c r="E28" s="564">
        <v>4.92</v>
      </c>
      <c r="F28" s="564">
        <v>4.92</v>
      </c>
      <c r="G28" s="564"/>
      <c r="H28" s="565"/>
      <c r="I28" s="565"/>
      <c r="J28" s="566"/>
      <c r="K28" s="564">
        <v>4.6364000000000001</v>
      </c>
      <c r="L28" s="565">
        <v>4.92</v>
      </c>
      <c r="M28" s="564">
        <v>4.92</v>
      </c>
      <c r="N28" s="564">
        <v>4.92</v>
      </c>
      <c r="O28" s="564"/>
      <c r="P28" s="565"/>
      <c r="Q28" s="565"/>
      <c r="R28" s="566"/>
    </row>
    <row r="29" spans="2:18">
      <c r="B29" s="563">
        <v>34</v>
      </c>
      <c r="C29" s="564">
        <v>3.1387999999999998</v>
      </c>
      <c r="D29" s="565">
        <v>3.48</v>
      </c>
      <c r="E29" s="564">
        <v>3.48</v>
      </c>
      <c r="F29" s="564">
        <v>3.48</v>
      </c>
      <c r="G29" s="564"/>
      <c r="H29" s="565"/>
      <c r="I29" s="565"/>
      <c r="J29" s="566"/>
      <c r="K29" s="564">
        <v>3.1387999999999998</v>
      </c>
      <c r="L29" s="565">
        <v>3.48</v>
      </c>
      <c r="M29" s="564">
        <v>3.48</v>
      </c>
      <c r="N29" s="564">
        <v>3.48</v>
      </c>
      <c r="O29" s="564"/>
      <c r="P29" s="565"/>
      <c r="Q29" s="565"/>
      <c r="R29" s="566"/>
    </row>
    <row r="30" spans="2:18">
      <c r="B30" s="563">
        <v>35</v>
      </c>
      <c r="C30" s="564">
        <v>1.6111200000000003</v>
      </c>
      <c r="D30" s="565">
        <v>1.9</v>
      </c>
      <c r="E30" s="564">
        <v>1.9</v>
      </c>
      <c r="F30" s="564">
        <v>1.9</v>
      </c>
      <c r="G30" s="564"/>
      <c r="H30" s="565"/>
      <c r="I30" s="565"/>
      <c r="J30" s="566"/>
      <c r="K30" s="564">
        <v>1.6111200000000003</v>
      </c>
      <c r="L30" s="565">
        <v>1.9</v>
      </c>
      <c r="M30" s="564">
        <v>1.9</v>
      </c>
      <c r="N30" s="564">
        <v>1.9</v>
      </c>
      <c r="O30" s="564"/>
      <c r="P30" s="565"/>
      <c r="Q30" s="565"/>
      <c r="R30" s="566"/>
    </row>
    <row r="31" spans="2:18">
      <c r="B31" s="563">
        <v>36</v>
      </c>
      <c r="C31" s="564">
        <v>0.11679999999999993</v>
      </c>
      <c r="D31" s="565">
        <v>0.27</v>
      </c>
      <c r="E31" s="564">
        <v>0.27</v>
      </c>
      <c r="F31" s="564">
        <v>0.27</v>
      </c>
      <c r="G31" s="564"/>
      <c r="H31" s="565"/>
      <c r="I31" s="565"/>
      <c r="J31" s="566"/>
      <c r="K31" s="564">
        <v>0.11679999999999993</v>
      </c>
      <c r="L31" s="565">
        <v>0.27</v>
      </c>
      <c r="M31" s="564">
        <v>0.27</v>
      </c>
      <c r="N31" s="564">
        <v>0.27</v>
      </c>
      <c r="O31" s="564"/>
      <c r="P31" s="565"/>
      <c r="Q31" s="565"/>
      <c r="R31" s="566"/>
    </row>
    <row r="32" spans="2:18">
      <c r="B32" s="563">
        <v>37</v>
      </c>
      <c r="C32" s="564">
        <v>-1.2805599999999999</v>
      </c>
      <c r="D32" s="565">
        <v>-1.26</v>
      </c>
      <c r="E32" s="564">
        <v>-1.26</v>
      </c>
      <c r="F32" s="564">
        <v>-1.26</v>
      </c>
      <c r="G32" s="564"/>
      <c r="H32" s="565"/>
      <c r="I32" s="565"/>
      <c r="J32" s="566"/>
      <c r="K32" s="564">
        <v>-1.2805599999999999</v>
      </c>
      <c r="L32" s="565">
        <v>-1.26</v>
      </c>
      <c r="M32" s="564">
        <v>-1.26</v>
      </c>
      <c r="N32" s="564">
        <v>-1.26</v>
      </c>
      <c r="O32" s="564"/>
      <c r="P32" s="565"/>
      <c r="Q32" s="565"/>
      <c r="R32" s="566"/>
    </row>
    <row r="33" spans="2:18">
      <c r="B33" s="563">
        <v>38</v>
      </c>
      <c r="C33" s="564">
        <v>-2.5176000000000003</v>
      </c>
      <c r="D33" s="565">
        <v>-2.59</v>
      </c>
      <c r="E33" s="564">
        <v>-2.59</v>
      </c>
      <c r="F33" s="564">
        <v>-2.59</v>
      </c>
      <c r="G33" s="564"/>
      <c r="H33" s="565"/>
      <c r="I33" s="565"/>
      <c r="J33" s="566"/>
      <c r="K33" s="564">
        <v>-2.5176000000000003</v>
      </c>
      <c r="L33" s="565">
        <v>-2.59</v>
      </c>
      <c r="M33" s="564">
        <v>-2.59</v>
      </c>
      <c r="N33" s="564">
        <v>-2.59</v>
      </c>
      <c r="O33" s="564"/>
      <c r="P33" s="565"/>
      <c r="Q33" s="565"/>
      <c r="R33" s="566"/>
    </row>
    <row r="34" spans="2:18">
      <c r="B34" s="563">
        <v>39</v>
      </c>
      <c r="C34" s="564">
        <v>-3.548648</v>
      </c>
      <c r="D34" s="565">
        <v>-3.62</v>
      </c>
      <c r="E34" s="564">
        <v>-3.62</v>
      </c>
      <c r="F34" s="564">
        <v>-3.62</v>
      </c>
      <c r="G34" s="564"/>
      <c r="H34" s="565"/>
      <c r="I34" s="565"/>
      <c r="J34" s="566"/>
      <c r="K34" s="564">
        <v>-3.548648</v>
      </c>
      <c r="L34" s="565">
        <v>-3.62</v>
      </c>
      <c r="M34" s="564">
        <v>-3.62</v>
      </c>
      <c r="N34" s="564">
        <v>-3.62</v>
      </c>
      <c r="O34" s="564"/>
      <c r="P34" s="565"/>
      <c r="Q34" s="565"/>
      <c r="R34" s="566"/>
    </row>
    <row r="35" spans="2:18">
      <c r="B35" s="563">
        <v>40</v>
      </c>
      <c r="C35" s="564">
        <v>-4.4000000000000004</v>
      </c>
      <c r="D35" s="565">
        <v>-4.4000000000000004</v>
      </c>
      <c r="E35" s="564">
        <v>-4.4000000000000004</v>
      </c>
      <c r="F35" s="564">
        <v>-4.4000000000000004</v>
      </c>
      <c r="G35" s="564"/>
      <c r="H35" s="565"/>
      <c r="I35" s="565"/>
      <c r="J35" s="566"/>
      <c r="K35" s="564">
        <v>-4.4000000000000004</v>
      </c>
      <c r="L35" s="565">
        <v>-4.4000000000000004</v>
      </c>
      <c r="M35" s="564">
        <v>-4.4000000000000004</v>
      </c>
      <c r="N35" s="564">
        <v>-4.4000000000000004</v>
      </c>
      <c r="O35" s="564"/>
      <c r="P35" s="565"/>
      <c r="Q35" s="565"/>
      <c r="R35" s="566"/>
    </row>
    <row r="36" spans="2:18">
      <c r="B36" s="563">
        <v>41</v>
      </c>
      <c r="C36" s="564">
        <v>-5.1158239999999999</v>
      </c>
      <c r="D36" s="565">
        <v>-4.9800000000000004</v>
      </c>
      <c r="E36" s="564">
        <v>-4.9800000000000004</v>
      </c>
      <c r="F36" s="564">
        <v>-4.9800000000000004</v>
      </c>
      <c r="G36" s="564"/>
      <c r="H36" s="565"/>
      <c r="I36" s="565"/>
      <c r="J36" s="566"/>
      <c r="K36" s="564">
        <v>-5.1158239999999999</v>
      </c>
      <c r="L36" s="565">
        <v>-4.9800000000000004</v>
      </c>
      <c r="M36" s="564">
        <v>-4.9800000000000004</v>
      </c>
      <c r="N36" s="564">
        <v>-4.9800000000000004</v>
      </c>
      <c r="O36" s="564"/>
      <c r="P36" s="565"/>
      <c r="Q36" s="565"/>
      <c r="R36" s="566"/>
    </row>
    <row r="37" spans="2:18">
      <c r="B37" s="563">
        <v>42</v>
      </c>
      <c r="C37" s="564">
        <v>-6.5403040000000008</v>
      </c>
      <c r="D37" s="565">
        <v>-6.24</v>
      </c>
      <c r="E37" s="564">
        <v>-6.24</v>
      </c>
      <c r="F37" s="564">
        <v>-6.24</v>
      </c>
      <c r="G37" s="564"/>
      <c r="H37" s="565"/>
      <c r="I37" s="565"/>
      <c r="J37" s="566"/>
      <c r="K37" s="564">
        <v>-6.5403040000000008</v>
      </c>
      <c r="L37" s="565">
        <v>-6.24</v>
      </c>
      <c r="M37" s="564">
        <v>-6.24</v>
      </c>
      <c r="N37" s="564">
        <v>-6.24</v>
      </c>
      <c r="O37" s="564"/>
      <c r="P37" s="565"/>
      <c r="Q37" s="565"/>
      <c r="R37" s="566"/>
    </row>
    <row r="38" spans="2:18">
      <c r="B38" s="563">
        <v>43</v>
      </c>
      <c r="C38" s="564">
        <v>-7.5176159999999994</v>
      </c>
      <c r="D38" s="565">
        <v>-7.03</v>
      </c>
      <c r="E38" s="564">
        <v>-7.03</v>
      </c>
      <c r="F38" s="564">
        <v>-7.03</v>
      </c>
      <c r="G38" s="564"/>
      <c r="H38" s="565"/>
      <c r="I38" s="565"/>
      <c r="J38" s="566"/>
      <c r="K38" s="564">
        <v>-7.5176159999999994</v>
      </c>
      <c r="L38" s="565">
        <v>-7.03</v>
      </c>
      <c r="M38" s="564">
        <v>-7.03</v>
      </c>
      <c r="N38" s="564">
        <v>-7.03</v>
      </c>
      <c r="O38" s="564"/>
      <c r="P38" s="565"/>
      <c r="Q38" s="565"/>
      <c r="R38" s="566"/>
    </row>
    <row r="39" spans="2:18">
      <c r="B39" s="563">
        <v>44</v>
      </c>
      <c r="C39" s="564">
        <v>-8.4919200000000004</v>
      </c>
      <c r="D39" s="565">
        <v>-7.82</v>
      </c>
      <c r="E39" s="564">
        <v>-7.82</v>
      </c>
      <c r="F39" s="564">
        <v>-7.82</v>
      </c>
      <c r="G39" s="564"/>
      <c r="H39" s="565"/>
      <c r="I39" s="565"/>
      <c r="J39" s="566"/>
      <c r="K39" s="564">
        <v>-8.4919200000000004</v>
      </c>
      <c r="L39" s="565">
        <v>-7.82</v>
      </c>
      <c r="M39" s="564">
        <v>-7.82</v>
      </c>
      <c r="N39" s="564">
        <v>-7.82</v>
      </c>
      <c r="O39" s="564"/>
      <c r="P39" s="565"/>
      <c r="Q39" s="565"/>
      <c r="R39" s="566"/>
    </row>
    <row r="40" spans="2:18">
      <c r="B40" s="563">
        <v>45</v>
      </c>
      <c r="C40" s="564">
        <v>-9.5075199999999995</v>
      </c>
      <c r="D40" s="565">
        <v>-8.69</v>
      </c>
      <c r="E40" s="564">
        <v>-8.69</v>
      </c>
      <c r="F40" s="564">
        <v>-8.69</v>
      </c>
      <c r="G40" s="564"/>
      <c r="H40" s="565"/>
      <c r="I40" s="565"/>
      <c r="J40" s="566"/>
      <c r="K40" s="564">
        <v>-9.5075199999999995</v>
      </c>
      <c r="L40" s="565">
        <v>-8.69</v>
      </c>
      <c r="M40" s="564">
        <v>-8.69</v>
      </c>
      <c r="N40" s="564">
        <v>-8.69</v>
      </c>
      <c r="O40" s="564"/>
      <c r="P40" s="565"/>
      <c r="Q40" s="565"/>
      <c r="R40" s="566"/>
    </row>
    <row r="41" spans="2:18">
      <c r="B41" s="563">
        <v>46</v>
      </c>
      <c r="C41" s="564">
        <v>-10.6084</v>
      </c>
      <c r="D41" s="565">
        <v>-9.68</v>
      </c>
      <c r="E41" s="564">
        <v>-9.68</v>
      </c>
      <c r="F41" s="564">
        <v>-9.68</v>
      </c>
      <c r="G41" s="564"/>
      <c r="H41" s="565"/>
      <c r="I41" s="565"/>
      <c r="J41" s="566"/>
      <c r="K41" s="564">
        <v>-10.6084</v>
      </c>
      <c r="L41" s="565">
        <v>-9.68</v>
      </c>
      <c r="M41" s="564">
        <v>-9.68</v>
      </c>
      <c r="N41" s="564">
        <v>-9.68</v>
      </c>
      <c r="O41" s="564"/>
      <c r="P41" s="565"/>
      <c r="Q41" s="565"/>
      <c r="R41" s="566"/>
    </row>
    <row r="42" spans="2:18">
      <c r="B42" s="563">
        <v>47</v>
      </c>
      <c r="C42" s="564">
        <v>-11.8264</v>
      </c>
      <c r="D42" s="565">
        <v>-10.86</v>
      </c>
      <c r="E42" s="564">
        <v>-10.86</v>
      </c>
      <c r="F42" s="564">
        <v>-10.86</v>
      </c>
      <c r="G42" s="564"/>
      <c r="H42" s="565"/>
      <c r="I42" s="565"/>
      <c r="J42" s="566"/>
      <c r="K42" s="564">
        <v>-11.8264</v>
      </c>
      <c r="L42" s="565">
        <v>-10.86</v>
      </c>
      <c r="M42" s="564">
        <v>-10.86</v>
      </c>
      <c r="N42" s="564">
        <v>-10.86</v>
      </c>
      <c r="O42" s="564"/>
      <c r="P42" s="565"/>
      <c r="Q42" s="565"/>
      <c r="R42" s="566"/>
    </row>
    <row r="43" spans="2:18">
      <c r="B43" s="563">
        <v>48</v>
      </c>
      <c r="C43" s="564">
        <v>-13.143040000000003</v>
      </c>
      <c r="D43" s="565">
        <v>-12.2</v>
      </c>
      <c r="E43" s="564">
        <v>-12.2</v>
      </c>
      <c r="F43" s="564">
        <v>-12.2</v>
      </c>
      <c r="G43" s="564"/>
      <c r="H43" s="565"/>
      <c r="I43" s="565"/>
      <c r="J43" s="566"/>
      <c r="K43" s="564">
        <v>-13.143040000000003</v>
      </c>
      <c r="L43" s="565">
        <v>-12.2</v>
      </c>
      <c r="M43" s="564">
        <v>-12.2</v>
      </c>
      <c r="N43" s="564">
        <v>-12.2</v>
      </c>
      <c r="O43" s="564"/>
      <c r="P43" s="565"/>
      <c r="Q43" s="565"/>
      <c r="R43" s="566"/>
    </row>
    <row r="44" spans="2:18">
      <c r="B44" s="563">
        <v>49</v>
      </c>
      <c r="C44" s="564">
        <v>-14.527679999999998</v>
      </c>
      <c r="D44" s="565">
        <v>-13.66</v>
      </c>
      <c r="E44" s="564">
        <v>-13.66</v>
      </c>
      <c r="F44" s="564">
        <v>-13.66</v>
      </c>
      <c r="G44" s="564"/>
      <c r="H44" s="565"/>
      <c r="I44" s="565"/>
      <c r="J44" s="566"/>
      <c r="K44" s="564">
        <v>-14.527679999999998</v>
      </c>
      <c r="L44" s="565">
        <v>-13.66</v>
      </c>
      <c r="M44" s="564">
        <v>-13.66</v>
      </c>
      <c r="N44" s="564">
        <v>-13.66</v>
      </c>
      <c r="O44" s="564"/>
      <c r="P44" s="565"/>
      <c r="Q44" s="565"/>
      <c r="R44" s="566"/>
    </row>
    <row r="45" spans="2:18">
      <c r="B45" s="563">
        <v>50</v>
      </c>
      <c r="C45" s="564">
        <v>-15.149279999999999</v>
      </c>
      <c r="D45" s="565">
        <v>-14.39</v>
      </c>
      <c r="E45" s="564">
        <v>-14.39</v>
      </c>
      <c r="F45" s="564">
        <v>-14.39</v>
      </c>
      <c r="G45" s="564"/>
      <c r="H45" s="565"/>
      <c r="I45" s="565"/>
      <c r="J45" s="566"/>
      <c r="K45" s="564">
        <v>-15.149279999999999</v>
      </c>
      <c r="L45" s="565">
        <v>-14.39</v>
      </c>
      <c r="M45" s="564">
        <v>-14.39</v>
      </c>
      <c r="N45" s="564">
        <v>-14.39</v>
      </c>
      <c r="O45" s="564"/>
      <c r="P45" s="565"/>
      <c r="Q45" s="565"/>
      <c r="R45" s="566"/>
    </row>
    <row r="46" spans="2:18">
      <c r="B46" s="563">
        <v>51</v>
      </c>
      <c r="C46" s="564">
        <v>-15.77712</v>
      </c>
      <c r="D46" s="565">
        <v>-15.16</v>
      </c>
      <c r="E46" s="564">
        <v>-15.16</v>
      </c>
      <c r="F46" s="564">
        <v>-15.16</v>
      </c>
      <c r="G46" s="564"/>
      <c r="H46" s="565"/>
      <c r="I46" s="565"/>
      <c r="J46" s="566"/>
      <c r="K46" s="564">
        <v>-15.77712</v>
      </c>
      <c r="L46" s="565">
        <v>-15.16</v>
      </c>
      <c r="M46" s="564">
        <v>-15.16</v>
      </c>
      <c r="N46" s="564">
        <v>-15.16</v>
      </c>
      <c r="O46" s="564"/>
      <c r="P46" s="565"/>
      <c r="Q46" s="565"/>
      <c r="R46" s="566"/>
    </row>
    <row r="47" spans="2:18">
      <c r="B47" s="563">
        <v>52</v>
      </c>
      <c r="C47" s="564">
        <v>-16.380320000000001</v>
      </c>
      <c r="D47" s="565">
        <v>-15.93</v>
      </c>
      <c r="E47" s="564">
        <v>-15.93</v>
      </c>
      <c r="F47" s="564">
        <v>-15.93</v>
      </c>
      <c r="G47" s="564"/>
      <c r="H47" s="565"/>
      <c r="I47" s="565"/>
      <c r="J47" s="566"/>
      <c r="K47" s="564">
        <v>-16.380320000000001</v>
      </c>
      <c r="L47" s="565">
        <v>-15.93</v>
      </c>
      <c r="M47" s="564">
        <v>-15.93</v>
      </c>
      <c r="N47" s="564">
        <v>-15.93</v>
      </c>
      <c r="O47" s="564"/>
      <c r="P47" s="565"/>
      <c r="Q47" s="565"/>
      <c r="R47" s="566"/>
    </row>
    <row r="48" spans="2:18">
      <c r="B48" s="563">
        <v>53</v>
      </c>
      <c r="C48" s="564">
        <v>-16.128</v>
      </c>
      <c r="D48" s="565">
        <v>-15.85</v>
      </c>
      <c r="E48" s="564">
        <v>-15.85</v>
      </c>
      <c r="F48" s="564">
        <v>-15.85</v>
      </c>
      <c r="G48" s="564"/>
      <c r="H48" s="565"/>
      <c r="I48" s="565"/>
      <c r="J48" s="566"/>
      <c r="K48" s="564">
        <v>-16.128</v>
      </c>
      <c r="L48" s="565">
        <v>-15.85</v>
      </c>
      <c r="M48" s="564">
        <v>-15.85</v>
      </c>
      <c r="N48" s="564">
        <v>-15.85</v>
      </c>
      <c r="O48" s="564"/>
      <c r="P48" s="565"/>
      <c r="Q48" s="565"/>
      <c r="R48" s="566"/>
    </row>
    <row r="49" spans="2:18">
      <c r="B49" s="563">
        <v>54</v>
      </c>
      <c r="C49" s="564">
        <v>-16.189360000000001</v>
      </c>
      <c r="D49" s="565">
        <v>-16.09</v>
      </c>
      <c r="E49" s="564">
        <v>-16.09</v>
      </c>
      <c r="F49" s="564">
        <v>-16.09</v>
      </c>
      <c r="G49" s="564"/>
      <c r="H49" s="565"/>
      <c r="I49" s="565"/>
      <c r="J49" s="566"/>
      <c r="K49" s="564">
        <v>-16.189360000000001</v>
      </c>
      <c r="L49" s="565">
        <v>-16.09</v>
      </c>
      <c r="M49" s="564">
        <v>-16.09</v>
      </c>
      <c r="N49" s="564">
        <v>-16.09</v>
      </c>
      <c r="O49" s="564"/>
      <c r="P49" s="565"/>
      <c r="Q49" s="565"/>
      <c r="R49" s="566"/>
    </row>
    <row r="50" spans="2:18">
      <c r="B50" s="563">
        <v>55</v>
      </c>
      <c r="C50" s="564">
        <v>-16.133600000000001</v>
      </c>
      <c r="D50" s="565">
        <v>-16.2</v>
      </c>
      <c r="E50" s="564">
        <v>-16.2</v>
      </c>
      <c r="F50" s="564">
        <v>-16.2</v>
      </c>
      <c r="G50" s="564"/>
      <c r="H50" s="565"/>
      <c r="I50" s="565"/>
      <c r="J50" s="566"/>
      <c r="K50" s="564">
        <v>-16.133600000000001</v>
      </c>
      <c r="L50" s="565">
        <v>-16.2</v>
      </c>
      <c r="M50" s="564">
        <v>-16.2</v>
      </c>
      <c r="N50" s="564">
        <v>-16.2</v>
      </c>
      <c r="O50" s="564"/>
      <c r="P50" s="565"/>
      <c r="Q50" s="565"/>
      <c r="R50" s="566"/>
    </row>
    <row r="51" spans="2:18">
      <c r="B51" s="563">
        <v>56</v>
      </c>
      <c r="C51" s="564">
        <v>-15.937520000000001</v>
      </c>
      <c r="D51" s="565">
        <v>-16.149999999999999</v>
      </c>
      <c r="E51" s="564">
        <v>-16.149999999999999</v>
      </c>
      <c r="F51" s="564">
        <v>-16.149999999999999</v>
      </c>
      <c r="G51" s="564"/>
      <c r="H51" s="565"/>
      <c r="I51" s="565"/>
      <c r="J51" s="566"/>
      <c r="K51" s="564">
        <v>-15.937520000000001</v>
      </c>
      <c r="L51" s="565">
        <v>-16.149999999999999</v>
      </c>
      <c r="M51" s="564">
        <v>-16.149999999999999</v>
      </c>
      <c r="N51" s="564">
        <v>-16.149999999999999</v>
      </c>
      <c r="O51" s="564"/>
      <c r="P51" s="565"/>
      <c r="Q51" s="565"/>
      <c r="R51" s="566"/>
    </row>
    <row r="52" spans="2:18">
      <c r="B52" s="563">
        <v>57</v>
      </c>
      <c r="C52" s="564">
        <v>-15.609120000000001</v>
      </c>
      <c r="D52" s="565">
        <v>-15.96</v>
      </c>
      <c r="E52" s="564">
        <v>-15.96</v>
      </c>
      <c r="F52" s="564">
        <v>-15.96</v>
      </c>
      <c r="G52" s="564"/>
      <c r="H52" s="565"/>
      <c r="I52" s="565"/>
      <c r="J52" s="566"/>
      <c r="K52" s="564">
        <v>-15.609120000000001</v>
      </c>
      <c r="L52" s="565">
        <v>-15.96</v>
      </c>
      <c r="M52" s="564">
        <v>-15.96</v>
      </c>
      <c r="N52" s="564">
        <v>-15.96</v>
      </c>
      <c r="O52" s="564"/>
      <c r="P52" s="565"/>
      <c r="Q52" s="565"/>
      <c r="R52" s="566"/>
    </row>
    <row r="53" spans="2:18">
      <c r="B53" s="563">
        <v>58</v>
      </c>
      <c r="C53" s="564">
        <v>-15.163760000000002</v>
      </c>
      <c r="D53" s="565">
        <v>-15.62</v>
      </c>
      <c r="E53" s="564">
        <v>-15.62</v>
      </c>
      <c r="F53" s="564">
        <v>-15.62</v>
      </c>
      <c r="G53" s="564"/>
      <c r="H53" s="565"/>
      <c r="I53" s="565"/>
      <c r="J53" s="566"/>
      <c r="K53" s="564">
        <v>-15.163760000000002</v>
      </c>
      <c r="L53" s="565">
        <v>-15.62</v>
      </c>
      <c r="M53" s="564">
        <v>-15.62</v>
      </c>
      <c r="N53" s="564">
        <v>-15.62</v>
      </c>
      <c r="O53" s="564"/>
      <c r="P53" s="565"/>
      <c r="Q53" s="565"/>
      <c r="R53" s="566"/>
    </row>
    <row r="54" spans="2:18">
      <c r="B54" s="563">
        <v>59</v>
      </c>
      <c r="C54" s="564">
        <v>-14.61712</v>
      </c>
      <c r="D54" s="565">
        <v>-15.17</v>
      </c>
      <c r="E54" s="564">
        <v>-15.17</v>
      </c>
      <c r="F54" s="564">
        <v>-15.17</v>
      </c>
      <c r="G54" s="564"/>
      <c r="H54" s="565"/>
      <c r="I54" s="565"/>
      <c r="J54" s="566"/>
      <c r="K54" s="564">
        <v>-14.61712</v>
      </c>
      <c r="L54" s="565">
        <v>-15.17</v>
      </c>
      <c r="M54" s="564">
        <v>-15.17</v>
      </c>
      <c r="N54" s="564">
        <v>-15.17</v>
      </c>
      <c r="O54" s="564"/>
      <c r="P54" s="565"/>
      <c r="Q54" s="565"/>
      <c r="R54" s="566"/>
    </row>
    <row r="55" spans="2:18">
      <c r="B55" s="563">
        <v>60</v>
      </c>
      <c r="C55" s="564">
        <v>-13.584800000000001</v>
      </c>
      <c r="D55" s="565">
        <v>-14.21</v>
      </c>
      <c r="E55" s="564">
        <v>-14.21</v>
      </c>
      <c r="F55" s="564">
        <v>-15.067900000000009</v>
      </c>
      <c r="G55" s="564"/>
      <c r="H55" s="565"/>
      <c r="I55" s="565"/>
      <c r="J55" s="566"/>
      <c r="K55" s="564">
        <v>-13.584800000000001</v>
      </c>
      <c r="L55" s="565">
        <v>-14.21</v>
      </c>
      <c r="M55" s="564">
        <v>-14.21</v>
      </c>
      <c r="N55" s="564">
        <v>-15.067900000000009</v>
      </c>
      <c r="O55" s="564"/>
      <c r="P55" s="565"/>
      <c r="Q55" s="565"/>
      <c r="R55" s="566"/>
    </row>
    <row r="56" spans="2:18">
      <c r="B56" s="563">
        <v>61</v>
      </c>
      <c r="C56" s="564">
        <v>-12.482319999999998</v>
      </c>
      <c r="D56" s="565">
        <v>-13.17</v>
      </c>
      <c r="E56" s="564">
        <v>-13.17</v>
      </c>
      <c r="F56" s="564">
        <v>-14.559280000000001</v>
      </c>
      <c r="G56" s="564"/>
      <c r="H56" s="565"/>
      <c r="I56" s="565"/>
      <c r="J56" s="566"/>
      <c r="K56" s="564">
        <v>-12.482319999999998</v>
      </c>
      <c r="L56" s="565">
        <v>-13.17</v>
      </c>
      <c r="M56" s="564">
        <v>-13.17</v>
      </c>
      <c r="N56" s="564">
        <v>-14.559280000000001</v>
      </c>
      <c r="O56" s="564"/>
      <c r="P56" s="565"/>
      <c r="Q56" s="565"/>
      <c r="R56" s="566"/>
    </row>
    <row r="57" spans="2:18">
      <c r="B57" s="563">
        <v>62</v>
      </c>
      <c r="C57" s="564">
        <v>-11.325200000000001</v>
      </c>
      <c r="D57" s="565">
        <v>-12.04</v>
      </c>
      <c r="E57" s="564">
        <v>-12.04</v>
      </c>
      <c r="F57" s="564">
        <v>-13.97511999999999</v>
      </c>
      <c r="G57" s="564"/>
      <c r="H57" s="565"/>
      <c r="I57" s="565"/>
      <c r="J57" s="566"/>
      <c r="K57" s="564">
        <v>-11.325200000000001</v>
      </c>
      <c r="L57" s="565">
        <v>-12.04</v>
      </c>
      <c r="M57" s="564">
        <v>-12.04</v>
      </c>
      <c r="N57" s="564">
        <v>-13.97511999999999</v>
      </c>
      <c r="O57" s="564"/>
      <c r="P57" s="565"/>
      <c r="Q57" s="565"/>
      <c r="R57" s="566"/>
    </row>
    <row r="58" spans="2:18">
      <c r="B58" s="563">
        <v>63</v>
      </c>
      <c r="C58" s="564">
        <v>-10.12912</v>
      </c>
      <c r="D58" s="565">
        <v>-10.86</v>
      </c>
      <c r="E58" s="564">
        <v>-10.86</v>
      </c>
      <c r="F58" s="564">
        <v>-13.355919999999998</v>
      </c>
      <c r="G58" s="564"/>
      <c r="H58" s="565"/>
      <c r="I58" s="565"/>
      <c r="J58" s="566"/>
      <c r="K58" s="564">
        <v>-10.12912</v>
      </c>
      <c r="L58" s="565">
        <v>-10.86</v>
      </c>
      <c r="M58" s="564">
        <v>-10.86</v>
      </c>
      <c r="N58" s="564">
        <v>-13.355919999999998</v>
      </c>
      <c r="O58" s="564"/>
      <c r="P58" s="565"/>
      <c r="Q58" s="565"/>
      <c r="R58" s="566"/>
    </row>
    <row r="59" spans="2:18">
      <c r="B59" s="563">
        <v>64</v>
      </c>
      <c r="C59" s="564">
        <v>-8.9096000000000011</v>
      </c>
      <c r="D59" s="565">
        <v>-9.6300000000000008</v>
      </c>
      <c r="E59" s="564">
        <v>-9.6300000000000008</v>
      </c>
      <c r="F59" s="564">
        <v>-12.702579999999998</v>
      </c>
      <c r="G59" s="564"/>
      <c r="H59" s="565"/>
      <c r="I59" s="565"/>
      <c r="J59" s="566"/>
      <c r="K59" s="564">
        <v>-8.9096000000000011</v>
      </c>
      <c r="L59" s="565">
        <v>-9.6300000000000008</v>
      </c>
      <c r="M59" s="564">
        <v>-9.6300000000000008</v>
      </c>
      <c r="N59" s="564">
        <v>-12.702579999999998</v>
      </c>
      <c r="O59" s="564"/>
      <c r="P59" s="565"/>
      <c r="Q59" s="565"/>
      <c r="R59" s="566"/>
    </row>
    <row r="60" spans="2:18">
      <c r="B60" s="563">
        <v>65</v>
      </c>
      <c r="C60" s="564">
        <v>-6.0822399999999988</v>
      </c>
      <c r="D60" s="565">
        <v>-6.78</v>
      </c>
      <c r="E60" s="564">
        <v>-6.78</v>
      </c>
      <c r="F60" s="564">
        <v>-10.508800000000008</v>
      </c>
      <c r="G60" s="564"/>
      <c r="H60" s="565"/>
      <c r="I60" s="565"/>
      <c r="J60" s="566"/>
      <c r="K60" s="564">
        <v>-6.0822399999999988</v>
      </c>
      <c r="L60" s="565">
        <v>-6.78</v>
      </c>
      <c r="M60" s="564">
        <v>-6.78</v>
      </c>
      <c r="N60" s="564">
        <v>-10.508800000000008</v>
      </c>
      <c r="O60" s="564"/>
      <c r="P60" s="565"/>
      <c r="Q60" s="565"/>
      <c r="R60" s="566"/>
    </row>
    <row r="61" spans="2:18">
      <c r="B61" s="563">
        <v>66</v>
      </c>
      <c r="C61" s="564">
        <v>-3.2624799999999992</v>
      </c>
      <c r="D61" s="565">
        <v>-3.91</v>
      </c>
      <c r="E61" s="564">
        <v>-3.91</v>
      </c>
      <c r="F61" s="564">
        <v>-8.3301400000000001</v>
      </c>
      <c r="G61" s="564"/>
      <c r="H61" s="565"/>
      <c r="I61" s="565"/>
      <c r="J61" s="566"/>
      <c r="K61" s="564">
        <v>-3.2624799999999992</v>
      </c>
      <c r="L61" s="565">
        <v>-3.91</v>
      </c>
      <c r="M61" s="564">
        <v>-3.91</v>
      </c>
      <c r="N61" s="564">
        <v>-8.3301400000000001</v>
      </c>
      <c r="O61" s="564"/>
      <c r="P61" s="565"/>
      <c r="Q61" s="565"/>
      <c r="R61" s="566"/>
    </row>
    <row r="62" spans="2:18">
      <c r="B62" s="563">
        <v>67</v>
      </c>
      <c r="C62" s="564">
        <v>-0.46608000000000016</v>
      </c>
      <c r="D62" s="565">
        <v>-1.04</v>
      </c>
      <c r="E62" s="564">
        <v>-1.04</v>
      </c>
      <c r="F62" s="564">
        <v>-6.1859200000000101</v>
      </c>
      <c r="G62" s="564"/>
      <c r="H62" s="565"/>
      <c r="I62" s="565"/>
      <c r="J62" s="566"/>
      <c r="K62" s="564">
        <v>-0.46608000000000016</v>
      </c>
      <c r="L62" s="565">
        <v>-1.04</v>
      </c>
      <c r="M62" s="564">
        <v>-1.04</v>
      </c>
      <c r="N62" s="564">
        <v>-6.1859200000000101</v>
      </c>
      <c r="O62" s="564"/>
      <c r="P62" s="565"/>
      <c r="Q62" s="565"/>
      <c r="R62" s="566"/>
    </row>
    <row r="63" spans="2:18">
      <c r="B63" s="563">
        <v>68</v>
      </c>
      <c r="C63" s="564">
        <v>2.2915199999999998</v>
      </c>
      <c r="D63" s="565">
        <v>1.81</v>
      </c>
      <c r="E63" s="564">
        <v>1.81</v>
      </c>
      <c r="F63" s="564">
        <v>-3.8913600000000059</v>
      </c>
      <c r="G63" s="564"/>
      <c r="H63" s="565"/>
      <c r="I63" s="565"/>
      <c r="J63" s="566"/>
      <c r="K63" s="564">
        <v>2.2915199999999998</v>
      </c>
      <c r="L63" s="565">
        <v>1.81</v>
      </c>
      <c r="M63" s="564">
        <v>1.81</v>
      </c>
      <c r="N63" s="564">
        <v>-3.8913600000000059</v>
      </c>
      <c r="O63" s="564"/>
      <c r="P63" s="565"/>
      <c r="Q63" s="565"/>
      <c r="R63" s="566"/>
    </row>
    <row r="64" spans="2:18">
      <c r="B64" s="563">
        <v>69</v>
      </c>
      <c r="C64" s="564">
        <v>4.9946399999999995</v>
      </c>
      <c r="D64" s="565">
        <v>4.63</v>
      </c>
      <c r="E64" s="564">
        <v>4.63</v>
      </c>
      <c r="F64" s="564">
        <v>-1.6478000000000037</v>
      </c>
      <c r="G64" s="564"/>
      <c r="H64" s="565"/>
      <c r="I64" s="565"/>
      <c r="J64" s="566"/>
      <c r="K64" s="564">
        <v>4.9946399999999995</v>
      </c>
      <c r="L64" s="565">
        <v>4.63</v>
      </c>
      <c r="M64" s="564">
        <v>4.63</v>
      </c>
      <c r="N64" s="564">
        <v>-1.6478000000000037</v>
      </c>
      <c r="O64" s="564"/>
      <c r="P64" s="565"/>
      <c r="Q64" s="565"/>
      <c r="R64" s="566"/>
    </row>
    <row r="65" spans="2:18">
      <c r="B65" s="563">
        <v>70</v>
      </c>
      <c r="C65" s="564">
        <v>7.2278400000000005</v>
      </c>
      <c r="D65" s="565">
        <v>7</v>
      </c>
      <c r="E65" s="564">
        <v>7</v>
      </c>
      <c r="F65" s="564">
        <v>0.15199999999998681</v>
      </c>
      <c r="G65" s="564"/>
      <c r="H65" s="565"/>
      <c r="I65" s="565"/>
      <c r="J65" s="566"/>
      <c r="K65" s="564">
        <v>7.2278400000000005</v>
      </c>
      <c r="L65" s="565">
        <v>7</v>
      </c>
      <c r="M65" s="564">
        <v>7</v>
      </c>
      <c r="N65" s="564">
        <v>0.15199999999998681</v>
      </c>
      <c r="O65" s="564"/>
      <c r="P65" s="565"/>
      <c r="Q65" s="565"/>
      <c r="R65" s="566"/>
    </row>
    <row r="66" spans="2:18">
      <c r="B66" s="563">
        <v>71</v>
      </c>
      <c r="C66" s="564">
        <v>8.9755199999999995</v>
      </c>
      <c r="D66" s="565">
        <v>8.91</v>
      </c>
      <c r="E66" s="564">
        <v>8.91</v>
      </c>
      <c r="F66" s="564">
        <v>1.5041199999999861</v>
      </c>
      <c r="G66" s="564"/>
      <c r="H66" s="565"/>
      <c r="I66" s="565"/>
      <c r="J66" s="566"/>
      <c r="K66" s="564">
        <v>8.9755199999999995</v>
      </c>
      <c r="L66" s="565">
        <v>8.91</v>
      </c>
      <c r="M66" s="564">
        <v>8.91</v>
      </c>
      <c r="N66" s="564">
        <v>1.5041199999999861</v>
      </c>
      <c r="O66" s="564"/>
      <c r="P66" s="565"/>
      <c r="Q66" s="565"/>
      <c r="R66" s="566"/>
    </row>
    <row r="67" spans="2:18">
      <c r="B67" s="563">
        <v>72</v>
      </c>
      <c r="C67" s="564">
        <v>10.62904</v>
      </c>
      <c r="D67" s="565">
        <v>10.74</v>
      </c>
      <c r="E67" s="564">
        <v>10.74</v>
      </c>
      <c r="F67" s="564">
        <v>2.7667199999999923</v>
      </c>
      <c r="G67" s="564"/>
      <c r="H67" s="565"/>
      <c r="I67" s="565"/>
      <c r="J67" s="566"/>
      <c r="K67" s="564">
        <v>10.62904</v>
      </c>
      <c r="L67" s="565">
        <v>10.74</v>
      </c>
      <c r="M67" s="564">
        <v>10.74</v>
      </c>
      <c r="N67" s="564">
        <v>2.7667199999999923</v>
      </c>
      <c r="O67" s="564"/>
      <c r="P67" s="565"/>
      <c r="Q67" s="565"/>
      <c r="R67" s="566"/>
    </row>
    <row r="68" spans="2:18">
      <c r="B68" s="563">
        <v>73</v>
      </c>
      <c r="C68" s="564">
        <v>12.208160000000001</v>
      </c>
      <c r="D68" s="565">
        <v>12.52</v>
      </c>
      <c r="E68" s="564">
        <v>12.52</v>
      </c>
      <c r="F68" s="564">
        <v>3.9684799999999854</v>
      </c>
      <c r="G68" s="564"/>
      <c r="H68" s="565"/>
      <c r="I68" s="565"/>
      <c r="J68" s="566"/>
      <c r="K68" s="564">
        <v>12.208160000000001</v>
      </c>
      <c r="L68" s="565">
        <v>12.52</v>
      </c>
      <c r="M68" s="564">
        <v>12.52</v>
      </c>
      <c r="N68" s="564">
        <v>3.9684799999999854</v>
      </c>
      <c r="O68" s="564"/>
      <c r="P68" s="565"/>
      <c r="Q68" s="565"/>
      <c r="R68" s="566"/>
    </row>
    <row r="69" spans="2:18">
      <c r="B69" s="563">
        <v>74</v>
      </c>
      <c r="C69" s="564">
        <v>13.73936</v>
      </c>
      <c r="D69" s="565">
        <v>14.26</v>
      </c>
      <c r="E69" s="564">
        <v>14.26</v>
      </c>
      <c r="F69" s="564">
        <v>5.233460000000008</v>
      </c>
      <c r="G69" s="564"/>
      <c r="H69" s="565"/>
      <c r="I69" s="565"/>
      <c r="J69" s="566"/>
      <c r="K69" s="564">
        <v>13.73936</v>
      </c>
      <c r="L69" s="565">
        <v>14.26</v>
      </c>
      <c r="M69" s="564">
        <v>14.26</v>
      </c>
      <c r="N69" s="564">
        <v>5.233460000000008</v>
      </c>
      <c r="O69" s="564"/>
      <c r="P69" s="565"/>
      <c r="Q69" s="565"/>
      <c r="R69" s="566"/>
    </row>
    <row r="70" spans="2:18">
      <c r="B70" s="563">
        <v>75</v>
      </c>
      <c r="C70" s="564">
        <v>15.249279999999999</v>
      </c>
      <c r="D70" s="565">
        <v>15.98</v>
      </c>
      <c r="E70" s="564">
        <v>15.98</v>
      </c>
      <c r="F70" s="564">
        <v>6.4696399999999983</v>
      </c>
      <c r="G70" s="564"/>
      <c r="H70" s="565"/>
      <c r="I70" s="565"/>
      <c r="J70" s="566"/>
      <c r="K70" s="564">
        <v>15.249279999999999</v>
      </c>
      <c r="L70" s="565">
        <v>15.98</v>
      </c>
      <c r="M70" s="564">
        <v>15.98</v>
      </c>
      <c r="N70" s="564">
        <v>6.4696399999999983</v>
      </c>
      <c r="O70" s="564"/>
      <c r="P70" s="565"/>
      <c r="Q70" s="565"/>
      <c r="R70" s="566"/>
    </row>
    <row r="71" spans="2:18">
      <c r="B71" s="563">
        <v>76</v>
      </c>
      <c r="C71" s="564">
        <v>16.76464</v>
      </c>
      <c r="D71" s="565">
        <v>17.690000000000001</v>
      </c>
      <c r="E71" s="564">
        <v>17.690000000000001</v>
      </c>
      <c r="F71" s="564">
        <v>7.6863500000000045</v>
      </c>
      <c r="G71" s="564"/>
      <c r="H71" s="565"/>
      <c r="I71" s="565"/>
      <c r="J71" s="566"/>
      <c r="K71" s="564">
        <v>16.76464</v>
      </c>
      <c r="L71" s="565">
        <v>17.690000000000001</v>
      </c>
      <c r="M71" s="564">
        <v>17.690000000000001</v>
      </c>
      <c r="N71" s="564">
        <v>7.6863500000000045</v>
      </c>
      <c r="O71" s="564"/>
      <c r="P71" s="565"/>
      <c r="Q71" s="565"/>
      <c r="R71" s="566"/>
    </row>
    <row r="72" spans="2:18">
      <c r="B72" s="563">
        <v>77</v>
      </c>
      <c r="C72" s="564">
        <v>18.311920000000001</v>
      </c>
      <c r="D72" s="565">
        <v>19.43</v>
      </c>
      <c r="E72" s="564">
        <v>19.43</v>
      </c>
      <c r="F72" s="564">
        <v>8.9201599999999956</v>
      </c>
      <c r="G72" s="564"/>
      <c r="H72" s="565"/>
      <c r="I72" s="565"/>
      <c r="J72" s="566"/>
      <c r="K72" s="564">
        <v>18.311920000000001</v>
      </c>
      <c r="L72" s="565">
        <v>19.43</v>
      </c>
      <c r="M72" s="564">
        <v>19.43</v>
      </c>
      <c r="N72" s="564">
        <v>8.9201599999999956</v>
      </c>
      <c r="O72" s="564"/>
      <c r="P72" s="565"/>
      <c r="Q72" s="565"/>
      <c r="R72" s="566"/>
    </row>
    <row r="73" spans="2:18">
      <c r="B73" s="563">
        <v>78</v>
      </c>
      <c r="C73" s="564">
        <v>19.917920000000002</v>
      </c>
      <c r="D73" s="565">
        <v>21.2</v>
      </c>
      <c r="E73" s="564">
        <v>21.2</v>
      </c>
      <c r="F73" s="564">
        <v>10.1708</v>
      </c>
      <c r="G73" s="564"/>
      <c r="H73" s="565"/>
      <c r="I73" s="565"/>
      <c r="J73" s="566"/>
      <c r="K73" s="564">
        <v>19.917920000000002</v>
      </c>
      <c r="L73" s="565">
        <v>21.2</v>
      </c>
      <c r="M73" s="564">
        <v>21.2</v>
      </c>
      <c r="N73" s="564">
        <v>10.1708</v>
      </c>
      <c r="O73" s="564"/>
      <c r="P73" s="565"/>
      <c r="Q73" s="565"/>
      <c r="R73" s="566"/>
    </row>
    <row r="74" spans="2:18">
      <c r="B74" s="563">
        <v>79</v>
      </c>
      <c r="C74" s="564">
        <v>21.609200000000001</v>
      </c>
      <c r="D74" s="565">
        <v>23.03</v>
      </c>
      <c r="E74" s="564">
        <v>23.03</v>
      </c>
      <c r="F74" s="564">
        <v>11.588210000000004</v>
      </c>
      <c r="G74" s="564"/>
      <c r="H74" s="565"/>
      <c r="I74" s="565"/>
      <c r="J74" s="566"/>
      <c r="K74" s="564">
        <v>21.609200000000001</v>
      </c>
      <c r="L74" s="565">
        <v>23.03</v>
      </c>
      <c r="M74" s="564">
        <v>23.03</v>
      </c>
      <c r="N74" s="564">
        <v>11.588210000000004</v>
      </c>
      <c r="O74" s="564"/>
      <c r="P74" s="565"/>
      <c r="Q74" s="565"/>
      <c r="R74" s="566"/>
    </row>
    <row r="75" spans="2:18">
      <c r="B75" s="563">
        <v>80</v>
      </c>
      <c r="C75" s="564">
        <v>23.412320000000001</v>
      </c>
      <c r="D75" s="565">
        <v>24.94</v>
      </c>
      <c r="E75" s="564">
        <v>24.94</v>
      </c>
      <c r="F75" s="564">
        <v>13.070700000000002</v>
      </c>
      <c r="G75" s="564"/>
      <c r="H75" s="565"/>
      <c r="I75" s="565"/>
      <c r="J75" s="566"/>
      <c r="K75" s="564">
        <v>23.412320000000001</v>
      </c>
      <c r="L75" s="565">
        <v>24.94</v>
      </c>
      <c r="M75" s="564">
        <v>24.94</v>
      </c>
      <c r="N75" s="564">
        <v>13.070700000000002</v>
      </c>
      <c r="O75" s="564"/>
      <c r="P75" s="565"/>
      <c r="Q75" s="565"/>
      <c r="R75" s="566"/>
    </row>
    <row r="76" spans="2:18">
      <c r="B76" s="563">
        <v>81</v>
      </c>
      <c r="C76" s="564">
        <v>25.348880000000001</v>
      </c>
      <c r="D76" s="565">
        <v>26.93</v>
      </c>
      <c r="E76" s="564">
        <v>26.93</v>
      </c>
      <c r="F76" s="564">
        <v>14.617790000000014</v>
      </c>
      <c r="G76" s="564"/>
      <c r="H76" s="565"/>
      <c r="I76" s="565"/>
      <c r="J76" s="566"/>
      <c r="K76" s="564">
        <v>25.348880000000001</v>
      </c>
      <c r="L76" s="565">
        <v>26.93</v>
      </c>
      <c r="M76" s="564">
        <v>26.93</v>
      </c>
      <c r="N76" s="564">
        <v>14.617790000000014</v>
      </c>
      <c r="O76" s="564"/>
      <c r="P76" s="565"/>
      <c r="Q76" s="565"/>
      <c r="R76" s="566"/>
    </row>
    <row r="77" spans="2:18">
      <c r="B77" s="563">
        <v>82</v>
      </c>
      <c r="C77" s="564">
        <v>27.420159999999999</v>
      </c>
      <c r="D77" s="565">
        <v>29.03</v>
      </c>
      <c r="E77" s="564">
        <v>29.03</v>
      </c>
      <c r="F77" s="564">
        <v>16.25603000000001</v>
      </c>
      <c r="G77" s="564"/>
      <c r="H77" s="565"/>
      <c r="I77" s="565"/>
      <c r="J77" s="566"/>
      <c r="K77" s="564">
        <v>27.420159999999999</v>
      </c>
      <c r="L77" s="565">
        <v>29.03</v>
      </c>
      <c r="M77" s="564">
        <v>29.03</v>
      </c>
      <c r="N77" s="564">
        <v>16.25603000000001</v>
      </c>
      <c r="O77" s="564"/>
      <c r="P77" s="565"/>
      <c r="Q77" s="565"/>
      <c r="R77" s="566"/>
    </row>
    <row r="78" spans="2:18">
      <c r="B78" s="563">
        <v>83</v>
      </c>
      <c r="C78" s="564">
        <v>29.622496000000002</v>
      </c>
      <c r="D78" s="565">
        <v>31.24</v>
      </c>
      <c r="E78" s="564">
        <v>31.24</v>
      </c>
      <c r="F78" s="564">
        <v>17.984760000000009</v>
      </c>
      <c r="G78" s="564"/>
      <c r="H78" s="565"/>
      <c r="I78" s="565"/>
      <c r="J78" s="566"/>
      <c r="K78" s="564">
        <v>29.622496000000002</v>
      </c>
      <c r="L78" s="565">
        <v>31.24</v>
      </c>
      <c r="M78" s="564">
        <v>31.24</v>
      </c>
      <c r="N78" s="564">
        <v>17.984760000000009</v>
      </c>
      <c r="O78" s="564"/>
      <c r="P78" s="565"/>
      <c r="Q78" s="565"/>
      <c r="R78" s="566"/>
    </row>
    <row r="79" spans="2:18">
      <c r="B79" s="563">
        <v>84</v>
      </c>
      <c r="C79" s="564">
        <v>31.952048000000001</v>
      </c>
      <c r="D79" s="565">
        <v>33.549999999999997</v>
      </c>
      <c r="E79" s="564">
        <v>33.549999999999997</v>
      </c>
      <c r="F79" s="564">
        <v>19.794350000000009</v>
      </c>
      <c r="G79" s="564"/>
      <c r="H79" s="565"/>
      <c r="I79" s="565"/>
      <c r="J79" s="566"/>
      <c r="K79" s="564">
        <v>31.952048000000001</v>
      </c>
      <c r="L79" s="565">
        <v>33.549999999999997</v>
      </c>
      <c r="M79" s="564">
        <v>33.549999999999997</v>
      </c>
      <c r="N79" s="564">
        <v>19.794350000000009</v>
      </c>
      <c r="O79" s="564"/>
      <c r="P79" s="565"/>
      <c r="Q79" s="565"/>
      <c r="R79" s="566"/>
    </row>
    <row r="80" spans="2:18">
      <c r="B80" s="563">
        <v>85</v>
      </c>
      <c r="C80" s="564">
        <v>34.40504</v>
      </c>
      <c r="D80" s="565">
        <v>35.99</v>
      </c>
      <c r="E80" s="564">
        <v>35.99</v>
      </c>
      <c r="F80" s="564">
        <v>21.711050000000014</v>
      </c>
      <c r="G80" s="564"/>
      <c r="H80" s="565"/>
      <c r="I80" s="565"/>
      <c r="J80" s="566"/>
      <c r="K80" s="564">
        <v>34.40504</v>
      </c>
      <c r="L80" s="565">
        <v>35.99</v>
      </c>
      <c r="M80" s="564">
        <v>35.99</v>
      </c>
      <c r="N80" s="564">
        <v>21.711050000000014</v>
      </c>
      <c r="O80" s="564"/>
      <c r="P80" s="565"/>
      <c r="Q80" s="565"/>
      <c r="R80" s="566"/>
    </row>
    <row r="81" spans="2:18">
      <c r="B81" s="563">
        <v>86</v>
      </c>
      <c r="C81" s="564">
        <v>36.977760000000004</v>
      </c>
      <c r="D81" s="565">
        <v>38.54</v>
      </c>
      <c r="E81" s="564">
        <v>38.54</v>
      </c>
      <c r="F81" s="564">
        <v>21.711050000000014</v>
      </c>
      <c r="G81" s="564"/>
      <c r="H81" s="565"/>
      <c r="I81" s="565"/>
      <c r="J81" s="566"/>
      <c r="K81" s="564">
        <v>36.977760000000004</v>
      </c>
      <c r="L81" s="565">
        <v>38.54</v>
      </c>
      <c r="M81" s="564">
        <v>38.54</v>
      </c>
      <c r="N81" s="564">
        <v>21.711050000000014</v>
      </c>
      <c r="O81" s="564"/>
      <c r="P81" s="565"/>
      <c r="Q81" s="565"/>
      <c r="R81" s="566"/>
    </row>
    <row r="82" spans="2:18">
      <c r="B82" s="563">
        <v>87</v>
      </c>
      <c r="C82" s="564">
        <v>39.66648</v>
      </c>
      <c r="D82" s="565">
        <v>41.22</v>
      </c>
      <c r="E82" s="564">
        <v>41.22</v>
      </c>
      <c r="F82" s="564">
        <v>21.711050000000014</v>
      </c>
      <c r="G82" s="564"/>
      <c r="H82" s="565"/>
      <c r="I82" s="565"/>
      <c r="J82" s="566"/>
      <c r="K82" s="564">
        <v>39.66648</v>
      </c>
      <c r="L82" s="565">
        <v>41.22</v>
      </c>
      <c r="M82" s="564">
        <v>41.22</v>
      </c>
      <c r="N82" s="564">
        <v>21.711050000000014</v>
      </c>
      <c r="O82" s="564"/>
      <c r="P82" s="565"/>
      <c r="Q82" s="565"/>
      <c r="R82" s="566"/>
    </row>
    <row r="83" spans="2:18">
      <c r="B83" s="563">
        <v>88</v>
      </c>
      <c r="C83" s="564">
        <v>42.467359999999999</v>
      </c>
      <c r="D83" s="565">
        <v>44.04</v>
      </c>
      <c r="E83" s="564">
        <v>44.04</v>
      </c>
      <c r="F83" s="564">
        <v>21.711050000000014</v>
      </c>
      <c r="G83" s="564"/>
      <c r="H83" s="565"/>
      <c r="I83" s="565"/>
      <c r="J83" s="566"/>
      <c r="K83" s="564">
        <v>42.467359999999999</v>
      </c>
      <c r="L83" s="565">
        <v>44.04</v>
      </c>
      <c r="M83" s="564">
        <v>44.04</v>
      </c>
      <c r="N83" s="564">
        <v>21.711050000000014</v>
      </c>
      <c r="O83" s="564"/>
      <c r="P83" s="565"/>
      <c r="Q83" s="565"/>
      <c r="R83" s="566"/>
    </row>
    <row r="84" spans="2:18">
      <c r="B84" s="563">
        <v>89</v>
      </c>
      <c r="C84" s="564">
        <v>45.376639999999995</v>
      </c>
      <c r="D84" s="565">
        <v>46.99</v>
      </c>
      <c r="E84" s="564">
        <v>46.99</v>
      </c>
      <c r="F84" s="564">
        <v>21.711050000000014</v>
      </c>
      <c r="G84" s="564"/>
      <c r="H84" s="565"/>
      <c r="I84" s="565"/>
      <c r="J84" s="566"/>
      <c r="K84" s="564">
        <v>45.376639999999995</v>
      </c>
      <c r="L84" s="565">
        <v>46.99</v>
      </c>
      <c r="M84" s="564">
        <v>46.99</v>
      </c>
      <c r="N84" s="564">
        <v>21.711050000000014</v>
      </c>
      <c r="O84" s="564"/>
      <c r="P84" s="565"/>
      <c r="Q84" s="565"/>
      <c r="R84" s="566"/>
    </row>
    <row r="85" spans="2:18">
      <c r="B85" s="563">
        <v>90</v>
      </c>
      <c r="C85" s="564">
        <v>48.390640000000005</v>
      </c>
      <c r="D85" s="565">
        <v>50.09</v>
      </c>
      <c r="E85" s="564">
        <v>50.09</v>
      </c>
      <c r="F85" s="564">
        <v>21.711050000000014</v>
      </c>
      <c r="G85" s="564"/>
      <c r="H85" s="565"/>
      <c r="I85" s="565"/>
      <c r="J85" s="566"/>
      <c r="K85" s="564">
        <v>48.390640000000005</v>
      </c>
      <c r="L85" s="565">
        <v>50.09</v>
      </c>
      <c r="M85" s="564">
        <v>50.09</v>
      </c>
      <c r="N85" s="564">
        <v>21.711050000000014</v>
      </c>
      <c r="O85" s="564"/>
      <c r="P85" s="565"/>
      <c r="Q85" s="565"/>
      <c r="R85" s="566"/>
    </row>
    <row r="86" spans="2:18">
      <c r="B86" s="563">
        <v>91</v>
      </c>
      <c r="C86" s="564">
        <v>51.505600000000001</v>
      </c>
      <c r="D86" s="565">
        <v>53.34</v>
      </c>
      <c r="E86" s="564">
        <v>53.34</v>
      </c>
      <c r="F86" s="564">
        <v>21.711050000000014</v>
      </c>
      <c r="G86" s="564"/>
      <c r="H86" s="565"/>
      <c r="I86" s="565"/>
      <c r="J86" s="566"/>
      <c r="K86" s="564">
        <v>51.505600000000001</v>
      </c>
      <c r="L86" s="565">
        <v>53.34</v>
      </c>
      <c r="M86" s="564">
        <v>53.34</v>
      </c>
      <c r="N86" s="564">
        <v>21.711050000000014</v>
      </c>
      <c r="O86" s="564"/>
      <c r="P86" s="565"/>
      <c r="Q86" s="565"/>
      <c r="R86" s="566"/>
    </row>
    <row r="87" spans="2:18">
      <c r="B87" s="563">
        <v>92</v>
      </c>
      <c r="C87" s="564">
        <v>54.717600000000004</v>
      </c>
      <c r="D87" s="565">
        <v>56.74</v>
      </c>
      <c r="E87" s="564">
        <v>56.74</v>
      </c>
      <c r="F87" s="564">
        <v>21.711050000000014</v>
      </c>
      <c r="G87" s="564"/>
      <c r="H87" s="565"/>
      <c r="I87" s="565"/>
      <c r="J87" s="566"/>
      <c r="K87" s="564">
        <v>54.717600000000004</v>
      </c>
      <c r="L87" s="565">
        <v>56.74</v>
      </c>
      <c r="M87" s="564">
        <v>56.74</v>
      </c>
      <c r="N87" s="564">
        <v>21.711050000000014</v>
      </c>
      <c r="O87" s="564"/>
      <c r="P87" s="565"/>
      <c r="Q87" s="565"/>
      <c r="R87" s="566"/>
    </row>
    <row r="88" spans="2:18">
      <c r="B88" s="563">
        <v>93</v>
      </c>
      <c r="C88" s="564">
        <v>58.023199999999996</v>
      </c>
      <c r="D88" s="565">
        <v>60.3</v>
      </c>
      <c r="E88" s="564">
        <v>60.3</v>
      </c>
      <c r="F88" s="564">
        <v>21.711050000000014</v>
      </c>
      <c r="G88" s="564"/>
      <c r="H88" s="565"/>
      <c r="I88" s="565"/>
      <c r="J88" s="566"/>
      <c r="K88" s="564">
        <v>58.023199999999996</v>
      </c>
      <c r="L88" s="565">
        <v>60.3</v>
      </c>
      <c r="M88" s="564">
        <v>60.3</v>
      </c>
      <c r="N88" s="564">
        <v>21.711050000000014</v>
      </c>
      <c r="O88" s="564"/>
      <c r="P88" s="565"/>
      <c r="Q88" s="565"/>
      <c r="R88" s="566"/>
    </row>
    <row r="89" spans="2:18">
      <c r="B89" s="563">
        <v>94</v>
      </c>
      <c r="C89" s="564">
        <v>61.418399999999998</v>
      </c>
      <c r="D89" s="565">
        <v>64.02</v>
      </c>
      <c r="E89" s="564">
        <v>64.02</v>
      </c>
      <c r="F89" s="564">
        <v>21.711050000000014</v>
      </c>
      <c r="G89" s="564"/>
      <c r="H89" s="565"/>
      <c r="I89" s="565"/>
      <c r="J89" s="566"/>
      <c r="K89" s="564">
        <v>61.418399999999998</v>
      </c>
      <c r="L89" s="565">
        <v>64.02</v>
      </c>
      <c r="M89" s="564">
        <v>64.02</v>
      </c>
      <c r="N89" s="564">
        <v>21.711050000000014</v>
      </c>
      <c r="O89" s="564"/>
      <c r="P89" s="565"/>
      <c r="Q89" s="565"/>
      <c r="R89" s="566"/>
    </row>
    <row r="90" spans="2:18" ht="15.75" thickBot="1">
      <c r="B90" s="568">
        <v>95</v>
      </c>
      <c r="C90" s="569">
        <v>64.899199999999993</v>
      </c>
      <c r="D90" s="570">
        <v>67.91</v>
      </c>
      <c r="E90" s="569">
        <v>67.91</v>
      </c>
      <c r="F90" s="569">
        <v>21.711050000000014</v>
      </c>
      <c r="G90" s="569"/>
      <c r="H90" s="570"/>
      <c r="I90" s="570"/>
      <c r="J90" s="571"/>
      <c r="K90" s="569">
        <v>64.899199999999993</v>
      </c>
      <c r="L90" s="570">
        <v>67.91</v>
      </c>
      <c r="M90" s="569">
        <v>67.91</v>
      </c>
      <c r="N90" s="569">
        <v>21.711050000000014</v>
      </c>
      <c r="O90" s="569"/>
      <c r="P90" s="570"/>
      <c r="Q90" s="570"/>
      <c r="R90" s="571"/>
    </row>
    <row r="91" spans="2:18">
      <c r="B91" s="556"/>
      <c r="C91" s="564"/>
      <c r="D91" s="564"/>
      <c r="E91" s="565"/>
      <c r="F91" s="565"/>
      <c r="G91" s="572"/>
      <c r="H91" s="565"/>
      <c r="I91" s="565"/>
      <c r="J91" s="565"/>
      <c r="K91" s="564"/>
      <c r="L91" s="564"/>
      <c r="M91" s="565"/>
      <c r="N91" s="565"/>
      <c r="O91" s="572"/>
      <c r="P91" s="565"/>
      <c r="Q91" s="565"/>
      <c r="R91" s="566"/>
    </row>
    <row r="92" spans="2:18">
      <c r="B92" s="554"/>
      <c r="C92" s="222" t="str">
        <f>LE_DECLARE_TABLE("tAgeLE","",B93:R173)</f>
        <v>Declared table TAGELE</v>
      </c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573"/>
    </row>
    <row r="93" spans="2:18">
      <c r="B93" s="554"/>
      <c r="C93" s="931" t="s">
        <v>2844</v>
      </c>
      <c r="D93" s="931"/>
      <c r="E93" s="931"/>
      <c r="F93" s="931"/>
      <c r="G93" s="931"/>
      <c r="H93" s="931"/>
      <c r="I93" s="931"/>
      <c r="J93" s="931"/>
      <c r="K93" s="931"/>
      <c r="L93" s="931"/>
      <c r="M93" s="931"/>
      <c r="N93" s="931"/>
      <c r="O93" s="931"/>
      <c r="P93" s="931"/>
      <c r="Q93" s="931"/>
      <c r="R93" s="932"/>
    </row>
    <row r="94" spans="2:18">
      <c r="B94" s="554"/>
      <c r="C94" s="933" t="s">
        <v>862</v>
      </c>
      <c r="D94" s="933"/>
      <c r="E94" s="933"/>
      <c r="F94" s="933"/>
      <c r="G94" s="933"/>
      <c r="H94" s="933"/>
      <c r="I94" s="933"/>
      <c r="J94" s="934"/>
      <c r="K94" s="933" t="s">
        <v>2841</v>
      </c>
      <c r="L94" s="933"/>
      <c r="M94" s="933"/>
      <c r="N94" s="933"/>
      <c r="O94" s="933"/>
      <c r="P94" s="933"/>
      <c r="Q94" s="933"/>
      <c r="R94" s="574"/>
    </row>
    <row r="95" spans="2:18" s="555" customFormat="1" ht="15.75" thickBot="1">
      <c r="B95" s="554"/>
      <c r="C95" s="557">
        <v>1</v>
      </c>
      <c r="D95" s="557">
        <v>2</v>
      </c>
      <c r="E95" s="557">
        <v>3</v>
      </c>
      <c r="F95" s="557">
        <v>4</v>
      </c>
      <c r="G95" s="557">
        <v>5</v>
      </c>
      <c r="H95" s="557">
        <v>6</v>
      </c>
      <c r="I95" s="557">
        <v>7</v>
      </c>
      <c r="J95" s="558">
        <v>8</v>
      </c>
      <c r="K95" s="557">
        <v>1</v>
      </c>
      <c r="L95" s="557">
        <v>2</v>
      </c>
      <c r="M95" s="557">
        <v>3</v>
      </c>
      <c r="N95" s="557">
        <v>4</v>
      </c>
      <c r="O95" s="557">
        <v>5</v>
      </c>
      <c r="P95" s="557">
        <v>6</v>
      </c>
      <c r="Q95" s="557">
        <v>7</v>
      </c>
      <c r="R95" s="558">
        <v>8</v>
      </c>
    </row>
    <row r="96" spans="2:18">
      <c r="B96" s="559">
        <v>18</v>
      </c>
      <c r="C96" s="560">
        <v>53.333333333333336</v>
      </c>
      <c r="D96" s="561">
        <v>53.33</v>
      </c>
      <c r="E96" s="560">
        <v>53.33</v>
      </c>
      <c r="F96" s="560">
        <v>53.33</v>
      </c>
      <c r="G96" s="560"/>
      <c r="H96" s="561"/>
      <c r="I96" s="561"/>
      <c r="J96" s="562"/>
      <c r="K96" s="560">
        <v>53.333333333333336</v>
      </c>
      <c r="L96" s="561">
        <v>53.33</v>
      </c>
      <c r="M96" s="560">
        <v>53.33</v>
      </c>
      <c r="N96" s="560">
        <v>53.33</v>
      </c>
      <c r="O96" s="560"/>
      <c r="P96" s="561"/>
      <c r="Q96" s="561"/>
      <c r="R96" s="562"/>
    </row>
    <row r="97" spans="2:18">
      <c r="B97" s="563">
        <v>19</v>
      </c>
      <c r="C97" s="564">
        <v>48.888888888888886</v>
      </c>
      <c r="D97" s="565">
        <v>48.89</v>
      </c>
      <c r="E97" s="564">
        <v>48.89</v>
      </c>
      <c r="F97" s="564">
        <v>48.89</v>
      </c>
      <c r="G97" s="564"/>
      <c r="H97" s="565"/>
      <c r="I97" s="565"/>
      <c r="J97" s="566"/>
      <c r="K97" s="564">
        <v>48.888888888888886</v>
      </c>
      <c r="L97" s="565">
        <v>48.89</v>
      </c>
      <c r="M97" s="564">
        <v>48.89</v>
      </c>
      <c r="N97" s="564">
        <v>48.89</v>
      </c>
      <c r="O97" s="564"/>
      <c r="P97" s="565"/>
      <c r="Q97" s="565"/>
      <c r="R97" s="566"/>
    </row>
    <row r="98" spans="2:18">
      <c r="B98" s="563">
        <v>20</v>
      </c>
      <c r="C98" s="564">
        <v>40</v>
      </c>
      <c r="D98" s="565">
        <v>40</v>
      </c>
      <c r="E98" s="564">
        <v>40</v>
      </c>
      <c r="F98" s="564">
        <v>40</v>
      </c>
      <c r="G98" s="564"/>
      <c r="H98" s="565"/>
      <c r="I98" s="565"/>
      <c r="J98" s="566"/>
      <c r="K98" s="564">
        <v>40</v>
      </c>
      <c r="L98" s="565">
        <v>40</v>
      </c>
      <c r="M98" s="564">
        <v>40</v>
      </c>
      <c r="N98" s="564">
        <v>40</v>
      </c>
      <c r="O98" s="564"/>
      <c r="P98" s="565"/>
      <c r="Q98" s="565"/>
      <c r="R98" s="566"/>
    </row>
    <row r="99" spans="2:18">
      <c r="B99" s="563">
        <v>21</v>
      </c>
      <c r="C99" s="564">
        <v>31.111111111111107</v>
      </c>
      <c r="D99" s="565">
        <v>31.11</v>
      </c>
      <c r="E99" s="564">
        <v>31.11</v>
      </c>
      <c r="F99" s="564">
        <v>31.11</v>
      </c>
      <c r="G99" s="564"/>
      <c r="H99" s="565"/>
      <c r="I99" s="565"/>
      <c r="J99" s="566"/>
      <c r="K99" s="564">
        <v>31.111111111111107</v>
      </c>
      <c r="L99" s="565">
        <v>31.11</v>
      </c>
      <c r="M99" s="564">
        <v>31.11</v>
      </c>
      <c r="N99" s="564">
        <v>31.11</v>
      </c>
      <c r="O99" s="564"/>
      <c r="P99" s="565"/>
      <c r="Q99" s="565"/>
      <c r="R99" s="566"/>
    </row>
    <row r="100" spans="2:18">
      <c r="B100" s="563">
        <v>22</v>
      </c>
      <c r="C100" s="564">
        <v>22.222222222222221</v>
      </c>
      <c r="D100" s="565">
        <v>22.22</v>
      </c>
      <c r="E100" s="564">
        <v>22.22</v>
      </c>
      <c r="F100" s="564">
        <v>22.22</v>
      </c>
      <c r="G100" s="564"/>
      <c r="H100" s="565"/>
      <c r="I100" s="565"/>
      <c r="J100" s="566"/>
      <c r="K100" s="564">
        <v>22.222222222222221</v>
      </c>
      <c r="L100" s="565">
        <v>22.22</v>
      </c>
      <c r="M100" s="564">
        <v>22.22</v>
      </c>
      <c r="N100" s="564">
        <v>22.22</v>
      </c>
      <c r="O100" s="564"/>
      <c r="P100" s="565"/>
      <c r="Q100" s="565"/>
      <c r="R100" s="566"/>
    </row>
    <row r="101" spans="2:18">
      <c r="B101" s="563">
        <v>23</v>
      </c>
      <c r="C101" s="564">
        <v>13.333333333333334</v>
      </c>
      <c r="D101" s="565">
        <v>13.33</v>
      </c>
      <c r="E101" s="564">
        <v>13.33</v>
      </c>
      <c r="F101" s="564">
        <v>13.33</v>
      </c>
      <c r="G101" s="564"/>
      <c r="H101" s="565"/>
      <c r="I101" s="565"/>
      <c r="J101" s="566"/>
      <c r="K101" s="564">
        <v>13.333333333333334</v>
      </c>
      <c r="L101" s="565">
        <v>13.33</v>
      </c>
      <c r="M101" s="564">
        <v>13.33</v>
      </c>
      <c r="N101" s="564">
        <v>13.33</v>
      </c>
      <c r="O101" s="564"/>
      <c r="P101" s="565"/>
      <c r="Q101" s="565"/>
      <c r="R101" s="566"/>
    </row>
    <row r="102" spans="2:18">
      <c r="B102" s="563">
        <v>24</v>
      </c>
      <c r="C102" s="564">
        <v>8.0845333333333329</v>
      </c>
      <c r="D102" s="565">
        <v>8.08</v>
      </c>
      <c r="E102" s="564">
        <v>8.08</v>
      </c>
      <c r="F102" s="564">
        <v>8.08</v>
      </c>
      <c r="G102" s="564"/>
      <c r="H102" s="565"/>
      <c r="I102" s="565"/>
      <c r="J102" s="566"/>
      <c r="K102" s="564">
        <v>8.0845333333333329</v>
      </c>
      <c r="L102" s="565">
        <v>8.08</v>
      </c>
      <c r="M102" s="564">
        <v>8.08</v>
      </c>
      <c r="N102" s="564">
        <v>8.08</v>
      </c>
      <c r="O102" s="564"/>
      <c r="P102" s="565"/>
      <c r="Q102" s="565"/>
      <c r="R102" s="566"/>
    </row>
    <row r="103" spans="2:18">
      <c r="B103" s="563">
        <v>25</v>
      </c>
      <c r="C103" s="564">
        <v>6.3759999999999994</v>
      </c>
      <c r="D103" s="565">
        <v>6.38</v>
      </c>
      <c r="E103" s="564">
        <v>6.38</v>
      </c>
      <c r="F103" s="564">
        <v>6.38</v>
      </c>
      <c r="G103" s="564"/>
      <c r="H103" s="565"/>
      <c r="I103" s="565"/>
      <c r="J103" s="566"/>
      <c r="K103" s="564">
        <v>6.3759999999999994</v>
      </c>
      <c r="L103" s="565">
        <v>6.38</v>
      </c>
      <c r="M103" s="564">
        <v>6.38</v>
      </c>
      <c r="N103" s="564">
        <v>6.38</v>
      </c>
      <c r="O103" s="564"/>
      <c r="P103" s="565"/>
      <c r="Q103" s="565"/>
      <c r="R103" s="566"/>
    </row>
    <row r="104" spans="2:18">
      <c r="B104" s="563">
        <v>26</v>
      </c>
      <c r="C104" s="564">
        <v>5.215466666666666</v>
      </c>
      <c r="D104" s="565">
        <v>5.22</v>
      </c>
      <c r="E104" s="564">
        <v>5.22</v>
      </c>
      <c r="F104" s="564">
        <v>5.22</v>
      </c>
      <c r="G104" s="564"/>
      <c r="H104" s="565"/>
      <c r="I104" s="565"/>
      <c r="J104" s="566"/>
      <c r="K104" s="564">
        <v>5.215466666666666</v>
      </c>
      <c r="L104" s="565">
        <v>5.22</v>
      </c>
      <c r="M104" s="564">
        <v>5.22</v>
      </c>
      <c r="N104" s="564">
        <v>5.22</v>
      </c>
      <c r="O104" s="564"/>
      <c r="P104" s="565"/>
      <c r="Q104" s="565"/>
      <c r="R104" s="566"/>
    </row>
    <row r="105" spans="2:18">
      <c r="B105" s="563">
        <v>27</v>
      </c>
      <c r="C105" s="564">
        <v>4.446133333333333</v>
      </c>
      <c r="D105" s="565">
        <v>4.45</v>
      </c>
      <c r="E105" s="564">
        <v>4.45</v>
      </c>
      <c r="F105" s="564">
        <v>4.45</v>
      </c>
      <c r="G105" s="564"/>
      <c r="H105" s="565"/>
      <c r="I105" s="565"/>
      <c r="J105" s="566"/>
      <c r="K105" s="564">
        <v>4.446133333333333</v>
      </c>
      <c r="L105" s="565">
        <v>4.45</v>
      </c>
      <c r="M105" s="564">
        <v>4.45</v>
      </c>
      <c r="N105" s="564">
        <v>4.45</v>
      </c>
      <c r="O105" s="564"/>
      <c r="P105" s="565"/>
      <c r="Q105" s="565"/>
      <c r="R105" s="566"/>
    </row>
    <row r="106" spans="2:18">
      <c r="B106" s="563">
        <v>28</v>
      </c>
      <c r="C106" s="564">
        <v>3.9114666666666671</v>
      </c>
      <c r="D106" s="565">
        <v>3.91</v>
      </c>
      <c r="E106" s="564">
        <v>3.91</v>
      </c>
      <c r="F106" s="564">
        <v>3.91</v>
      </c>
      <c r="G106" s="564"/>
      <c r="H106" s="565"/>
      <c r="I106" s="565"/>
      <c r="J106" s="566"/>
      <c r="K106" s="564">
        <v>3.9114666666666671</v>
      </c>
      <c r="L106" s="565">
        <v>3.91</v>
      </c>
      <c r="M106" s="564">
        <v>3.91</v>
      </c>
      <c r="N106" s="564">
        <v>3.91</v>
      </c>
      <c r="O106" s="564"/>
      <c r="P106" s="565"/>
      <c r="Q106" s="565"/>
      <c r="R106" s="566"/>
    </row>
    <row r="107" spans="2:18">
      <c r="B107" s="563">
        <v>29</v>
      </c>
      <c r="C107" s="564">
        <v>3.4765333333333337</v>
      </c>
      <c r="D107" s="565">
        <v>3.48</v>
      </c>
      <c r="E107" s="564">
        <v>3.48</v>
      </c>
      <c r="F107" s="564">
        <v>3.48</v>
      </c>
      <c r="G107" s="564"/>
      <c r="H107" s="565"/>
      <c r="I107" s="565"/>
      <c r="J107" s="566"/>
      <c r="K107" s="564">
        <v>3.4765333333333337</v>
      </c>
      <c r="L107" s="565">
        <v>3.48</v>
      </c>
      <c r="M107" s="564">
        <v>3.48</v>
      </c>
      <c r="N107" s="564">
        <v>3.48</v>
      </c>
      <c r="O107" s="564"/>
      <c r="P107" s="565"/>
      <c r="Q107" s="565"/>
      <c r="R107" s="566"/>
    </row>
    <row r="108" spans="2:18">
      <c r="B108" s="563">
        <v>30</v>
      </c>
      <c r="C108" s="564">
        <v>3.0978666666666665</v>
      </c>
      <c r="D108" s="565">
        <v>3.1</v>
      </c>
      <c r="E108" s="564">
        <v>3.1</v>
      </c>
      <c r="F108" s="564">
        <v>3.1</v>
      </c>
      <c r="G108" s="564"/>
      <c r="H108" s="565"/>
      <c r="I108" s="565"/>
      <c r="J108" s="566"/>
      <c r="K108" s="564">
        <v>3.0978666666666665</v>
      </c>
      <c r="L108" s="565">
        <v>3.1</v>
      </c>
      <c r="M108" s="564">
        <v>3.1</v>
      </c>
      <c r="N108" s="564">
        <v>3.1</v>
      </c>
      <c r="O108" s="564"/>
      <c r="P108" s="565"/>
      <c r="Q108" s="565"/>
      <c r="R108" s="566"/>
    </row>
    <row r="109" spans="2:18">
      <c r="B109" s="563">
        <v>31</v>
      </c>
      <c r="C109" s="564">
        <v>2.4864000000000002</v>
      </c>
      <c r="D109" s="565">
        <v>2.4900000000000002</v>
      </c>
      <c r="E109" s="564">
        <v>2.4900000000000002</v>
      </c>
      <c r="F109" s="564">
        <v>2.4900000000000002</v>
      </c>
      <c r="G109" s="564"/>
      <c r="H109" s="565"/>
      <c r="I109" s="565"/>
      <c r="J109" s="566"/>
      <c r="K109" s="564">
        <v>2.4864000000000002</v>
      </c>
      <c r="L109" s="565">
        <v>2.4900000000000002</v>
      </c>
      <c r="M109" s="564">
        <v>2.4900000000000002</v>
      </c>
      <c r="N109" s="564">
        <v>2.4900000000000002</v>
      </c>
      <c r="O109" s="564"/>
      <c r="P109" s="565"/>
      <c r="Q109" s="565"/>
      <c r="R109" s="566"/>
    </row>
    <row r="110" spans="2:18">
      <c r="B110" s="563">
        <v>32</v>
      </c>
      <c r="C110" s="564">
        <v>1.9406133333333337</v>
      </c>
      <c r="D110" s="565">
        <v>1.94</v>
      </c>
      <c r="E110" s="564">
        <v>1.94</v>
      </c>
      <c r="F110" s="564">
        <v>1.94</v>
      </c>
      <c r="G110" s="564"/>
      <c r="H110" s="565"/>
      <c r="I110" s="565"/>
      <c r="J110" s="566"/>
      <c r="K110" s="564">
        <v>1.9406133333333337</v>
      </c>
      <c r="L110" s="565">
        <v>1.94</v>
      </c>
      <c r="M110" s="564">
        <v>1.94</v>
      </c>
      <c r="N110" s="564">
        <v>1.94</v>
      </c>
      <c r="O110" s="564"/>
      <c r="P110" s="565"/>
      <c r="Q110" s="565"/>
      <c r="R110" s="566"/>
    </row>
    <row r="111" spans="2:18">
      <c r="B111" s="563">
        <v>33</v>
      </c>
      <c r="C111" s="564">
        <v>1.5454666666666665</v>
      </c>
      <c r="D111" s="565">
        <v>1.55</v>
      </c>
      <c r="E111" s="564">
        <v>1.55</v>
      </c>
      <c r="F111" s="564">
        <v>1.55</v>
      </c>
      <c r="G111" s="564"/>
      <c r="H111" s="565"/>
      <c r="I111" s="565"/>
      <c r="J111" s="566"/>
      <c r="K111" s="564">
        <v>1.5454666666666665</v>
      </c>
      <c r="L111" s="565">
        <v>1.55</v>
      </c>
      <c r="M111" s="564">
        <v>1.55</v>
      </c>
      <c r="N111" s="564">
        <v>1.55</v>
      </c>
      <c r="O111" s="564"/>
      <c r="P111" s="565"/>
      <c r="Q111" s="565"/>
      <c r="R111" s="566"/>
    </row>
    <row r="112" spans="2:18">
      <c r="B112" s="563">
        <v>34</v>
      </c>
      <c r="C112" s="564">
        <v>1.0462666666666665</v>
      </c>
      <c r="D112" s="565">
        <v>1.05</v>
      </c>
      <c r="E112" s="564">
        <v>1.05</v>
      </c>
      <c r="F112" s="564">
        <v>1.05</v>
      </c>
      <c r="G112" s="564"/>
      <c r="H112" s="565"/>
      <c r="I112" s="565"/>
      <c r="J112" s="566"/>
      <c r="K112" s="564">
        <v>1.0462666666666665</v>
      </c>
      <c r="L112" s="565">
        <v>1.05</v>
      </c>
      <c r="M112" s="564">
        <v>1.05</v>
      </c>
      <c r="N112" s="564">
        <v>1.05</v>
      </c>
      <c r="O112" s="564"/>
      <c r="P112" s="565"/>
      <c r="Q112" s="565"/>
      <c r="R112" s="566"/>
    </row>
    <row r="113" spans="2:18">
      <c r="B113" s="563">
        <v>35</v>
      </c>
      <c r="C113" s="564">
        <v>0.53704000000000007</v>
      </c>
      <c r="D113" s="565">
        <v>0.54</v>
      </c>
      <c r="E113" s="564">
        <v>0.54</v>
      </c>
      <c r="F113" s="564">
        <v>0.54</v>
      </c>
      <c r="G113" s="564"/>
      <c r="H113" s="565"/>
      <c r="I113" s="565"/>
      <c r="J113" s="566"/>
      <c r="K113" s="564">
        <v>0.53704000000000007</v>
      </c>
      <c r="L113" s="565">
        <v>0.54</v>
      </c>
      <c r="M113" s="564">
        <v>0.54</v>
      </c>
      <c r="N113" s="564">
        <v>0.54</v>
      </c>
      <c r="O113" s="564"/>
      <c r="P113" s="565"/>
      <c r="Q113" s="565"/>
      <c r="R113" s="566"/>
    </row>
    <row r="114" spans="2:18">
      <c r="B114" s="563">
        <v>36</v>
      </c>
      <c r="C114" s="564">
        <v>3.8933333333333306E-2</v>
      </c>
      <c r="D114" s="565">
        <v>0.04</v>
      </c>
      <c r="E114" s="564">
        <v>0.04</v>
      </c>
      <c r="F114" s="564">
        <v>0.04</v>
      </c>
      <c r="G114" s="564"/>
      <c r="H114" s="565"/>
      <c r="I114" s="565"/>
      <c r="J114" s="566"/>
      <c r="K114" s="564">
        <v>3.8933333333333306E-2</v>
      </c>
      <c r="L114" s="565">
        <v>0.04</v>
      </c>
      <c r="M114" s="564">
        <v>0.04</v>
      </c>
      <c r="N114" s="564">
        <v>0.04</v>
      </c>
      <c r="O114" s="564"/>
      <c r="P114" s="565"/>
      <c r="Q114" s="565"/>
      <c r="R114" s="566"/>
    </row>
    <row r="115" spans="2:18">
      <c r="B115" s="563">
        <v>37</v>
      </c>
      <c r="C115" s="564">
        <v>-0.42685333333333331</v>
      </c>
      <c r="D115" s="565">
        <v>-0.43</v>
      </c>
      <c r="E115" s="564">
        <v>-0.43</v>
      </c>
      <c r="F115" s="564">
        <v>-0.43</v>
      </c>
      <c r="G115" s="564"/>
      <c r="H115" s="565"/>
      <c r="I115" s="565"/>
      <c r="J115" s="566"/>
      <c r="K115" s="564">
        <v>-0.42685333333333331</v>
      </c>
      <c r="L115" s="565">
        <v>-0.43</v>
      </c>
      <c r="M115" s="564">
        <v>-0.43</v>
      </c>
      <c r="N115" s="564">
        <v>-0.43</v>
      </c>
      <c r="O115" s="564"/>
      <c r="P115" s="565"/>
      <c r="Q115" s="565"/>
      <c r="R115" s="566"/>
    </row>
    <row r="116" spans="2:18">
      <c r="B116" s="563">
        <v>38</v>
      </c>
      <c r="C116" s="564">
        <v>-0.83920000000000017</v>
      </c>
      <c r="D116" s="565">
        <v>-0.84</v>
      </c>
      <c r="E116" s="564">
        <v>-0.84</v>
      </c>
      <c r="F116" s="564">
        <v>-0.84</v>
      </c>
      <c r="G116" s="564"/>
      <c r="H116" s="565"/>
      <c r="I116" s="565"/>
      <c r="J116" s="566"/>
      <c r="K116" s="564">
        <v>-0.83920000000000017</v>
      </c>
      <c r="L116" s="565">
        <v>-0.84</v>
      </c>
      <c r="M116" s="564">
        <v>-0.84</v>
      </c>
      <c r="N116" s="564">
        <v>-0.84</v>
      </c>
      <c r="O116" s="564"/>
      <c r="P116" s="565"/>
      <c r="Q116" s="565"/>
      <c r="R116" s="566"/>
    </row>
    <row r="117" spans="2:18">
      <c r="B117" s="563">
        <v>39</v>
      </c>
      <c r="C117" s="564">
        <v>-1.1828826666666665</v>
      </c>
      <c r="D117" s="565">
        <v>-1.18</v>
      </c>
      <c r="E117" s="564">
        <v>-1.18</v>
      </c>
      <c r="F117" s="564">
        <v>-1.18</v>
      </c>
      <c r="G117" s="564"/>
      <c r="H117" s="565"/>
      <c r="I117" s="565"/>
      <c r="J117" s="566"/>
      <c r="K117" s="564">
        <v>-1.1828826666666665</v>
      </c>
      <c r="L117" s="565">
        <v>-1.18</v>
      </c>
      <c r="M117" s="564">
        <v>-1.18</v>
      </c>
      <c r="N117" s="564">
        <v>-1.18</v>
      </c>
      <c r="O117" s="564"/>
      <c r="P117" s="565"/>
      <c r="Q117" s="565"/>
      <c r="R117" s="566"/>
    </row>
    <row r="118" spans="2:18">
      <c r="B118" s="563">
        <v>40</v>
      </c>
      <c r="C118" s="564">
        <v>-1.4666666666666666</v>
      </c>
      <c r="D118" s="565">
        <v>-1.47</v>
      </c>
      <c r="E118" s="564">
        <v>-1.47</v>
      </c>
      <c r="F118" s="564">
        <v>-1.47</v>
      </c>
      <c r="G118" s="564"/>
      <c r="H118" s="565"/>
      <c r="I118" s="565"/>
      <c r="J118" s="566"/>
      <c r="K118" s="564">
        <v>-1.4666666666666666</v>
      </c>
      <c r="L118" s="565">
        <v>-1.47</v>
      </c>
      <c r="M118" s="564">
        <v>-1.47</v>
      </c>
      <c r="N118" s="564">
        <v>-1.47</v>
      </c>
      <c r="O118" s="564"/>
      <c r="P118" s="565"/>
      <c r="Q118" s="565"/>
      <c r="R118" s="566"/>
    </row>
    <row r="119" spans="2:18">
      <c r="B119" s="563">
        <v>41</v>
      </c>
      <c r="C119" s="564">
        <v>-1.7052746666666667</v>
      </c>
      <c r="D119" s="565">
        <v>-1.71</v>
      </c>
      <c r="E119" s="564">
        <v>-1.71</v>
      </c>
      <c r="F119" s="564">
        <v>-1.71</v>
      </c>
      <c r="G119" s="564"/>
      <c r="H119" s="565"/>
      <c r="I119" s="565"/>
      <c r="J119" s="566"/>
      <c r="K119" s="564">
        <v>-1.7052746666666667</v>
      </c>
      <c r="L119" s="565">
        <v>-1.71</v>
      </c>
      <c r="M119" s="564">
        <v>-1.71</v>
      </c>
      <c r="N119" s="564">
        <v>-1.71</v>
      </c>
      <c r="O119" s="564"/>
      <c r="P119" s="565"/>
      <c r="Q119" s="565"/>
      <c r="R119" s="566"/>
    </row>
    <row r="120" spans="2:18">
      <c r="B120" s="563">
        <v>42</v>
      </c>
      <c r="C120" s="564">
        <v>-2.1801013333333334</v>
      </c>
      <c r="D120" s="565">
        <v>-2.1800000000000002</v>
      </c>
      <c r="E120" s="564">
        <v>-2.1800000000000002</v>
      </c>
      <c r="F120" s="564">
        <v>-2.1800000000000002</v>
      </c>
      <c r="G120" s="564"/>
      <c r="H120" s="565"/>
      <c r="I120" s="565"/>
      <c r="J120" s="566"/>
      <c r="K120" s="564">
        <v>-2.1801013333333334</v>
      </c>
      <c r="L120" s="565">
        <v>-2.1800000000000002</v>
      </c>
      <c r="M120" s="564">
        <v>-2.1800000000000002</v>
      </c>
      <c r="N120" s="564">
        <v>-2.1800000000000002</v>
      </c>
      <c r="O120" s="564"/>
      <c r="P120" s="565"/>
      <c r="Q120" s="565"/>
      <c r="R120" s="566"/>
    </row>
    <row r="121" spans="2:18">
      <c r="B121" s="563">
        <v>43</v>
      </c>
      <c r="C121" s="564">
        <v>-2.5058719999999997</v>
      </c>
      <c r="D121" s="565">
        <v>-2.5099999999999998</v>
      </c>
      <c r="E121" s="564">
        <v>-2.5099999999999998</v>
      </c>
      <c r="F121" s="564">
        <v>-2.5099999999999998</v>
      </c>
      <c r="G121" s="564"/>
      <c r="H121" s="565"/>
      <c r="I121" s="565"/>
      <c r="J121" s="566"/>
      <c r="K121" s="564">
        <v>-2.5058719999999997</v>
      </c>
      <c r="L121" s="565">
        <v>-2.5099999999999998</v>
      </c>
      <c r="M121" s="564">
        <v>-2.5099999999999998</v>
      </c>
      <c r="N121" s="564">
        <v>-2.5099999999999998</v>
      </c>
      <c r="O121" s="564"/>
      <c r="P121" s="565"/>
      <c r="Q121" s="565"/>
      <c r="R121" s="566"/>
    </row>
    <row r="122" spans="2:18">
      <c r="B122" s="563">
        <v>44</v>
      </c>
      <c r="C122" s="564">
        <v>-2.8306399999999998</v>
      </c>
      <c r="D122" s="565">
        <v>-2.83</v>
      </c>
      <c r="E122" s="564">
        <v>-2.83</v>
      </c>
      <c r="F122" s="564">
        <v>-2.83</v>
      </c>
      <c r="G122" s="564"/>
      <c r="H122" s="565"/>
      <c r="I122" s="565"/>
      <c r="J122" s="566"/>
      <c r="K122" s="564">
        <v>-2.8306399999999998</v>
      </c>
      <c r="L122" s="565">
        <v>-2.83</v>
      </c>
      <c r="M122" s="564">
        <v>-2.83</v>
      </c>
      <c r="N122" s="564">
        <v>-2.83</v>
      </c>
      <c r="O122" s="564"/>
      <c r="P122" s="565"/>
      <c r="Q122" s="565"/>
      <c r="R122" s="566"/>
    </row>
    <row r="123" spans="2:18">
      <c r="B123" s="563">
        <v>45</v>
      </c>
      <c r="C123" s="564">
        <v>-3.1691733333333332</v>
      </c>
      <c r="D123" s="565">
        <v>-3.17</v>
      </c>
      <c r="E123" s="564">
        <v>-3.17</v>
      </c>
      <c r="F123" s="564">
        <v>-3.17</v>
      </c>
      <c r="G123" s="564"/>
      <c r="H123" s="565"/>
      <c r="I123" s="565"/>
      <c r="J123" s="566"/>
      <c r="K123" s="564">
        <v>-3.1691733333333332</v>
      </c>
      <c r="L123" s="565">
        <v>-3.17</v>
      </c>
      <c r="M123" s="564">
        <v>-3.17</v>
      </c>
      <c r="N123" s="564">
        <v>-3.17</v>
      </c>
      <c r="O123" s="564"/>
      <c r="P123" s="565"/>
      <c r="Q123" s="565"/>
      <c r="R123" s="566"/>
    </row>
    <row r="124" spans="2:18">
      <c r="B124" s="563">
        <v>46</v>
      </c>
      <c r="C124" s="564">
        <v>-3.5361333333333334</v>
      </c>
      <c r="D124" s="565">
        <v>-3.54</v>
      </c>
      <c r="E124" s="564">
        <v>-3.54</v>
      </c>
      <c r="F124" s="564">
        <v>-3.54</v>
      </c>
      <c r="G124" s="564"/>
      <c r="H124" s="565"/>
      <c r="I124" s="565"/>
      <c r="J124" s="566"/>
      <c r="K124" s="564">
        <v>-3.5361333333333334</v>
      </c>
      <c r="L124" s="565">
        <v>-3.54</v>
      </c>
      <c r="M124" s="564">
        <v>-3.54</v>
      </c>
      <c r="N124" s="564">
        <v>-3.54</v>
      </c>
      <c r="O124" s="564"/>
      <c r="P124" s="565"/>
      <c r="Q124" s="565"/>
      <c r="R124" s="566"/>
    </row>
    <row r="125" spans="2:18">
      <c r="B125" s="563">
        <v>47</v>
      </c>
      <c r="C125" s="564">
        <v>-3.942133333333333</v>
      </c>
      <c r="D125" s="565">
        <v>-3.94</v>
      </c>
      <c r="E125" s="564">
        <v>-3.94</v>
      </c>
      <c r="F125" s="564">
        <v>-3.94</v>
      </c>
      <c r="G125" s="564"/>
      <c r="H125" s="565"/>
      <c r="I125" s="565"/>
      <c r="J125" s="566"/>
      <c r="K125" s="564">
        <v>-3.942133333333333</v>
      </c>
      <c r="L125" s="565">
        <v>-3.94</v>
      </c>
      <c r="M125" s="564">
        <v>-3.94</v>
      </c>
      <c r="N125" s="564">
        <v>-3.94</v>
      </c>
      <c r="O125" s="564"/>
      <c r="P125" s="565"/>
      <c r="Q125" s="565"/>
      <c r="R125" s="566"/>
    </row>
    <row r="126" spans="2:18">
      <c r="B126" s="563">
        <v>48</v>
      </c>
      <c r="C126" s="564">
        <v>-4.3810133333333336</v>
      </c>
      <c r="D126" s="565">
        <v>-4.38</v>
      </c>
      <c r="E126" s="564">
        <v>-4.38</v>
      </c>
      <c r="F126" s="564">
        <v>-4.38</v>
      </c>
      <c r="G126" s="564"/>
      <c r="H126" s="565"/>
      <c r="I126" s="565"/>
      <c r="J126" s="566"/>
      <c r="K126" s="564">
        <v>-4.3810133333333336</v>
      </c>
      <c r="L126" s="565">
        <v>-4.38</v>
      </c>
      <c r="M126" s="564">
        <v>-4.38</v>
      </c>
      <c r="N126" s="564">
        <v>-4.38</v>
      </c>
      <c r="O126" s="564"/>
      <c r="P126" s="565"/>
      <c r="Q126" s="565"/>
      <c r="R126" s="566"/>
    </row>
    <row r="127" spans="2:18">
      <c r="B127" s="563">
        <v>49</v>
      </c>
      <c r="C127" s="564">
        <v>-4.8425599999999998</v>
      </c>
      <c r="D127" s="565">
        <v>-4.84</v>
      </c>
      <c r="E127" s="564">
        <v>-4.84</v>
      </c>
      <c r="F127" s="564">
        <v>-4.84</v>
      </c>
      <c r="G127" s="564"/>
      <c r="H127" s="565"/>
      <c r="I127" s="565"/>
      <c r="J127" s="566"/>
      <c r="K127" s="564">
        <v>-4.8425599999999998</v>
      </c>
      <c r="L127" s="565">
        <v>-4.84</v>
      </c>
      <c r="M127" s="564">
        <v>-4.84</v>
      </c>
      <c r="N127" s="564">
        <v>-4.84</v>
      </c>
      <c r="O127" s="564"/>
      <c r="P127" s="565"/>
      <c r="Q127" s="565"/>
      <c r="R127" s="566"/>
    </row>
    <row r="128" spans="2:18">
      <c r="B128" s="563">
        <v>50</v>
      </c>
      <c r="C128" s="564">
        <v>-5.04976</v>
      </c>
      <c r="D128" s="565">
        <v>-5.05</v>
      </c>
      <c r="E128" s="564">
        <v>-5.05</v>
      </c>
      <c r="F128" s="564">
        <v>-5.05</v>
      </c>
      <c r="G128" s="564"/>
      <c r="H128" s="565"/>
      <c r="I128" s="565"/>
      <c r="J128" s="566"/>
      <c r="K128" s="564">
        <v>-5.04976</v>
      </c>
      <c r="L128" s="565">
        <v>-5.05</v>
      </c>
      <c r="M128" s="564">
        <v>-5.05</v>
      </c>
      <c r="N128" s="564">
        <v>-5.05</v>
      </c>
      <c r="O128" s="564"/>
      <c r="P128" s="565"/>
      <c r="Q128" s="565"/>
      <c r="R128" s="566"/>
    </row>
    <row r="129" spans="2:18">
      <c r="B129" s="563">
        <v>51</v>
      </c>
      <c r="C129" s="564">
        <v>-5.2590399999999997</v>
      </c>
      <c r="D129" s="565">
        <v>-5.26</v>
      </c>
      <c r="E129" s="564">
        <v>-5.26</v>
      </c>
      <c r="F129" s="564">
        <v>-5.26</v>
      </c>
      <c r="G129" s="564"/>
      <c r="H129" s="565"/>
      <c r="I129" s="565"/>
      <c r="J129" s="566"/>
      <c r="K129" s="564">
        <v>-5.2590399999999997</v>
      </c>
      <c r="L129" s="565">
        <v>-5.26</v>
      </c>
      <c r="M129" s="564">
        <v>-5.26</v>
      </c>
      <c r="N129" s="564">
        <v>-5.26</v>
      </c>
      <c r="O129" s="564"/>
      <c r="P129" s="565"/>
      <c r="Q129" s="565"/>
      <c r="R129" s="566"/>
    </row>
    <row r="130" spans="2:18">
      <c r="B130" s="563">
        <v>52</v>
      </c>
      <c r="C130" s="564">
        <v>-5.4601066666666664</v>
      </c>
      <c r="D130" s="565">
        <v>-5.46</v>
      </c>
      <c r="E130" s="564">
        <v>-5.46</v>
      </c>
      <c r="F130" s="564">
        <v>-5.46</v>
      </c>
      <c r="G130" s="564"/>
      <c r="H130" s="565"/>
      <c r="I130" s="565"/>
      <c r="J130" s="566"/>
      <c r="K130" s="564">
        <v>-5.4601066666666664</v>
      </c>
      <c r="L130" s="565">
        <v>-5.46</v>
      </c>
      <c r="M130" s="564">
        <v>-5.46</v>
      </c>
      <c r="N130" s="564">
        <v>-5.46</v>
      </c>
      <c r="O130" s="564"/>
      <c r="P130" s="565"/>
      <c r="Q130" s="565"/>
      <c r="R130" s="566"/>
    </row>
    <row r="131" spans="2:18">
      <c r="B131" s="563">
        <v>53</v>
      </c>
      <c r="C131" s="564">
        <v>-5.3759999999999994</v>
      </c>
      <c r="D131" s="565">
        <v>-5.38</v>
      </c>
      <c r="E131" s="564">
        <v>-5.38</v>
      </c>
      <c r="F131" s="564">
        <v>-5.38</v>
      </c>
      <c r="G131" s="564"/>
      <c r="H131" s="565"/>
      <c r="I131" s="565"/>
      <c r="J131" s="566"/>
      <c r="K131" s="564">
        <v>-5.3759999999999994</v>
      </c>
      <c r="L131" s="565">
        <v>-5.38</v>
      </c>
      <c r="M131" s="564">
        <v>-5.38</v>
      </c>
      <c r="N131" s="564">
        <v>-5.38</v>
      </c>
      <c r="O131" s="564"/>
      <c r="P131" s="565"/>
      <c r="Q131" s="565"/>
      <c r="R131" s="566"/>
    </row>
    <row r="132" spans="2:18">
      <c r="B132" s="563">
        <v>54</v>
      </c>
      <c r="C132" s="564">
        <v>-5.3964533333333327</v>
      </c>
      <c r="D132" s="565">
        <v>-5.4</v>
      </c>
      <c r="E132" s="564">
        <v>-5.4</v>
      </c>
      <c r="F132" s="564">
        <v>-5.4</v>
      </c>
      <c r="G132" s="564"/>
      <c r="H132" s="565"/>
      <c r="I132" s="565"/>
      <c r="J132" s="566"/>
      <c r="K132" s="564">
        <v>-5.3964533333333327</v>
      </c>
      <c r="L132" s="565">
        <v>-5.4</v>
      </c>
      <c r="M132" s="564">
        <v>-5.4</v>
      </c>
      <c r="N132" s="564">
        <v>-5.4</v>
      </c>
      <c r="O132" s="564"/>
      <c r="P132" s="565"/>
      <c r="Q132" s="565"/>
      <c r="R132" s="566"/>
    </row>
    <row r="133" spans="2:18">
      <c r="B133" s="563">
        <v>55</v>
      </c>
      <c r="C133" s="564">
        <v>-5.3778666666666677</v>
      </c>
      <c r="D133" s="565">
        <v>-5.38</v>
      </c>
      <c r="E133" s="564">
        <v>-5.38</v>
      </c>
      <c r="F133" s="564">
        <v>-5.38</v>
      </c>
      <c r="G133" s="564"/>
      <c r="H133" s="565"/>
      <c r="I133" s="565"/>
      <c r="J133" s="566"/>
      <c r="K133" s="564">
        <v>-5.3778666666666677</v>
      </c>
      <c r="L133" s="565">
        <v>-5.38</v>
      </c>
      <c r="M133" s="564">
        <v>-5.38</v>
      </c>
      <c r="N133" s="564">
        <v>-5.38</v>
      </c>
      <c r="O133" s="564"/>
      <c r="P133" s="565"/>
      <c r="Q133" s="565"/>
      <c r="R133" s="566"/>
    </row>
    <row r="134" spans="2:18">
      <c r="B134" s="563">
        <v>56</v>
      </c>
      <c r="C134" s="564">
        <v>-5.3125066666666667</v>
      </c>
      <c r="D134" s="565">
        <v>-5.31</v>
      </c>
      <c r="E134" s="564">
        <v>-5.31</v>
      </c>
      <c r="F134" s="564">
        <v>-5.31</v>
      </c>
      <c r="G134" s="564"/>
      <c r="H134" s="565"/>
      <c r="I134" s="565"/>
      <c r="J134" s="566"/>
      <c r="K134" s="564">
        <v>-5.3125066666666667</v>
      </c>
      <c r="L134" s="565">
        <v>-5.31</v>
      </c>
      <c r="M134" s="564">
        <v>-5.31</v>
      </c>
      <c r="N134" s="564">
        <v>-5.31</v>
      </c>
      <c r="O134" s="564"/>
      <c r="P134" s="565"/>
      <c r="Q134" s="565"/>
      <c r="R134" s="566"/>
    </row>
    <row r="135" spans="2:18">
      <c r="B135" s="563">
        <v>57</v>
      </c>
      <c r="C135" s="564">
        <v>-5.2030400000000006</v>
      </c>
      <c r="D135" s="565">
        <v>-5.2</v>
      </c>
      <c r="E135" s="564">
        <v>-5.2</v>
      </c>
      <c r="F135" s="564">
        <v>-5.2</v>
      </c>
      <c r="G135" s="564"/>
      <c r="H135" s="565"/>
      <c r="I135" s="565"/>
      <c r="J135" s="566"/>
      <c r="K135" s="564">
        <v>-5.2030400000000006</v>
      </c>
      <c r="L135" s="565">
        <v>-5.2</v>
      </c>
      <c r="M135" s="564">
        <v>-5.2</v>
      </c>
      <c r="N135" s="564">
        <v>-5.2</v>
      </c>
      <c r="O135" s="564"/>
      <c r="P135" s="565"/>
      <c r="Q135" s="565"/>
      <c r="R135" s="566"/>
    </row>
    <row r="136" spans="2:18">
      <c r="B136" s="563">
        <v>58</v>
      </c>
      <c r="C136" s="564">
        <v>-5.0545866666666672</v>
      </c>
      <c r="D136" s="565">
        <v>-5.05</v>
      </c>
      <c r="E136" s="564">
        <v>-5.05</v>
      </c>
      <c r="F136" s="564">
        <v>-5.05</v>
      </c>
      <c r="G136" s="564"/>
      <c r="H136" s="565"/>
      <c r="I136" s="565"/>
      <c r="J136" s="566"/>
      <c r="K136" s="564">
        <v>-5.0545866666666672</v>
      </c>
      <c r="L136" s="565">
        <v>-5.05</v>
      </c>
      <c r="M136" s="564">
        <v>-5.05</v>
      </c>
      <c r="N136" s="564">
        <v>-5.05</v>
      </c>
      <c r="O136" s="564"/>
      <c r="P136" s="565"/>
      <c r="Q136" s="565"/>
      <c r="R136" s="566"/>
    </row>
    <row r="137" spans="2:18">
      <c r="B137" s="563">
        <v>59</v>
      </c>
      <c r="C137" s="564">
        <v>-4.8723733333333339</v>
      </c>
      <c r="D137" s="565">
        <v>-4.87</v>
      </c>
      <c r="E137" s="564">
        <v>-4.87</v>
      </c>
      <c r="F137" s="564">
        <v>-4.87</v>
      </c>
      <c r="G137" s="564"/>
      <c r="H137" s="565"/>
      <c r="I137" s="565"/>
      <c r="J137" s="566"/>
      <c r="K137" s="564">
        <v>-4.8723733333333339</v>
      </c>
      <c r="L137" s="565">
        <v>-4.87</v>
      </c>
      <c r="M137" s="564">
        <v>-4.87</v>
      </c>
      <c r="N137" s="564">
        <v>-4.87</v>
      </c>
      <c r="O137" s="564"/>
      <c r="P137" s="565"/>
      <c r="Q137" s="565"/>
      <c r="R137" s="566"/>
    </row>
    <row r="138" spans="2:18">
      <c r="B138" s="563">
        <v>60</v>
      </c>
      <c r="C138" s="564">
        <v>-4.5282666666666671</v>
      </c>
      <c r="D138" s="565">
        <v>-4.53</v>
      </c>
      <c r="E138" s="564">
        <v>-4.53</v>
      </c>
      <c r="F138" s="564">
        <v>-4.53</v>
      </c>
      <c r="G138" s="564"/>
      <c r="H138" s="565"/>
      <c r="I138" s="565"/>
      <c r="J138" s="566"/>
      <c r="K138" s="564">
        <v>-4.5282666666666671</v>
      </c>
      <c r="L138" s="565">
        <v>-4.53</v>
      </c>
      <c r="M138" s="564">
        <v>-4.53</v>
      </c>
      <c r="N138" s="564">
        <v>-4.53</v>
      </c>
      <c r="O138" s="564"/>
      <c r="P138" s="565"/>
      <c r="Q138" s="565"/>
      <c r="R138" s="566"/>
    </row>
    <row r="139" spans="2:18">
      <c r="B139" s="563">
        <v>61</v>
      </c>
      <c r="C139" s="564">
        <v>-4.1607733333333332</v>
      </c>
      <c r="D139" s="565">
        <v>-4.16</v>
      </c>
      <c r="E139" s="564">
        <v>-4.16</v>
      </c>
      <c r="F139" s="564">
        <v>-4.16</v>
      </c>
      <c r="G139" s="564"/>
      <c r="H139" s="565"/>
      <c r="I139" s="565"/>
      <c r="J139" s="566"/>
      <c r="K139" s="564">
        <v>-4.1607733333333332</v>
      </c>
      <c r="L139" s="565">
        <v>-4.16</v>
      </c>
      <c r="M139" s="564">
        <v>-4.16</v>
      </c>
      <c r="N139" s="564">
        <v>-4.16</v>
      </c>
      <c r="O139" s="564"/>
      <c r="P139" s="565"/>
      <c r="Q139" s="565"/>
      <c r="R139" s="566"/>
    </row>
    <row r="140" spans="2:18">
      <c r="B140" s="563">
        <v>62</v>
      </c>
      <c r="C140" s="564">
        <v>-3.7750666666666666</v>
      </c>
      <c r="D140" s="565">
        <v>-3.78</v>
      </c>
      <c r="E140" s="564">
        <v>-3.78</v>
      </c>
      <c r="F140" s="564">
        <v>-3.78</v>
      </c>
      <c r="G140" s="564"/>
      <c r="H140" s="565"/>
      <c r="I140" s="565"/>
      <c r="J140" s="566"/>
      <c r="K140" s="564">
        <v>-3.7750666666666666</v>
      </c>
      <c r="L140" s="565">
        <v>-3.78</v>
      </c>
      <c r="M140" s="564">
        <v>-3.78</v>
      </c>
      <c r="N140" s="564">
        <v>-3.78</v>
      </c>
      <c r="O140" s="564"/>
      <c r="P140" s="565"/>
      <c r="Q140" s="565"/>
      <c r="R140" s="566"/>
    </row>
    <row r="141" spans="2:18">
      <c r="B141" s="563">
        <v>63</v>
      </c>
      <c r="C141" s="564">
        <v>-3.3763733333333334</v>
      </c>
      <c r="D141" s="565">
        <v>-3.38</v>
      </c>
      <c r="E141" s="564">
        <v>-3.38</v>
      </c>
      <c r="F141" s="564">
        <v>-3.38</v>
      </c>
      <c r="G141" s="564"/>
      <c r="H141" s="565"/>
      <c r="I141" s="565"/>
      <c r="J141" s="566"/>
      <c r="K141" s="564">
        <v>-3.3763733333333334</v>
      </c>
      <c r="L141" s="565">
        <v>-3.38</v>
      </c>
      <c r="M141" s="564">
        <v>-3.38</v>
      </c>
      <c r="N141" s="564">
        <v>-3.38</v>
      </c>
      <c r="O141" s="564"/>
      <c r="P141" s="565"/>
      <c r="Q141" s="565"/>
      <c r="R141" s="566"/>
    </row>
    <row r="142" spans="2:18">
      <c r="B142" s="563">
        <v>64</v>
      </c>
      <c r="C142" s="564">
        <v>-2.9698666666666669</v>
      </c>
      <c r="D142" s="565">
        <v>-2.97</v>
      </c>
      <c r="E142" s="564">
        <v>-2.97</v>
      </c>
      <c r="F142" s="564">
        <v>-2.97</v>
      </c>
      <c r="G142" s="564"/>
      <c r="H142" s="565"/>
      <c r="I142" s="565"/>
      <c r="J142" s="566"/>
      <c r="K142" s="564">
        <v>-2.9698666666666669</v>
      </c>
      <c r="L142" s="565">
        <v>-2.97</v>
      </c>
      <c r="M142" s="564">
        <v>-2.97</v>
      </c>
      <c r="N142" s="564">
        <v>-2.97</v>
      </c>
      <c r="O142" s="564"/>
      <c r="P142" s="565"/>
      <c r="Q142" s="565"/>
      <c r="R142" s="566"/>
    </row>
    <row r="143" spans="2:18">
      <c r="B143" s="563">
        <v>65</v>
      </c>
      <c r="C143" s="564">
        <v>-2.5607466666666663</v>
      </c>
      <c r="D143" s="565">
        <v>-2.56</v>
      </c>
      <c r="E143" s="564">
        <v>-2.56</v>
      </c>
      <c r="F143" s="564">
        <v>-2.56</v>
      </c>
      <c r="G143" s="564"/>
      <c r="H143" s="565"/>
      <c r="I143" s="565"/>
      <c r="J143" s="566"/>
      <c r="K143" s="564">
        <v>-2.5607466666666663</v>
      </c>
      <c r="L143" s="565">
        <v>-2.56</v>
      </c>
      <c r="M143" s="564">
        <v>-2.56</v>
      </c>
      <c r="N143" s="564">
        <v>-2.56</v>
      </c>
      <c r="O143" s="564"/>
      <c r="P143" s="565"/>
      <c r="Q143" s="565"/>
      <c r="R143" s="566"/>
    </row>
    <row r="144" spans="2:18">
      <c r="B144" s="563">
        <v>66</v>
      </c>
      <c r="C144" s="564">
        <v>-2.1541600000000001</v>
      </c>
      <c r="D144" s="565">
        <v>-2.15</v>
      </c>
      <c r="E144" s="564">
        <v>-2.15</v>
      </c>
      <c r="F144" s="564">
        <v>-2.15</v>
      </c>
      <c r="G144" s="564"/>
      <c r="H144" s="565"/>
      <c r="I144" s="565"/>
      <c r="J144" s="566"/>
      <c r="K144" s="564">
        <v>-2.1541600000000001</v>
      </c>
      <c r="L144" s="565">
        <v>-2.15</v>
      </c>
      <c r="M144" s="564">
        <v>-2.15</v>
      </c>
      <c r="N144" s="564">
        <v>-2.15</v>
      </c>
      <c r="O144" s="564"/>
      <c r="P144" s="565"/>
      <c r="Q144" s="565"/>
      <c r="R144" s="566"/>
    </row>
    <row r="145" spans="2:18">
      <c r="B145" s="563">
        <v>67</v>
      </c>
      <c r="C145" s="564">
        <v>-1.75536</v>
      </c>
      <c r="D145" s="565">
        <v>-1.76</v>
      </c>
      <c r="E145" s="564">
        <v>-1.76</v>
      </c>
      <c r="F145" s="564">
        <v>-1.76</v>
      </c>
      <c r="G145" s="564"/>
      <c r="H145" s="565"/>
      <c r="I145" s="565"/>
      <c r="J145" s="566"/>
      <c r="K145" s="564">
        <v>-1.75536</v>
      </c>
      <c r="L145" s="565">
        <v>-1.76</v>
      </c>
      <c r="M145" s="564">
        <v>-1.76</v>
      </c>
      <c r="N145" s="564">
        <v>-1.76</v>
      </c>
      <c r="O145" s="564"/>
      <c r="P145" s="565"/>
      <c r="Q145" s="565"/>
      <c r="R145" s="566"/>
    </row>
    <row r="146" spans="2:18">
      <c r="B146" s="563">
        <v>68</v>
      </c>
      <c r="C146" s="564">
        <v>-1.3694933333333332</v>
      </c>
      <c r="D146" s="565">
        <v>-1.37</v>
      </c>
      <c r="E146" s="564">
        <v>-1.37</v>
      </c>
      <c r="F146" s="564">
        <v>-1.37</v>
      </c>
      <c r="G146" s="564"/>
      <c r="H146" s="565"/>
      <c r="I146" s="565"/>
      <c r="J146" s="566"/>
      <c r="K146" s="564">
        <v>-1.3694933333333332</v>
      </c>
      <c r="L146" s="565">
        <v>-1.37</v>
      </c>
      <c r="M146" s="564">
        <v>-1.37</v>
      </c>
      <c r="N146" s="564">
        <v>-1.37</v>
      </c>
      <c r="O146" s="564"/>
      <c r="P146" s="565"/>
      <c r="Q146" s="565"/>
      <c r="R146" s="566"/>
    </row>
    <row r="147" spans="2:18">
      <c r="B147" s="563">
        <v>69</v>
      </c>
      <c r="C147" s="564">
        <v>-1.0017866666666666</v>
      </c>
      <c r="D147" s="565">
        <v>-1</v>
      </c>
      <c r="E147" s="564">
        <v>-1</v>
      </c>
      <c r="F147" s="564">
        <v>-1</v>
      </c>
      <c r="G147" s="564"/>
      <c r="H147" s="565"/>
      <c r="I147" s="565"/>
      <c r="J147" s="566"/>
      <c r="K147" s="564">
        <v>-1.0017866666666666</v>
      </c>
      <c r="L147" s="565">
        <v>-1</v>
      </c>
      <c r="M147" s="564">
        <v>-1</v>
      </c>
      <c r="N147" s="564">
        <v>-1</v>
      </c>
      <c r="O147" s="564"/>
      <c r="P147" s="565"/>
      <c r="Q147" s="565"/>
      <c r="R147" s="566"/>
    </row>
    <row r="148" spans="2:18">
      <c r="B148" s="563">
        <v>70</v>
      </c>
      <c r="C148" s="564">
        <v>-0.79072000000000009</v>
      </c>
      <c r="D148" s="565">
        <v>-0.79</v>
      </c>
      <c r="E148" s="564">
        <v>-0.79</v>
      </c>
      <c r="F148" s="564">
        <v>-0.79</v>
      </c>
      <c r="G148" s="564"/>
      <c r="H148" s="565"/>
      <c r="I148" s="565"/>
      <c r="J148" s="566"/>
      <c r="K148" s="564">
        <v>-0.79072000000000009</v>
      </c>
      <c r="L148" s="565">
        <v>-0.79</v>
      </c>
      <c r="M148" s="564">
        <v>-0.79</v>
      </c>
      <c r="N148" s="564">
        <v>-0.79</v>
      </c>
      <c r="O148" s="564"/>
      <c r="P148" s="565"/>
      <c r="Q148" s="565"/>
      <c r="R148" s="566"/>
    </row>
    <row r="149" spans="2:18">
      <c r="B149" s="563">
        <v>71</v>
      </c>
      <c r="C149" s="564">
        <v>-0.74149333333333334</v>
      </c>
      <c r="D149" s="565">
        <v>-0.74</v>
      </c>
      <c r="E149" s="564">
        <v>-0.74</v>
      </c>
      <c r="F149" s="564">
        <v>-0.74</v>
      </c>
      <c r="G149" s="564"/>
      <c r="H149" s="565"/>
      <c r="I149" s="565"/>
      <c r="J149" s="566"/>
      <c r="K149" s="564">
        <v>-0.74149333333333334</v>
      </c>
      <c r="L149" s="565">
        <v>-0.74</v>
      </c>
      <c r="M149" s="564">
        <v>-0.74</v>
      </c>
      <c r="N149" s="564">
        <v>-0.74</v>
      </c>
      <c r="O149" s="564"/>
      <c r="P149" s="565"/>
      <c r="Q149" s="565"/>
      <c r="R149" s="566"/>
    </row>
    <row r="150" spans="2:18">
      <c r="B150" s="563">
        <v>72</v>
      </c>
      <c r="C150" s="564">
        <v>-0.72365333333333337</v>
      </c>
      <c r="D150" s="565">
        <v>-0.72</v>
      </c>
      <c r="E150" s="564">
        <v>-0.72</v>
      </c>
      <c r="F150" s="564">
        <v>-0.72</v>
      </c>
      <c r="G150" s="564"/>
      <c r="H150" s="565"/>
      <c r="I150" s="565"/>
      <c r="J150" s="566"/>
      <c r="K150" s="564">
        <v>-0.72365333333333337</v>
      </c>
      <c r="L150" s="565">
        <v>-0.72</v>
      </c>
      <c r="M150" s="564">
        <v>-0.72</v>
      </c>
      <c r="N150" s="564">
        <v>-0.72</v>
      </c>
      <c r="O150" s="564"/>
      <c r="P150" s="565"/>
      <c r="Q150" s="565"/>
      <c r="R150" s="566"/>
    </row>
    <row r="151" spans="2:18">
      <c r="B151" s="563">
        <v>73</v>
      </c>
      <c r="C151" s="564">
        <v>-0.73061333333333323</v>
      </c>
      <c r="D151" s="565">
        <v>-0.73</v>
      </c>
      <c r="E151" s="564">
        <v>-0.73</v>
      </c>
      <c r="F151" s="564">
        <v>-0.73</v>
      </c>
      <c r="G151" s="564"/>
      <c r="H151" s="565"/>
      <c r="I151" s="565"/>
      <c r="J151" s="566"/>
      <c r="K151" s="564">
        <v>-0.73061333333333323</v>
      </c>
      <c r="L151" s="565">
        <v>-0.73</v>
      </c>
      <c r="M151" s="564">
        <v>-0.73</v>
      </c>
      <c r="N151" s="564">
        <v>-0.73</v>
      </c>
      <c r="O151" s="564"/>
      <c r="P151" s="565"/>
      <c r="Q151" s="565"/>
      <c r="R151" s="566"/>
    </row>
    <row r="152" spans="2:18">
      <c r="B152" s="563">
        <v>74</v>
      </c>
      <c r="C152" s="564">
        <v>-0.75354666666666659</v>
      </c>
      <c r="D152" s="565">
        <v>-0.75</v>
      </c>
      <c r="E152" s="564">
        <v>-0.75</v>
      </c>
      <c r="F152" s="564">
        <v>-0.75</v>
      </c>
      <c r="G152" s="564"/>
      <c r="H152" s="565"/>
      <c r="I152" s="565"/>
      <c r="J152" s="566"/>
      <c r="K152" s="564">
        <v>-0.75354666666666659</v>
      </c>
      <c r="L152" s="565">
        <v>-0.75</v>
      </c>
      <c r="M152" s="564">
        <v>-0.75</v>
      </c>
      <c r="N152" s="564">
        <v>-0.75</v>
      </c>
      <c r="O152" s="564"/>
      <c r="P152" s="565"/>
      <c r="Q152" s="565"/>
      <c r="R152" s="566"/>
    </row>
    <row r="153" spans="2:18">
      <c r="B153" s="563">
        <v>75</v>
      </c>
      <c r="C153" s="564">
        <v>-0.78357333333333334</v>
      </c>
      <c r="D153" s="565">
        <v>-0.78</v>
      </c>
      <c r="E153" s="564">
        <v>-0.78</v>
      </c>
      <c r="F153" s="564">
        <v>-0.78</v>
      </c>
      <c r="G153" s="564"/>
      <c r="H153" s="565"/>
      <c r="I153" s="565"/>
      <c r="J153" s="566"/>
      <c r="K153" s="564">
        <v>-0.78357333333333334</v>
      </c>
      <c r="L153" s="565">
        <v>-0.78</v>
      </c>
      <c r="M153" s="564">
        <v>-0.78</v>
      </c>
      <c r="N153" s="564">
        <v>-0.78</v>
      </c>
      <c r="O153" s="564"/>
      <c r="P153" s="565"/>
      <c r="Q153" s="565"/>
      <c r="R153" s="566"/>
    </row>
    <row r="154" spans="2:18">
      <c r="B154" s="563">
        <v>76</v>
      </c>
      <c r="C154" s="564">
        <v>-0.81178666666666666</v>
      </c>
      <c r="D154" s="565">
        <v>-0.81</v>
      </c>
      <c r="E154" s="564">
        <v>-0.81</v>
      </c>
      <c r="F154" s="564">
        <v>-0.81</v>
      </c>
      <c r="G154" s="564"/>
      <c r="H154" s="565"/>
      <c r="I154" s="565"/>
      <c r="J154" s="566"/>
      <c r="K154" s="564">
        <v>-0.81178666666666666</v>
      </c>
      <c r="L154" s="565">
        <v>-0.81</v>
      </c>
      <c r="M154" s="564">
        <v>-0.81</v>
      </c>
      <c r="N154" s="564">
        <v>-0.81</v>
      </c>
      <c r="O154" s="564"/>
      <c r="P154" s="565"/>
      <c r="Q154" s="565"/>
      <c r="R154" s="566"/>
    </row>
    <row r="155" spans="2:18">
      <c r="B155" s="563">
        <v>77</v>
      </c>
      <c r="C155" s="564">
        <v>-0.82935999999999999</v>
      </c>
      <c r="D155" s="565">
        <v>-0.83</v>
      </c>
      <c r="E155" s="564">
        <v>-0.83</v>
      </c>
      <c r="F155" s="564">
        <v>-0.83</v>
      </c>
      <c r="G155" s="564"/>
      <c r="H155" s="565"/>
      <c r="I155" s="565"/>
      <c r="J155" s="566"/>
      <c r="K155" s="564">
        <v>-0.82935999999999999</v>
      </c>
      <c r="L155" s="565">
        <v>-0.83</v>
      </c>
      <c r="M155" s="564">
        <v>-0.83</v>
      </c>
      <c r="N155" s="564">
        <v>-0.83</v>
      </c>
      <c r="O155" s="564"/>
      <c r="P155" s="565"/>
      <c r="Q155" s="565"/>
      <c r="R155" s="566"/>
    </row>
    <row r="156" spans="2:18">
      <c r="B156" s="563">
        <v>78</v>
      </c>
      <c r="C156" s="564">
        <v>-0.82735999999999998</v>
      </c>
      <c r="D156" s="565">
        <v>-0.83</v>
      </c>
      <c r="E156" s="564">
        <v>-0.83</v>
      </c>
      <c r="F156" s="564">
        <v>-0.83</v>
      </c>
      <c r="G156" s="564"/>
      <c r="H156" s="565"/>
      <c r="I156" s="565"/>
      <c r="J156" s="566"/>
      <c r="K156" s="564">
        <v>-0.82735999999999998</v>
      </c>
      <c r="L156" s="565">
        <v>-0.83</v>
      </c>
      <c r="M156" s="564">
        <v>-0.83</v>
      </c>
      <c r="N156" s="564">
        <v>-0.83</v>
      </c>
      <c r="O156" s="564"/>
      <c r="P156" s="565"/>
      <c r="Q156" s="565"/>
      <c r="R156" s="566"/>
    </row>
    <row r="157" spans="2:18">
      <c r="B157" s="563">
        <v>79</v>
      </c>
      <c r="C157" s="564">
        <v>-0.79693333333333327</v>
      </c>
      <c r="D157" s="565">
        <v>-0.8</v>
      </c>
      <c r="E157" s="564">
        <v>-0.8</v>
      </c>
      <c r="F157" s="564">
        <v>-0.8</v>
      </c>
      <c r="G157" s="564"/>
      <c r="H157" s="565"/>
      <c r="I157" s="565"/>
      <c r="J157" s="566"/>
      <c r="K157" s="564">
        <v>-0.79693333333333327</v>
      </c>
      <c r="L157" s="565">
        <v>-0.8</v>
      </c>
      <c r="M157" s="564">
        <v>-0.8</v>
      </c>
      <c r="N157" s="564">
        <v>-0.8</v>
      </c>
      <c r="O157" s="564"/>
      <c r="P157" s="565"/>
      <c r="Q157" s="565"/>
      <c r="R157" s="566"/>
    </row>
    <row r="158" spans="2:18">
      <c r="B158" s="563">
        <v>80</v>
      </c>
      <c r="C158" s="564">
        <v>-0.72922666666666669</v>
      </c>
      <c r="D158" s="565">
        <v>-0.73</v>
      </c>
      <c r="E158" s="564">
        <v>-0.73</v>
      </c>
      <c r="F158" s="564">
        <v>-0.73</v>
      </c>
      <c r="G158" s="564"/>
      <c r="H158" s="565"/>
      <c r="I158" s="565"/>
      <c r="J158" s="566"/>
      <c r="K158" s="564">
        <v>-0.72922666666666669</v>
      </c>
      <c r="L158" s="565">
        <v>-0.73</v>
      </c>
      <c r="M158" s="564">
        <v>-0.73</v>
      </c>
      <c r="N158" s="564">
        <v>-0.73</v>
      </c>
      <c r="O158" s="564"/>
      <c r="P158" s="565"/>
      <c r="Q158" s="565"/>
      <c r="R158" s="566"/>
    </row>
    <row r="159" spans="2:18">
      <c r="B159" s="563">
        <v>81</v>
      </c>
      <c r="C159" s="564">
        <v>-0.61704000000000003</v>
      </c>
      <c r="D159" s="565">
        <v>-0.62</v>
      </c>
      <c r="E159" s="564">
        <v>-0.62</v>
      </c>
      <c r="F159" s="564">
        <v>-0.62</v>
      </c>
      <c r="G159" s="564"/>
      <c r="H159" s="565"/>
      <c r="I159" s="565"/>
      <c r="J159" s="566"/>
      <c r="K159" s="564">
        <v>-0.61704000000000003</v>
      </c>
      <c r="L159" s="565">
        <v>-0.62</v>
      </c>
      <c r="M159" s="564">
        <v>-0.62</v>
      </c>
      <c r="N159" s="564">
        <v>-0.62</v>
      </c>
      <c r="O159" s="564"/>
      <c r="P159" s="565"/>
      <c r="Q159" s="565"/>
      <c r="R159" s="566"/>
    </row>
    <row r="160" spans="2:18">
      <c r="B160" s="563">
        <v>82</v>
      </c>
      <c r="C160" s="564">
        <v>-0.45994666666666661</v>
      </c>
      <c r="D160" s="565">
        <v>-0.46</v>
      </c>
      <c r="E160" s="564">
        <v>-0.46</v>
      </c>
      <c r="F160" s="564">
        <v>-0.46</v>
      </c>
      <c r="G160" s="564"/>
      <c r="H160" s="565"/>
      <c r="I160" s="565"/>
      <c r="J160" s="566"/>
      <c r="K160" s="564">
        <v>-0.45994666666666661</v>
      </c>
      <c r="L160" s="565">
        <v>-0.46</v>
      </c>
      <c r="M160" s="564">
        <v>-0.46</v>
      </c>
      <c r="N160" s="564">
        <v>-0.46</v>
      </c>
      <c r="O160" s="564"/>
      <c r="P160" s="565"/>
      <c r="Q160" s="565"/>
      <c r="R160" s="566"/>
    </row>
    <row r="161" spans="2:18">
      <c r="B161" s="563">
        <v>83</v>
      </c>
      <c r="C161" s="564">
        <v>-0.25916799999999995</v>
      </c>
      <c r="D161" s="565">
        <v>-0.26</v>
      </c>
      <c r="E161" s="564">
        <v>-0.26</v>
      </c>
      <c r="F161" s="564">
        <v>-0.26</v>
      </c>
      <c r="G161" s="564"/>
      <c r="H161" s="565"/>
      <c r="I161" s="565"/>
      <c r="J161" s="566"/>
      <c r="K161" s="564">
        <v>-0.25916799999999995</v>
      </c>
      <c r="L161" s="565">
        <v>-0.26</v>
      </c>
      <c r="M161" s="564">
        <v>-0.26</v>
      </c>
      <c r="N161" s="564">
        <v>-0.26</v>
      </c>
      <c r="O161" s="564"/>
      <c r="P161" s="565"/>
      <c r="Q161" s="565"/>
      <c r="R161" s="566"/>
    </row>
    <row r="162" spans="2:18">
      <c r="B162" s="563">
        <v>84</v>
      </c>
      <c r="C162" s="564">
        <v>-1.5984000000000002E-2</v>
      </c>
      <c r="D162" s="565">
        <v>-0.02</v>
      </c>
      <c r="E162" s="564">
        <v>-0.02</v>
      </c>
      <c r="F162" s="564">
        <v>-0.02</v>
      </c>
      <c r="G162" s="564"/>
      <c r="H162" s="565"/>
      <c r="I162" s="565"/>
      <c r="J162" s="566"/>
      <c r="K162" s="564">
        <v>-1.5984000000000002E-2</v>
      </c>
      <c r="L162" s="565">
        <v>-0.02</v>
      </c>
      <c r="M162" s="564">
        <v>-0.02</v>
      </c>
      <c r="N162" s="564">
        <v>-0.02</v>
      </c>
      <c r="O162" s="564"/>
      <c r="P162" s="565"/>
      <c r="Q162" s="565"/>
      <c r="R162" s="566"/>
    </row>
    <row r="163" spans="2:18">
      <c r="B163" s="563">
        <v>85</v>
      </c>
      <c r="C163" s="564">
        <v>0.26834666666666662</v>
      </c>
      <c r="D163" s="565">
        <v>0.27</v>
      </c>
      <c r="E163" s="564">
        <v>0.27</v>
      </c>
      <c r="F163" s="564">
        <v>0.27</v>
      </c>
      <c r="G163" s="564"/>
      <c r="H163" s="565"/>
      <c r="I163" s="565"/>
      <c r="J163" s="566"/>
      <c r="K163" s="564">
        <v>0.26834666666666662</v>
      </c>
      <c r="L163" s="565">
        <v>0.27</v>
      </c>
      <c r="M163" s="564">
        <v>0.27</v>
      </c>
      <c r="N163" s="564">
        <v>0.27</v>
      </c>
      <c r="O163" s="564"/>
      <c r="P163" s="565"/>
      <c r="Q163" s="565"/>
      <c r="R163" s="566"/>
    </row>
    <row r="164" spans="2:18">
      <c r="B164" s="563">
        <v>86</v>
      </c>
      <c r="C164" s="564">
        <v>0.59258666666666671</v>
      </c>
      <c r="D164" s="565">
        <v>0.59</v>
      </c>
      <c r="E164" s="564">
        <v>0.59</v>
      </c>
      <c r="F164" s="564">
        <v>0.59</v>
      </c>
      <c r="G164" s="564"/>
      <c r="H164" s="565"/>
      <c r="I164" s="565"/>
      <c r="J164" s="566"/>
      <c r="K164" s="564">
        <v>0.59258666666666671</v>
      </c>
      <c r="L164" s="565">
        <v>0.59</v>
      </c>
      <c r="M164" s="564">
        <v>0.59</v>
      </c>
      <c r="N164" s="564">
        <v>0.59</v>
      </c>
      <c r="O164" s="564"/>
      <c r="P164" s="565"/>
      <c r="Q164" s="565"/>
      <c r="R164" s="566"/>
    </row>
    <row r="165" spans="2:18">
      <c r="B165" s="563">
        <v>87</v>
      </c>
      <c r="C165" s="564">
        <v>0.95549333333333331</v>
      </c>
      <c r="D165" s="565">
        <v>0.96</v>
      </c>
      <c r="E165" s="564">
        <v>0.96</v>
      </c>
      <c r="F165" s="564">
        <v>0.96</v>
      </c>
      <c r="G165" s="564"/>
      <c r="H165" s="565"/>
      <c r="I165" s="565"/>
      <c r="J165" s="566"/>
      <c r="K165" s="564">
        <v>0.95549333333333331</v>
      </c>
      <c r="L165" s="565">
        <v>0.96</v>
      </c>
      <c r="M165" s="564">
        <v>0.96</v>
      </c>
      <c r="N165" s="564">
        <v>0.96</v>
      </c>
      <c r="O165" s="564"/>
      <c r="P165" s="565"/>
      <c r="Q165" s="565"/>
      <c r="R165" s="566"/>
    </row>
    <row r="166" spans="2:18">
      <c r="B166" s="563">
        <v>88</v>
      </c>
      <c r="C166" s="564">
        <v>1.3557866666666667</v>
      </c>
      <c r="D166" s="565">
        <v>1.36</v>
      </c>
      <c r="E166" s="564">
        <v>1.36</v>
      </c>
      <c r="F166" s="564">
        <v>1.36</v>
      </c>
      <c r="G166" s="564"/>
      <c r="H166" s="565"/>
      <c r="I166" s="565"/>
      <c r="J166" s="566"/>
      <c r="K166" s="564">
        <v>1.3557866666666667</v>
      </c>
      <c r="L166" s="565">
        <v>1.36</v>
      </c>
      <c r="M166" s="564">
        <v>1.36</v>
      </c>
      <c r="N166" s="564">
        <v>1.36</v>
      </c>
      <c r="O166" s="564"/>
      <c r="P166" s="565"/>
      <c r="Q166" s="565"/>
      <c r="R166" s="566"/>
    </row>
    <row r="167" spans="2:18">
      <c r="B167" s="563">
        <v>89</v>
      </c>
      <c r="C167" s="564">
        <v>1.7922133333333334</v>
      </c>
      <c r="D167" s="565">
        <v>1.79</v>
      </c>
      <c r="E167" s="564">
        <v>1.79</v>
      </c>
      <c r="F167" s="564">
        <v>1.79</v>
      </c>
      <c r="G167" s="564"/>
      <c r="H167" s="565"/>
      <c r="I167" s="565"/>
      <c r="J167" s="566"/>
      <c r="K167" s="564">
        <v>1.7922133333333334</v>
      </c>
      <c r="L167" s="565">
        <v>1.79</v>
      </c>
      <c r="M167" s="564">
        <v>1.79</v>
      </c>
      <c r="N167" s="564">
        <v>1.79</v>
      </c>
      <c r="O167" s="564"/>
      <c r="P167" s="565"/>
      <c r="Q167" s="565"/>
      <c r="R167" s="566"/>
    </row>
    <row r="168" spans="2:18">
      <c r="B168" s="563">
        <v>90</v>
      </c>
      <c r="C168" s="564">
        <v>2.263546666666667</v>
      </c>
      <c r="D168" s="565">
        <v>2.2599999999999998</v>
      </c>
      <c r="E168" s="564">
        <v>2.2599999999999998</v>
      </c>
      <c r="F168" s="564">
        <v>2.2599999999999998</v>
      </c>
      <c r="G168" s="564"/>
      <c r="H168" s="565"/>
      <c r="I168" s="565"/>
      <c r="J168" s="566"/>
      <c r="K168" s="564">
        <v>2.263546666666667</v>
      </c>
      <c r="L168" s="565">
        <v>2.2599999999999998</v>
      </c>
      <c r="M168" s="564">
        <v>2.2599999999999998</v>
      </c>
      <c r="N168" s="564">
        <v>2.2599999999999998</v>
      </c>
      <c r="O168" s="564"/>
      <c r="P168" s="565"/>
      <c r="Q168" s="565"/>
      <c r="R168" s="566"/>
    </row>
    <row r="169" spans="2:18">
      <c r="B169" s="563">
        <v>91</v>
      </c>
      <c r="C169" s="564">
        <v>2.7685333333333331</v>
      </c>
      <c r="D169" s="565">
        <v>2.77</v>
      </c>
      <c r="E169" s="564">
        <v>2.77</v>
      </c>
      <c r="F169" s="564">
        <v>2.77</v>
      </c>
      <c r="G169" s="564"/>
      <c r="H169" s="565"/>
      <c r="I169" s="565"/>
      <c r="J169" s="566"/>
      <c r="K169" s="564">
        <v>2.7685333333333331</v>
      </c>
      <c r="L169" s="565">
        <v>2.77</v>
      </c>
      <c r="M169" s="564">
        <v>2.77</v>
      </c>
      <c r="N169" s="564">
        <v>2.77</v>
      </c>
      <c r="O169" s="564"/>
      <c r="P169" s="565"/>
      <c r="Q169" s="565"/>
      <c r="R169" s="566"/>
    </row>
    <row r="170" spans="2:18">
      <c r="B170" s="563">
        <v>92</v>
      </c>
      <c r="C170" s="564">
        <v>3.3058666666666667</v>
      </c>
      <c r="D170" s="565">
        <v>3.31</v>
      </c>
      <c r="E170" s="564">
        <v>3.31</v>
      </c>
      <c r="F170" s="564">
        <v>3.31</v>
      </c>
      <c r="G170" s="564"/>
      <c r="H170" s="565"/>
      <c r="I170" s="565"/>
      <c r="J170" s="566"/>
      <c r="K170" s="564">
        <v>3.3058666666666667</v>
      </c>
      <c r="L170" s="565">
        <v>3.31</v>
      </c>
      <c r="M170" s="564">
        <v>3.31</v>
      </c>
      <c r="N170" s="564">
        <v>3.31</v>
      </c>
      <c r="O170" s="564"/>
      <c r="P170" s="565"/>
      <c r="Q170" s="565"/>
      <c r="R170" s="566"/>
    </row>
    <row r="171" spans="2:18">
      <c r="B171" s="563">
        <v>93</v>
      </c>
      <c r="C171" s="564">
        <v>3.8744000000000001</v>
      </c>
      <c r="D171" s="565">
        <v>3.87</v>
      </c>
      <c r="E171" s="564">
        <v>3.87</v>
      </c>
      <c r="F171" s="564">
        <v>3.87</v>
      </c>
      <c r="G171" s="564"/>
      <c r="H171" s="565"/>
      <c r="I171" s="565"/>
      <c r="J171" s="566"/>
      <c r="K171" s="564">
        <v>3.8744000000000001</v>
      </c>
      <c r="L171" s="565">
        <v>3.87</v>
      </c>
      <c r="M171" s="564">
        <v>3.87</v>
      </c>
      <c r="N171" s="564">
        <v>3.87</v>
      </c>
      <c r="O171" s="564"/>
      <c r="P171" s="565"/>
      <c r="Q171" s="565"/>
      <c r="R171" s="566"/>
    </row>
    <row r="172" spans="2:18">
      <c r="B172" s="563">
        <v>94</v>
      </c>
      <c r="C172" s="564">
        <v>4.4728000000000003</v>
      </c>
      <c r="D172" s="565">
        <v>4.47</v>
      </c>
      <c r="E172" s="564">
        <v>4.47</v>
      </c>
      <c r="F172" s="564">
        <v>4.47</v>
      </c>
      <c r="G172" s="564"/>
      <c r="H172" s="565"/>
      <c r="I172" s="565"/>
      <c r="J172" s="566"/>
      <c r="K172" s="564">
        <v>4.4728000000000003</v>
      </c>
      <c r="L172" s="565">
        <v>4.47</v>
      </c>
      <c r="M172" s="564">
        <v>4.47</v>
      </c>
      <c r="N172" s="564">
        <v>4.47</v>
      </c>
      <c r="O172" s="564"/>
      <c r="P172" s="565"/>
      <c r="Q172" s="565"/>
      <c r="R172" s="566"/>
    </row>
    <row r="173" spans="2:18" ht="15.75" thickBot="1">
      <c r="B173" s="568">
        <v>95</v>
      </c>
      <c r="C173" s="569">
        <v>5.099733333333333</v>
      </c>
      <c r="D173" s="570">
        <v>5.0999999999999996</v>
      </c>
      <c r="E173" s="569">
        <v>5.0999999999999996</v>
      </c>
      <c r="F173" s="569">
        <v>5.0999999999999996</v>
      </c>
      <c r="G173" s="569"/>
      <c r="H173" s="570"/>
      <c r="I173" s="570"/>
      <c r="J173" s="571"/>
      <c r="K173" s="569">
        <v>5.099733333333333</v>
      </c>
      <c r="L173" s="570">
        <v>5.0999999999999996</v>
      </c>
      <c r="M173" s="569">
        <v>5.0999999999999996</v>
      </c>
      <c r="N173" s="569">
        <v>5.0999999999999996</v>
      </c>
      <c r="O173" s="569"/>
      <c r="P173" s="570"/>
      <c r="Q173" s="570"/>
      <c r="R173" s="571"/>
    </row>
    <row r="174" spans="2:18">
      <c r="G174" s="551"/>
      <c r="O174" s="551"/>
    </row>
    <row r="175" spans="2:18">
      <c r="G175" s="551"/>
      <c r="O175" s="551"/>
    </row>
    <row r="176" spans="2:18">
      <c r="G176" s="551"/>
      <c r="O176" s="551"/>
    </row>
    <row r="177" spans="7:15">
      <c r="G177" s="551"/>
      <c r="O177" s="551"/>
    </row>
  </sheetData>
  <mergeCells count="9">
    <mergeCell ref="C93:R93"/>
    <mergeCell ref="C94:J94"/>
    <mergeCell ref="K94:Q94"/>
    <mergeCell ref="I2:I5"/>
    <mergeCell ref="B8:R8"/>
    <mergeCell ref="B9:R9"/>
    <mergeCell ref="C10:R10"/>
    <mergeCell ref="C11:J11"/>
    <mergeCell ref="K11:R11"/>
  </mergeCells>
  <dataValidations count="4">
    <dataValidation type="list" allowBlank="1" showInputMessage="1" showErrorMessage="1" sqref="G5">
      <formula1>$C$12:$J$12</formula1>
    </dataValidation>
    <dataValidation type="list" allowBlank="1" showInputMessage="1" showErrorMessage="1" sqref="G4">
      <formula1>"Accident, Theft"</formula1>
    </dataValidation>
    <dataValidation type="list" allowBlank="1" showInputMessage="1" showErrorMessage="1" sqref="G3">
      <formula1>$B$13:$B$90</formula1>
    </dataValidation>
    <dataValidation type="list" allowBlank="1" showInputMessage="1" showErrorMessage="1" sqref="G2">
      <formula1>"Female,Young Female,Male,Yong Male"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>
    <tabColor theme="2" tint="-0.499984740745262"/>
  </sheetPr>
  <dimension ref="A1:R177"/>
  <sheetViews>
    <sheetView showGridLines="0" zoomScale="70" zoomScaleNormal="70" workbookViewId="0">
      <selection activeCell="B9" sqref="B9:R9"/>
    </sheetView>
  </sheetViews>
  <sheetFormatPr defaultColWidth="8.85546875" defaultRowHeight="15"/>
  <cols>
    <col min="1" max="1" width="8.85546875" style="537"/>
    <col min="2" max="2" width="9.140625" style="548" customWidth="1"/>
    <col min="3" max="3" width="18.28515625" style="549" customWidth="1"/>
    <col min="4" max="4" width="12.7109375" style="549" customWidth="1"/>
    <col min="5" max="5" width="8.85546875" style="537"/>
    <col min="6" max="6" width="10" style="546" customWidth="1"/>
    <col min="7" max="7" width="9.140625" style="542" customWidth="1"/>
    <col min="8" max="10" width="8.85546875" style="537" customWidth="1"/>
    <col min="11" max="11" width="12" style="549" customWidth="1"/>
    <col min="12" max="12" width="20.42578125" style="549" customWidth="1"/>
    <col min="13" max="13" width="8.85546875" style="537"/>
    <col min="14" max="14" width="10" style="546" customWidth="1"/>
    <col min="15" max="15" width="9.140625" style="542" customWidth="1"/>
    <col min="16" max="16384" width="8.85546875" style="537"/>
  </cols>
  <sheetData>
    <row r="1" spans="1:18">
      <c r="B1" s="538"/>
      <c r="C1" s="539"/>
      <c r="D1" s="540"/>
      <c r="F1" s="540"/>
      <c r="K1" s="539"/>
      <c r="L1" s="540"/>
      <c r="N1" s="540"/>
    </row>
    <row r="2" spans="1:18">
      <c r="B2" s="543"/>
      <c r="C2" s="539"/>
      <c r="D2" s="544"/>
      <c r="E2" s="545"/>
      <c r="F2" s="544"/>
      <c r="K2" s="539"/>
      <c r="L2" s="544"/>
      <c r="M2" s="545"/>
      <c r="N2" s="544"/>
    </row>
    <row r="3" spans="1:18">
      <c r="G3" s="551"/>
      <c r="O3" s="551"/>
    </row>
    <row r="4" spans="1:18">
      <c r="B4" s="538"/>
      <c r="C4" s="539"/>
      <c r="D4" s="540"/>
      <c r="E4" s="540"/>
      <c r="F4" s="540"/>
      <c r="G4" s="540"/>
      <c r="K4" s="539"/>
      <c r="L4" s="540"/>
      <c r="M4" s="540"/>
      <c r="N4" s="540"/>
      <c r="O4" s="540"/>
    </row>
    <row r="5" spans="1:18">
      <c r="B5" s="543"/>
      <c r="C5" s="539"/>
      <c r="D5" s="544"/>
      <c r="E5" s="544"/>
      <c r="F5" s="544"/>
      <c r="G5" s="544"/>
      <c r="K5" s="539"/>
      <c r="L5" s="544"/>
      <c r="M5" s="544"/>
      <c r="N5" s="544"/>
      <c r="O5" s="544"/>
    </row>
    <row r="6" spans="1:18">
      <c r="B6" s="543"/>
      <c r="C6" s="539"/>
      <c r="D6" s="544"/>
      <c r="E6" s="544"/>
      <c r="F6" s="544"/>
      <c r="G6" s="544"/>
      <c r="K6" s="539"/>
      <c r="L6" s="544"/>
      <c r="M6" s="544"/>
      <c r="N6" s="544"/>
      <c r="O6" s="544"/>
    </row>
    <row r="7" spans="1:18" ht="15.75" thickBot="1">
      <c r="C7" s="539"/>
      <c r="D7" s="544"/>
      <c r="E7" s="545"/>
      <c r="F7" s="544"/>
      <c r="K7" s="539"/>
      <c r="L7" s="544"/>
      <c r="M7" s="545"/>
      <c r="N7" s="544"/>
    </row>
    <row r="8" spans="1:18" ht="12.75" customHeight="1">
      <c r="B8" s="779" t="s">
        <v>2845</v>
      </c>
      <c r="C8" s="780"/>
      <c r="D8" s="780"/>
      <c r="E8" s="780"/>
      <c r="F8" s="780"/>
      <c r="G8" s="780"/>
      <c r="H8" s="780"/>
      <c r="I8" s="780"/>
      <c r="J8" s="780"/>
      <c r="K8" s="780"/>
      <c r="L8" s="780"/>
      <c r="M8" s="780"/>
      <c r="N8" s="780"/>
      <c r="O8" s="780"/>
      <c r="P8" s="780"/>
      <c r="Q8" s="780"/>
      <c r="R8" s="781"/>
    </row>
    <row r="9" spans="1:18" ht="65.25" customHeight="1">
      <c r="B9" s="936" t="str">
        <f>LE_DECLARE_TABLE("tAgeLE","",B10:R90)</f>
        <v>Declared table TAGELE</v>
      </c>
      <c r="C9" s="937"/>
      <c r="D9" s="937"/>
      <c r="E9" s="937"/>
      <c r="F9" s="937"/>
      <c r="G9" s="937"/>
      <c r="H9" s="937"/>
      <c r="I9" s="937"/>
      <c r="J9" s="937"/>
      <c r="K9" s="937"/>
      <c r="L9" s="937"/>
      <c r="M9" s="937"/>
      <c r="N9" s="937"/>
      <c r="O9" s="937"/>
      <c r="P9" s="937"/>
      <c r="Q9" s="937"/>
      <c r="R9" s="938"/>
    </row>
    <row r="10" spans="1:18">
      <c r="B10" s="554"/>
      <c r="C10" s="939" t="s">
        <v>2842</v>
      </c>
      <c r="D10" s="939"/>
      <c r="E10" s="939"/>
      <c r="F10" s="939"/>
      <c r="G10" s="939"/>
      <c r="H10" s="939"/>
      <c r="I10" s="939"/>
      <c r="J10" s="939"/>
      <c r="K10" s="939"/>
      <c r="L10" s="939"/>
      <c r="M10" s="939"/>
      <c r="N10" s="939"/>
      <c r="O10" s="939"/>
      <c r="P10" s="939"/>
      <c r="Q10" s="939"/>
      <c r="R10" s="940"/>
    </row>
    <row r="11" spans="1:18">
      <c r="B11" s="772"/>
      <c r="C11" s="941" t="s">
        <v>870</v>
      </c>
      <c r="D11" s="941"/>
      <c r="E11" s="941"/>
      <c r="F11" s="941"/>
      <c r="G11" s="941"/>
      <c r="H11" s="941"/>
      <c r="I11" s="941"/>
      <c r="J11" s="942"/>
      <c r="K11" s="941" t="s">
        <v>2846</v>
      </c>
      <c r="L11" s="941"/>
      <c r="M11" s="941"/>
      <c r="N11" s="941"/>
      <c r="O11" s="941"/>
      <c r="P11" s="941"/>
      <c r="Q11" s="941"/>
      <c r="R11" s="942"/>
    </row>
    <row r="12" spans="1:18" s="555" customFormat="1" ht="15.75" thickBot="1">
      <c r="B12" s="556"/>
      <c r="C12" s="557">
        <v>1</v>
      </c>
      <c r="D12" s="557">
        <v>2</v>
      </c>
      <c r="E12" s="557">
        <v>3</v>
      </c>
      <c r="F12" s="557">
        <v>4</v>
      </c>
      <c r="G12" s="557">
        <v>5</v>
      </c>
      <c r="H12" s="557">
        <v>6</v>
      </c>
      <c r="I12" s="557">
        <v>7</v>
      </c>
      <c r="J12" s="558">
        <v>8</v>
      </c>
      <c r="K12" s="557">
        <v>1</v>
      </c>
      <c r="L12" s="557">
        <v>2</v>
      </c>
      <c r="M12" s="557">
        <v>3</v>
      </c>
      <c r="N12" s="557">
        <v>4</v>
      </c>
      <c r="O12" s="557">
        <v>5</v>
      </c>
      <c r="P12" s="557">
        <v>6</v>
      </c>
      <c r="Q12" s="557">
        <v>7</v>
      </c>
      <c r="R12" s="558">
        <v>8</v>
      </c>
    </row>
    <row r="13" spans="1:18">
      <c r="A13" s="543" t="s">
        <v>88</v>
      </c>
      <c r="B13" s="559">
        <v>18</v>
      </c>
      <c r="C13" s="560">
        <v>272</v>
      </c>
      <c r="D13" s="561">
        <v>302.90199999999999</v>
      </c>
      <c r="E13" s="560">
        <v>302.90199999999999</v>
      </c>
      <c r="F13" s="560">
        <v>302.90199999999999</v>
      </c>
      <c r="G13" s="560"/>
      <c r="H13" s="561"/>
      <c r="I13" s="561"/>
      <c r="J13" s="562"/>
      <c r="K13" s="560">
        <v>272</v>
      </c>
      <c r="L13" s="561">
        <v>302.90199999999999</v>
      </c>
      <c r="M13" s="560">
        <v>302.90199999999999</v>
      </c>
      <c r="N13" s="560">
        <v>302.90199999999999</v>
      </c>
      <c r="O13" s="560"/>
      <c r="P13" s="561"/>
      <c r="Q13" s="561"/>
      <c r="R13" s="562"/>
    </row>
    <row r="14" spans="1:18">
      <c r="B14" s="563">
        <v>19</v>
      </c>
      <c r="C14" s="564">
        <v>248</v>
      </c>
      <c r="D14" s="565">
        <v>275.90199999999999</v>
      </c>
      <c r="E14" s="564">
        <v>275.90199999999999</v>
      </c>
      <c r="F14" s="564">
        <v>275.90199999999999</v>
      </c>
      <c r="G14" s="564"/>
      <c r="H14" s="565"/>
      <c r="I14" s="565"/>
      <c r="J14" s="566"/>
      <c r="K14" s="564">
        <v>248</v>
      </c>
      <c r="L14" s="565">
        <v>275.90199999999999</v>
      </c>
      <c r="M14" s="564">
        <v>275.90199999999999</v>
      </c>
      <c r="N14" s="564">
        <v>275.90199999999999</v>
      </c>
      <c r="O14" s="564"/>
      <c r="P14" s="565"/>
      <c r="Q14" s="565"/>
      <c r="R14" s="566"/>
    </row>
    <row r="15" spans="1:18">
      <c r="B15" s="563">
        <v>20</v>
      </c>
      <c r="C15" s="564">
        <v>204</v>
      </c>
      <c r="D15" s="565">
        <v>228.809</v>
      </c>
      <c r="E15" s="564">
        <v>228.809</v>
      </c>
      <c r="F15" s="564">
        <v>228.809</v>
      </c>
      <c r="G15" s="564"/>
      <c r="H15" s="565"/>
      <c r="I15" s="565"/>
      <c r="J15" s="566"/>
      <c r="K15" s="564">
        <v>204</v>
      </c>
      <c r="L15" s="565">
        <v>228.809</v>
      </c>
      <c r="M15" s="564">
        <v>228.809</v>
      </c>
      <c r="N15" s="564">
        <v>228.809</v>
      </c>
      <c r="O15" s="564"/>
      <c r="P15" s="565"/>
      <c r="Q15" s="565"/>
      <c r="R15" s="566"/>
    </row>
    <row r="16" spans="1:18">
      <c r="A16" s="567"/>
      <c r="B16" s="563">
        <v>21</v>
      </c>
      <c r="C16" s="564">
        <v>160</v>
      </c>
      <c r="D16" s="565">
        <v>181.619</v>
      </c>
      <c r="E16" s="564">
        <v>181.619</v>
      </c>
      <c r="F16" s="564">
        <v>181.619</v>
      </c>
      <c r="G16" s="564"/>
      <c r="H16" s="565"/>
      <c r="I16" s="565"/>
      <c r="J16" s="566"/>
      <c r="K16" s="564">
        <v>160</v>
      </c>
      <c r="L16" s="565">
        <v>181.619</v>
      </c>
      <c r="M16" s="564">
        <v>181.619</v>
      </c>
      <c r="N16" s="564">
        <v>181.619</v>
      </c>
      <c r="O16" s="564"/>
      <c r="P16" s="565"/>
      <c r="Q16" s="565"/>
      <c r="R16" s="566"/>
    </row>
    <row r="17" spans="2:18">
      <c r="B17" s="563">
        <v>22</v>
      </c>
      <c r="C17" s="564">
        <v>116</v>
      </c>
      <c r="D17" s="565">
        <v>134.32300000000001</v>
      </c>
      <c r="E17" s="564">
        <v>134.32300000000001</v>
      </c>
      <c r="F17" s="564">
        <v>134.32300000000001</v>
      </c>
      <c r="G17" s="564"/>
      <c r="H17" s="565"/>
      <c r="I17" s="565"/>
      <c r="J17" s="566"/>
      <c r="K17" s="564">
        <v>116</v>
      </c>
      <c r="L17" s="565">
        <v>134.32300000000001</v>
      </c>
      <c r="M17" s="564">
        <v>134.32300000000001</v>
      </c>
      <c r="N17" s="564">
        <v>134.32300000000001</v>
      </c>
      <c r="O17" s="564"/>
      <c r="P17" s="565"/>
      <c r="Q17" s="565"/>
      <c r="R17" s="566"/>
    </row>
    <row r="18" spans="2:18">
      <c r="B18" s="563">
        <v>23</v>
      </c>
      <c r="C18" s="564">
        <v>72</v>
      </c>
      <c r="D18" s="565">
        <v>86.915999999999997</v>
      </c>
      <c r="E18" s="564">
        <v>86.915999999999997</v>
      </c>
      <c r="F18" s="564">
        <v>86.915999999999997</v>
      </c>
      <c r="G18" s="564"/>
      <c r="H18" s="565"/>
      <c r="I18" s="565"/>
      <c r="J18" s="566"/>
      <c r="K18" s="564">
        <v>72</v>
      </c>
      <c r="L18" s="565">
        <v>86.915999999999997</v>
      </c>
      <c r="M18" s="564">
        <v>86.915999999999997</v>
      </c>
      <c r="N18" s="564">
        <v>86.915999999999997</v>
      </c>
      <c r="O18" s="564"/>
      <c r="P18" s="565"/>
      <c r="Q18" s="565"/>
      <c r="R18" s="566"/>
    </row>
    <row r="19" spans="2:18">
      <c r="B19" s="563">
        <v>24</v>
      </c>
      <c r="C19" s="564">
        <v>52</v>
      </c>
      <c r="D19" s="565">
        <v>63.389000000000003</v>
      </c>
      <c r="E19" s="564">
        <v>63.389000000000003</v>
      </c>
      <c r="F19" s="564">
        <v>63.389000000000003</v>
      </c>
      <c r="G19" s="564"/>
      <c r="H19" s="565"/>
      <c r="I19" s="565"/>
      <c r="J19" s="566"/>
      <c r="K19" s="564">
        <v>52</v>
      </c>
      <c r="L19" s="565">
        <v>63.389000000000003</v>
      </c>
      <c r="M19" s="564">
        <v>63.389000000000003</v>
      </c>
      <c r="N19" s="564">
        <v>63.389000000000003</v>
      </c>
      <c r="O19" s="564"/>
      <c r="P19" s="565"/>
      <c r="Q19" s="565"/>
      <c r="R19" s="566"/>
    </row>
    <row r="20" spans="2:18">
      <c r="B20" s="563">
        <v>25</v>
      </c>
      <c r="C20" s="564">
        <v>34.852800000000002</v>
      </c>
      <c r="D20" s="565">
        <v>42.587000000000003</v>
      </c>
      <c r="E20" s="564">
        <v>42.587000000000003</v>
      </c>
      <c r="F20" s="564">
        <v>42.587000000000003</v>
      </c>
      <c r="G20" s="564"/>
      <c r="H20" s="565"/>
      <c r="I20" s="565"/>
      <c r="J20" s="566"/>
      <c r="K20" s="564">
        <v>34.852800000000002</v>
      </c>
      <c r="L20" s="565">
        <v>42.587000000000003</v>
      </c>
      <c r="M20" s="564">
        <v>42.587000000000003</v>
      </c>
      <c r="N20" s="564">
        <v>42.587000000000003</v>
      </c>
      <c r="O20" s="564"/>
      <c r="P20" s="565"/>
      <c r="Q20" s="565"/>
      <c r="R20" s="566"/>
    </row>
    <row r="21" spans="2:18">
      <c r="B21" s="563">
        <v>26</v>
      </c>
      <c r="C21" s="564">
        <v>25.5032</v>
      </c>
      <c r="D21" s="565">
        <v>29.445</v>
      </c>
      <c r="E21" s="564">
        <v>29.445</v>
      </c>
      <c r="F21" s="564">
        <v>29.445</v>
      </c>
      <c r="G21" s="564"/>
      <c r="H21" s="565"/>
      <c r="I21" s="565"/>
      <c r="J21" s="566"/>
      <c r="K21" s="564">
        <v>25.5032</v>
      </c>
      <c r="L21" s="565">
        <v>29.445</v>
      </c>
      <c r="M21" s="564">
        <v>29.445</v>
      </c>
      <c r="N21" s="564">
        <v>29.445</v>
      </c>
      <c r="O21" s="564"/>
      <c r="P21" s="565"/>
      <c r="Q21" s="565"/>
      <c r="R21" s="566"/>
    </row>
    <row r="22" spans="2:18">
      <c r="B22" s="563">
        <v>27</v>
      </c>
      <c r="C22" s="564">
        <v>19.591200000000001</v>
      </c>
      <c r="D22" s="565">
        <v>19.591000000000001</v>
      </c>
      <c r="E22" s="564">
        <v>19.591000000000001</v>
      </c>
      <c r="F22" s="564">
        <v>19.591000000000001</v>
      </c>
      <c r="G22" s="564"/>
      <c r="H22" s="565"/>
      <c r="I22" s="565"/>
      <c r="J22" s="566"/>
      <c r="K22" s="564">
        <v>19.591200000000001</v>
      </c>
      <c r="L22" s="565">
        <v>19.591000000000001</v>
      </c>
      <c r="M22" s="564">
        <v>19.591000000000001</v>
      </c>
      <c r="N22" s="564">
        <v>19.591000000000001</v>
      </c>
      <c r="O22" s="564"/>
      <c r="P22" s="565"/>
      <c r="Q22" s="565"/>
      <c r="R22" s="566"/>
    </row>
    <row r="23" spans="2:18">
      <c r="B23" s="563">
        <v>28</v>
      </c>
      <c r="C23" s="564">
        <v>14.404</v>
      </c>
      <c r="D23" s="565">
        <v>14.404</v>
      </c>
      <c r="E23" s="564">
        <v>14.404</v>
      </c>
      <c r="F23" s="564">
        <v>14.404</v>
      </c>
      <c r="G23" s="564"/>
      <c r="H23" s="565"/>
      <c r="I23" s="565"/>
      <c r="J23" s="566"/>
      <c r="K23" s="564">
        <v>14.404</v>
      </c>
      <c r="L23" s="565">
        <v>14.404</v>
      </c>
      <c r="M23" s="564">
        <v>14.404</v>
      </c>
      <c r="N23" s="564">
        <v>14.404</v>
      </c>
      <c r="O23" s="564"/>
      <c r="P23" s="565"/>
      <c r="Q23" s="565"/>
      <c r="R23" s="566"/>
    </row>
    <row r="24" spans="2:18">
      <c r="B24" s="563">
        <v>29</v>
      </c>
      <c r="C24" s="564">
        <v>10.928800000000001</v>
      </c>
      <c r="D24" s="565">
        <v>10.929</v>
      </c>
      <c r="E24" s="564">
        <v>10.929</v>
      </c>
      <c r="F24" s="564">
        <v>10.929</v>
      </c>
      <c r="G24" s="564"/>
      <c r="H24" s="565"/>
      <c r="I24" s="565"/>
      <c r="J24" s="566"/>
      <c r="K24" s="564">
        <v>10.928800000000001</v>
      </c>
      <c r="L24" s="565">
        <v>10.929</v>
      </c>
      <c r="M24" s="564">
        <v>10.929</v>
      </c>
      <c r="N24" s="564">
        <v>10.929</v>
      </c>
      <c r="O24" s="564"/>
      <c r="P24" s="565"/>
      <c r="Q24" s="565"/>
      <c r="R24" s="566"/>
    </row>
    <row r="25" spans="2:18">
      <c r="B25" s="563">
        <v>30</v>
      </c>
      <c r="C25" s="564">
        <v>8.9551999999999996</v>
      </c>
      <c r="D25" s="565">
        <v>8.9550000000000001</v>
      </c>
      <c r="E25" s="564">
        <v>8.9550000000000001</v>
      </c>
      <c r="F25" s="564">
        <v>8.9550000000000001</v>
      </c>
      <c r="G25" s="564"/>
      <c r="H25" s="565"/>
      <c r="I25" s="565"/>
      <c r="J25" s="566"/>
      <c r="K25" s="564">
        <v>8.9551999999999996</v>
      </c>
      <c r="L25" s="565">
        <v>8.9550000000000001</v>
      </c>
      <c r="M25" s="564">
        <v>8.9550000000000001</v>
      </c>
      <c r="N25" s="564">
        <v>8.9550000000000001</v>
      </c>
      <c r="O25" s="564"/>
      <c r="P25" s="565"/>
      <c r="Q25" s="565"/>
      <c r="R25" s="566"/>
    </row>
    <row r="26" spans="2:18">
      <c r="B26" s="563">
        <v>31</v>
      </c>
      <c r="C26" s="564">
        <v>7.1734400000000011</v>
      </c>
      <c r="D26" s="565">
        <v>7.173</v>
      </c>
      <c r="E26" s="564">
        <v>7.173</v>
      </c>
      <c r="F26" s="564">
        <v>7.173</v>
      </c>
      <c r="G26" s="564"/>
      <c r="H26" s="565"/>
      <c r="I26" s="565"/>
      <c r="J26" s="566"/>
      <c r="K26" s="564">
        <v>7.1734400000000011</v>
      </c>
      <c r="L26" s="565">
        <v>7.173</v>
      </c>
      <c r="M26" s="564">
        <v>7.173</v>
      </c>
      <c r="N26" s="564">
        <v>7.173</v>
      </c>
      <c r="O26" s="564"/>
      <c r="P26" s="565"/>
      <c r="Q26" s="565"/>
      <c r="R26" s="566"/>
    </row>
    <row r="27" spans="2:18">
      <c r="B27" s="563">
        <v>32</v>
      </c>
      <c r="C27" s="564">
        <v>6.0340000000000007</v>
      </c>
      <c r="D27" s="565">
        <v>6.0339999999999998</v>
      </c>
      <c r="E27" s="564">
        <v>6.0339999999999998</v>
      </c>
      <c r="F27" s="564">
        <v>6.0339999999999998</v>
      </c>
      <c r="G27" s="564"/>
      <c r="H27" s="565"/>
      <c r="I27" s="565"/>
      <c r="J27" s="566"/>
      <c r="K27" s="564">
        <v>6.0340000000000007</v>
      </c>
      <c r="L27" s="565">
        <v>6.0339999999999998</v>
      </c>
      <c r="M27" s="564">
        <v>6.0339999999999998</v>
      </c>
      <c r="N27" s="564">
        <v>6.0339999999999998</v>
      </c>
      <c r="O27" s="564"/>
      <c r="P27" s="565"/>
      <c r="Q27" s="565"/>
      <c r="R27" s="566"/>
    </row>
    <row r="28" spans="2:18">
      <c r="B28" s="563">
        <v>33</v>
      </c>
      <c r="C28" s="564">
        <v>5.3471999999999991</v>
      </c>
      <c r="D28" s="565">
        <v>5.3470000000000004</v>
      </c>
      <c r="E28" s="564">
        <v>5.3470000000000004</v>
      </c>
      <c r="F28" s="564">
        <v>5.3470000000000004</v>
      </c>
      <c r="G28" s="564"/>
      <c r="H28" s="565"/>
      <c r="I28" s="565"/>
      <c r="J28" s="566"/>
      <c r="K28" s="564">
        <v>5.3471999999999991</v>
      </c>
      <c r="L28" s="565">
        <v>5.3470000000000004</v>
      </c>
      <c r="M28" s="564">
        <v>5.3470000000000004</v>
      </c>
      <c r="N28" s="564">
        <v>5.3470000000000004</v>
      </c>
      <c r="O28" s="564"/>
      <c r="P28" s="565"/>
      <c r="Q28" s="565"/>
      <c r="R28" s="566"/>
    </row>
    <row r="29" spans="2:18">
      <c r="B29" s="563">
        <v>34</v>
      </c>
      <c r="C29" s="564">
        <v>4.0022399999999996</v>
      </c>
      <c r="D29" s="565">
        <v>4.0019999999999998</v>
      </c>
      <c r="E29" s="564">
        <v>4.0019999999999998</v>
      </c>
      <c r="F29" s="564">
        <v>4.0019999999999998</v>
      </c>
      <c r="G29" s="564"/>
      <c r="H29" s="565"/>
      <c r="I29" s="565"/>
      <c r="J29" s="566"/>
      <c r="K29" s="564">
        <v>4.0022399999999996</v>
      </c>
      <c r="L29" s="565">
        <v>4.0019999999999998</v>
      </c>
      <c r="M29" s="564">
        <v>4.0019999999999998</v>
      </c>
      <c r="N29" s="564">
        <v>4.0019999999999998</v>
      </c>
      <c r="O29" s="564"/>
      <c r="P29" s="565"/>
      <c r="Q29" s="565"/>
      <c r="R29" s="566"/>
    </row>
    <row r="30" spans="2:18">
      <c r="B30" s="563">
        <v>35</v>
      </c>
      <c r="C30" s="564">
        <v>2.3229599999999997</v>
      </c>
      <c r="D30" s="565">
        <v>2.323</v>
      </c>
      <c r="E30" s="564">
        <v>2.323</v>
      </c>
      <c r="F30" s="564">
        <v>2.323</v>
      </c>
      <c r="G30" s="564"/>
      <c r="H30" s="565"/>
      <c r="I30" s="565"/>
      <c r="J30" s="566"/>
      <c r="K30" s="564">
        <v>2.3229599999999997</v>
      </c>
      <c r="L30" s="565">
        <v>2.323</v>
      </c>
      <c r="M30" s="564">
        <v>2.323</v>
      </c>
      <c r="N30" s="564">
        <v>2.323</v>
      </c>
      <c r="O30" s="564"/>
      <c r="P30" s="565"/>
      <c r="Q30" s="565"/>
      <c r="R30" s="566"/>
    </row>
    <row r="31" spans="2:18">
      <c r="B31" s="563">
        <v>36</v>
      </c>
      <c r="C31" s="564">
        <v>0.51176000000000033</v>
      </c>
      <c r="D31" s="565">
        <v>0.51200000000000001</v>
      </c>
      <c r="E31" s="564">
        <v>0.51200000000000001</v>
      </c>
      <c r="F31" s="564">
        <v>0.51200000000000001</v>
      </c>
      <c r="G31" s="564"/>
      <c r="H31" s="565"/>
      <c r="I31" s="565"/>
      <c r="J31" s="566"/>
      <c r="K31" s="564">
        <v>0.51176000000000033</v>
      </c>
      <c r="L31" s="565">
        <v>0.51200000000000001</v>
      </c>
      <c r="M31" s="564">
        <v>0.51200000000000001</v>
      </c>
      <c r="N31" s="564">
        <v>0.51200000000000001</v>
      </c>
      <c r="O31" s="564"/>
      <c r="P31" s="565"/>
      <c r="Q31" s="565"/>
      <c r="R31" s="566"/>
    </row>
    <row r="32" spans="2:18">
      <c r="B32" s="563">
        <v>37</v>
      </c>
      <c r="C32" s="564">
        <v>-1.22864</v>
      </c>
      <c r="D32" s="565">
        <v>-1.2290000000000001</v>
      </c>
      <c r="E32" s="564">
        <v>-1.2290000000000001</v>
      </c>
      <c r="F32" s="564">
        <v>-1.2290000000000001</v>
      </c>
      <c r="G32" s="564"/>
      <c r="H32" s="565"/>
      <c r="I32" s="565"/>
      <c r="J32" s="566"/>
      <c r="K32" s="564">
        <v>-1.22864</v>
      </c>
      <c r="L32" s="565">
        <v>-1.2290000000000001</v>
      </c>
      <c r="M32" s="564">
        <v>-1.2290000000000001</v>
      </c>
      <c r="N32" s="564">
        <v>-1.2290000000000001</v>
      </c>
      <c r="O32" s="564"/>
      <c r="P32" s="565"/>
      <c r="Q32" s="565"/>
      <c r="R32" s="566"/>
    </row>
    <row r="33" spans="2:18">
      <c r="B33" s="563">
        <v>38</v>
      </c>
      <c r="C33" s="564">
        <v>-2.6957599999999999</v>
      </c>
      <c r="D33" s="565">
        <v>-2.6960000000000002</v>
      </c>
      <c r="E33" s="564">
        <v>-2.6960000000000002</v>
      </c>
      <c r="F33" s="564">
        <v>-2.6960000000000002</v>
      </c>
      <c r="G33" s="564"/>
      <c r="H33" s="565"/>
      <c r="I33" s="565"/>
      <c r="J33" s="566"/>
      <c r="K33" s="564">
        <v>-2.6957599999999999</v>
      </c>
      <c r="L33" s="565">
        <v>-2.6960000000000002</v>
      </c>
      <c r="M33" s="564">
        <v>-2.6960000000000002</v>
      </c>
      <c r="N33" s="564">
        <v>-2.6960000000000002</v>
      </c>
      <c r="O33" s="564"/>
      <c r="P33" s="565"/>
      <c r="Q33" s="565"/>
      <c r="R33" s="566"/>
    </row>
    <row r="34" spans="2:18">
      <c r="B34" s="563">
        <v>39</v>
      </c>
      <c r="C34" s="564">
        <v>-3.7370159999999997</v>
      </c>
      <c r="D34" s="565">
        <v>-3.7370000000000001</v>
      </c>
      <c r="E34" s="564">
        <v>-3.7370000000000001</v>
      </c>
      <c r="F34" s="564">
        <v>-3.7370000000000001</v>
      </c>
      <c r="G34" s="564"/>
      <c r="H34" s="565"/>
      <c r="I34" s="565"/>
      <c r="J34" s="566"/>
      <c r="K34" s="564">
        <v>-3.7370159999999997</v>
      </c>
      <c r="L34" s="565">
        <v>-3.7370000000000001</v>
      </c>
      <c r="M34" s="564">
        <v>-3.7370000000000001</v>
      </c>
      <c r="N34" s="564">
        <v>-3.7370000000000001</v>
      </c>
      <c r="O34" s="564"/>
      <c r="P34" s="565"/>
      <c r="Q34" s="565"/>
      <c r="R34" s="566"/>
    </row>
    <row r="35" spans="2:18">
      <c r="B35" s="563">
        <v>40</v>
      </c>
      <c r="C35" s="564">
        <v>-4.4000000000000004</v>
      </c>
      <c r="D35" s="565">
        <v>-4.4000000000000004</v>
      </c>
      <c r="E35" s="564">
        <v>-4.4000000000000004</v>
      </c>
      <c r="F35" s="564">
        <v>-4.4000000000000004</v>
      </c>
      <c r="G35" s="564"/>
      <c r="H35" s="565"/>
      <c r="I35" s="565"/>
      <c r="J35" s="566"/>
      <c r="K35" s="564">
        <v>-4.4000000000000004</v>
      </c>
      <c r="L35" s="565">
        <v>-4.4000000000000004</v>
      </c>
      <c r="M35" s="564">
        <v>-4.4000000000000004</v>
      </c>
      <c r="N35" s="564">
        <v>-4.4000000000000004</v>
      </c>
      <c r="O35" s="564"/>
      <c r="P35" s="565"/>
      <c r="Q35" s="565"/>
      <c r="R35" s="566"/>
    </row>
    <row r="36" spans="2:18">
      <c r="B36" s="563">
        <v>41</v>
      </c>
      <c r="C36" s="564">
        <v>-4.7822240000000003</v>
      </c>
      <c r="D36" s="565">
        <v>-4.782</v>
      </c>
      <c r="E36" s="564">
        <v>-4.782</v>
      </c>
      <c r="F36" s="564">
        <v>-4.782</v>
      </c>
      <c r="G36" s="564"/>
      <c r="H36" s="565"/>
      <c r="I36" s="565"/>
      <c r="J36" s="566"/>
      <c r="K36" s="564">
        <v>-4.7822240000000003</v>
      </c>
      <c r="L36" s="565">
        <v>-4.782</v>
      </c>
      <c r="M36" s="564">
        <v>-4.782</v>
      </c>
      <c r="N36" s="564">
        <v>-4.782</v>
      </c>
      <c r="O36" s="564"/>
      <c r="P36" s="565"/>
      <c r="Q36" s="565"/>
      <c r="R36" s="566"/>
    </row>
    <row r="37" spans="2:18">
      <c r="B37" s="563">
        <v>42</v>
      </c>
      <c r="C37" s="564">
        <v>-5.7812239999999999</v>
      </c>
      <c r="D37" s="565">
        <v>-5.7809999999999997</v>
      </c>
      <c r="E37" s="564">
        <v>-5.7809999999999997</v>
      </c>
      <c r="F37" s="564">
        <v>-5.7809999999999997</v>
      </c>
      <c r="G37" s="564"/>
      <c r="H37" s="565"/>
      <c r="I37" s="565"/>
      <c r="J37" s="566"/>
      <c r="K37" s="564">
        <v>-5.7812239999999999</v>
      </c>
      <c r="L37" s="565">
        <v>-5.7809999999999997</v>
      </c>
      <c r="M37" s="564">
        <v>-5.7809999999999997</v>
      </c>
      <c r="N37" s="564">
        <v>-5.7809999999999997</v>
      </c>
      <c r="O37" s="564"/>
      <c r="P37" s="565"/>
      <c r="Q37" s="565"/>
      <c r="R37" s="566"/>
    </row>
    <row r="38" spans="2:18">
      <c r="B38" s="563">
        <v>43</v>
      </c>
      <c r="C38" s="564">
        <v>-6.2945359999999999</v>
      </c>
      <c r="D38" s="565">
        <v>-6.2949999999999999</v>
      </c>
      <c r="E38" s="564">
        <v>-6.2949999999999999</v>
      </c>
      <c r="F38" s="564">
        <v>-6.2949999999999999</v>
      </c>
      <c r="G38" s="564"/>
      <c r="H38" s="565"/>
      <c r="I38" s="565"/>
      <c r="J38" s="566"/>
      <c r="K38" s="564">
        <v>-6.2945359999999999</v>
      </c>
      <c r="L38" s="565">
        <v>-6.2949999999999999</v>
      </c>
      <c r="M38" s="564">
        <v>-6.2949999999999999</v>
      </c>
      <c r="N38" s="564">
        <v>-6.2949999999999999</v>
      </c>
      <c r="O38" s="564"/>
      <c r="P38" s="565"/>
      <c r="Q38" s="565"/>
      <c r="R38" s="566"/>
    </row>
    <row r="39" spans="2:18">
      <c r="B39" s="563">
        <v>44</v>
      </c>
      <c r="C39" s="564">
        <v>-6.8196960000000004</v>
      </c>
      <c r="D39" s="565">
        <v>-6.82</v>
      </c>
      <c r="E39" s="564">
        <v>-6.82</v>
      </c>
      <c r="F39" s="564">
        <v>-6.82</v>
      </c>
      <c r="G39" s="564"/>
      <c r="H39" s="565"/>
      <c r="I39" s="565"/>
      <c r="J39" s="566"/>
      <c r="K39" s="564">
        <v>-6.8196960000000004</v>
      </c>
      <c r="L39" s="565">
        <v>-6.82</v>
      </c>
      <c r="M39" s="564">
        <v>-6.82</v>
      </c>
      <c r="N39" s="564">
        <v>-6.82</v>
      </c>
      <c r="O39" s="564"/>
      <c r="P39" s="565"/>
      <c r="Q39" s="565"/>
      <c r="R39" s="566"/>
    </row>
    <row r="40" spans="2:18">
      <c r="B40" s="563">
        <v>45</v>
      </c>
      <c r="C40" s="564">
        <v>-7.4542400000000004</v>
      </c>
      <c r="D40" s="565">
        <v>-7.4539999999999997</v>
      </c>
      <c r="E40" s="564">
        <v>-7.4539999999999997</v>
      </c>
      <c r="F40" s="564">
        <v>-7.4539999999999997</v>
      </c>
      <c r="G40" s="564"/>
      <c r="H40" s="565"/>
      <c r="I40" s="565"/>
      <c r="J40" s="566"/>
      <c r="K40" s="564">
        <v>-7.4542400000000004</v>
      </c>
      <c r="L40" s="565">
        <v>-7.4539999999999997</v>
      </c>
      <c r="M40" s="564">
        <v>-7.4539999999999997</v>
      </c>
      <c r="N40" s="564">
        <v>-7.4539999999999997</v>
      </c>
      <c r="O40" s="564"/>
      <c r="P40" s="565"/>
      <c r="Q40" s="565"/>
      <c r="R40" s="566"/>
    </row>
    <row r="41" spans="2:18">
      <c r="B41" s="563">
        <v>46</v>
      </c>
      <c r="C41" s="564">
        <v>-8.2957599999999996</v>
      </c>
      <c r="D41" s="565">
        <v>-8.2959999999999994</v>
      </c>
      <c r="E41" s="564">
        <v>-8.2959999999999994</v>
      </c>
      <c r="F41" s="564">
        <v>-8.2959999999999994</v>
      </c>
      <c r="G41" s="564"/>
      <c r="H41" s="565"/>
      <c r="I41" s="565"/>
      <c r="J41" s="566"/>
      <c r="K41" s="564">
        <v>-8.2957599999999996</v>
      </c>
      <c r="L41" s="565">
        <v>-8.2959999999999994</v>
      </c>
      <c r="M41" s="564">
        <v>-8.2959999999999994</v>
      </c>
      <c r="N41" s="564">
        <v>-8.2959999999999994</v>
      </c>
      <c r="O41" s="564"/>
      <c r="P41" s="565"/>
      <c r="Q41" s="565"/>
      <c r="R41" s="566"/>
    </row>
    <row r="42" spans="2:18">
      <c r="B42" s="563">
        <v>47</v>
      </c>
      <c r="C42" s="564">
        <v>-9.4161839999999994</v>
      </c>
      <c r="D42" s="565">
        <v>-9.4160000000000004</v>
      </c>
      <c r="E42" s="564">
        <v>-9.4160000000000004</v>
      </c>
      <c r="F42" s="564">
        <v>-9.4160000000000004</v>
      </c>
      <c r="G42" s="564"/>
      <c r="H42" s="565"/>
      <c r="I42" s="565"/>
      <c r="J42" s="566"/>
      <c r="K42" s="564">
        <v>-9.4161839999999994</v>
      </c>
      <c r="L42" s="565">
        <v>-9.4160000000000004</v>
      </c>
      <c r="M42" s="564">
        <v>-9.4160000000000004</v>
      </c>
      <c r="N42" s="564">
        <v>-9.4160000000000004</v>
      </c>
      <c r="O42" s="564"/>
      <c r="P42" s="565"/>
      <c r="Q42" s="565"/>
      <c r="R42" s="566"/>
    </row>
    <row r="43" spans="2:18">
      <c r="B43" s="563">
        <v>48</v>
      </c>
      <c r="C43" s="564">
        <v>-10.7857328</v>
      </c>
      <c r="D43" s="565">
        <v>-10.786</v>
      </c>
      <c r="E43" s="564">
        <v>-10.786</v>
      </c>
      <c r="F43" s="564">
        <v>-10.786</v>
      </c>
      <c r="G43" s="564"/>
      <c r="H43" s="565"/>
      <c r="I43" s="565"/>
      <c r="J43" s="566"/>
      <c r="K43" s="564">
        <v>-10.7857328</v>
      </c>
      <c r="L43" s="565">
        <v>-10.786</v>
      </c>
      <c r="M43" s="564">
        <v>-10.786</v>
      </c>
      <c r="N43" s="564">
        <v>-10.786</v>
      </c>
      <c r="O43" s="564"/>
      <c r="P43" s="565"/>
      <c r="Q43" s="565"/>
      <c r="R43" s="566"/>
    </row>
    <row r="44" spans="2:18">
      <c r="B44" s="563">
        <v>49</v>
      </c>
      <c r="C44" s="564">
        <v>-12.349</v>
      </c>
      <c r="D44" s="565">
        <v>-12.349</v>
      </c>
      <c r="E44" s="564">
        <v>-12.349</v>
      </c>
      <c r="F44" s="564">
        <v>-12.349</v>
      </c>
      <c r="G44" s="564"/>
      <c r="H44" s="565"/>
      <c r="I44" s="565"/>
      <c r="J44" s="566"/>
      <c r="K44" s="564">
        <v>-12.349</v>
      </c>
      <c r="L44" s="565">
        <v>-12.349</v>
      </c>
      <c r="M44" s="564">
        <v>-12.349</v>
      </c>
      <c r="N44" s="564">
        <v>-12.349</v>
      </c>
      <c r="O44" s="564"/>
      <c r="P44" s="565"/>
      <c r="Q44" s="565"/>
      <c r="R44" s="566"/>
    </row>
    <row r="45" spans="2:18">
      <c r="B45" s="563">
        <v>50</v>
      </c>
      <c r="C45" s="564">
        <v>-13.250639999999999</v>
      </c>
      <c r="D45" s="565">
        <v>-13.250999999999999</v>
      </c>
      <c r="E45" s="564">
        <v>-13.250999999999999</v>
      </c>
      <c r="F45" s="564">
        <v>-13.250999999999999</v>
      </c>
      <c r="G45" s="564"/>
      <c r="H45" s="565"/>
      <c r="I45" s="565"/>
      <c r="J45" s="566"/>
      <c r="K45" s="564">
        <v>-13.250639999999999</v>
      </c>
      <c r="L45" s="565">
        <v>-13.250999999999999</v>
      </c>
      <c r="M45" s="564">
        <v>-13.250999999999999</v>
      </c>
      <c r="N45" s="564">
        <v>-13.250999999999999</v>
      </c>
      <c r="O45" s="564"/>
      <c r="P45" s="565"/>
      <c r="Q45" s="565"/>
      <c r="R45" s="566"/>
    </row>
    <row r="46" spans="2:18">
      <c r="B46" s="563">
        <v>51</v>
      </c>
      <c r="C46" s="564">
        <v>-14.235200000000001</v>
      </c>
      <c r="D46" s="565">
        <v>-14.234999999999999</v>
      </c>
      <c r="E46" s="564">
        <v>-14.234999999999999</v>
      </c>
      <c r="F46" s="564">
        <v>-14.234999999999999</v>
      </c>
      <c r="G46" s="564"/>
      <c r="H46" s="565"/>
      <c r="I46" s="565"/>
      <c r="J46" s="566"/>
      <c r="K46" s="564">
        <v>-14.235200000000001</v>
      </c>
      <c r="L46" s="565">
        <v>-14.234999999999999</v>
      </c>
      <c r="M46" s="564">
        <v>-14.234999999999999</v>
      </c>
      <c r="N46" s="564">
        <v>-14.234999999999999</v>
      </c>
      <c r="O46" s="564"/>
      <c r="P46" s="565"/>
      <c r="Q46" s="565"/>
      <c r="R46" s="566"/>
    </row>
    <row r="47" spans="2:18">
      <c r="B47" s="563">
        <v>52</v>
      </c>
      <c r="C47" s="564">
        <v>-15.247440000000001</v>
      </c>
      <c r="D47" s="565">
        <v>-15.247</v>
      </c>
      <c r="E47" s="564">
        <v>-15.247</v>
      </c>
      <c r="F47" s="564">
        <v>-15.247</v>
      </c>
      <c r="G47" s="564"/>
      <c r="H47" s="565"/>
      <c r="I47" s="565"/>
      <c r="J47" s="566"/>
      <c r="K47" s="564">
        <v>-15.247440000000001</v>
      </c>
      <c r="L47" s="565">
        <v>-15.247</v>
      </c>
      <c r="M47" s="564">
        <v>-15.247</v>
      </c>
      <c r="N47" s="564">
        <v>-15.247</v>
      </c>
      <c r="O47" s="564"/>
      <c r="P47" s="565"/>
      <c r="Q47" s="565"/>
      <c r="R47" s="566"/>
    </row>
    <row r="48" spans="2:18">
      <c r="B48" s="563">
        <v>53</v>
      </c>
      <c r="C48" s="564">
        <v>-15.431839999999999</v>
      </c>
      <c r="D48" s="565">
        <v>-15.432</v>
      </c>
      <c r="E48" s="564">
        <v>-15.432</v>
      </c>
      <c r="F48" s="564">
        <v>-15.432</v>
      </c>
      <c r="G48" s="564"/>
      <c r="H48" s="565"/>
      <c r="I48" s="565"/>
      <c r="J48" s="566"/>
      <c r="K48" s="564">
        <v>-15.431839999999999</v>
      </c>
      <c r="L48" s="565">
        <v>-15.432</v>
      </c>
      <c r="M48" s="564">
        <v>-15.432</v>
      </c>
      <c r="N48" s="564">
        <v>-15.432</v>
      </c>
      <c r="O48" s="564"/>
      <c r="P48" s="565"/>
      <c r="Q48" s="565"/>
      <c r="R48" s="566"/>
    </row>
    <row r="49" spans="2:18">
      <c r="B49" s="563">
        <v>54</v>
      </c>
      <c r="C49" s="564">
        <v>-15.933119999999999</v>
      </c>
      <c r="D49" s="565">
        <v>-15.933</v>
      </c>
      <c r="E49" s="564">
        <v>-15.933</v>
      </c>
      <c r="F49" s="564">
        <v>-15.933</v>
      </c>
      <c r="G49" s="564"/>
      <c r="H49" s="565"/>
      <c r="I49" s="565"/>
      <c r="J49" s="566"/>
      <c r="K49" s="564">
        <v>-15.933119999999999</v>
      </c>
      <c r="L49" s="565">
        <v>-15.933</v>
      </c>
      <c r="M49" s="564">
        <v>-15.933</v>
      </c>
      <c r="N49" s="564">
        <v>-15.933</v>
      </c>
      <c r="O49" s="564"/>
      <c r="P49" s="565"/>
      <c r="Q49" s="565"/>
      <c r="R49" s="566"/>
    </row>
    <row r="50" spans="2:18">
      <c r="B50" s="563">
        <v>55</v>
      </c>
      <c r="C50" s="564">
        <v>-16.295920000000002</v>
      </c>
      <c r="D50" s="565">
        <v>-16.295999999999999</v>
      </c>
      <c r="E50" s="564">
        <v>-16.295999999999999</v>
      </c>
      <c r="F50" s="564">
        <v>-16.295999999999999</v>
      </c>
      <c r="G50" s="564"/>
      <c r="H50" s="565"/>
      <c r="I50" s="565"/>
      <c r="J50" s="566"/>
      <c r="K50" s="564">
        <v>-16.295920000000002</v>
      </c>
      <c r="L50" s="565">
        <v>-16.295999999999999</v>
      </c>
      <c r="M50" s="564">
        <v>-16.295999999999999</v>
      </c>
      <c r="N50" s="564">
        <v>-16.295999999999999</v>
      </c>
      <c r="O50" s="564"/>
      <c r="P50" s="565"/>
      <c r="Q50" s="565"/>
      <c r="R50" s="566"/>
    </row>
    <row r="51" spans="2:18">
      <c r="B51" s="563">
        <v>56</v>
      </c>
      <c r="C51" s="564">
        <v>-16.476480000000002</v>
      </c>
      <c r="D51" s="565">
        <v>-16.475999999999999</v>
      </c>
      <c r="E51" s="564">
        <v>-16.475999999999999</v>
      </c>
      <c r="F51" s="564">
        <v>-16.475999999999999</v>
      </c>
      <c r="G51" s="564"/>
      <c r="H51" s="565"/>
      <c r="I51" s="565"/>
      <c r="J51" s="566"/>
      <c r="K51" s="564">
        <v>-16.476480000000002</v>
      </c>
      <c r="L51" s="565">
        <v>-16.475999999999999</v>
      </c>
      <c r="M51" s="564">
        <v>-16.475999999999999</v>
      </c>
      <c r="N51" s="564">
        <v>-16.475999999999999</v>
      </c>
      <c r="O51" s="564"/>
      <c r="P51" s="565"/>
      <c r="Q51" s="565"/>
      <c r="R51" s="566"/>
    </row>
    <row r="52" spans="2:18">
      <c r="B52" s="563">
        <v>57</v>
      </c>
      <c r="C52" s="564">
        <v>-16.478000000000002</v>
      </c>
      <c r="D52" s="565">
        <v>-16.478000000000002</v>
      </c>
      <c r="E52" s="564">
        <v>-16.478000000000002</v>
      </c>
      <c r="F52" s="564">
        <v>-16.478000000000002</v>
      </c>
      <c r="G52" s="564"/>
      <c r="H52" s="565"/>
      <c r="I52" s="565"/>
      <c r="J52" s="566"/>
      <c r="K52" s="564">
        <v>-16.478000000000002</v>
      </c>
      <c r="L52" s="565">
        <v>-16.478000000000002</v>
      </c>
      <c r="M52" s="564">
        <v>-16.478000000000002</v>
      </c>
      <c r="N52" s="564">
        <v>-16.478000000000002</v>
      </c>
      <c r="O52" s="564"/>
      <c r="P52" s="565"/>
      <c r="Q52" s="565"/>
      <c r="R52" s="566"/>
    </row>
    <row r="53" spans="2:18">
      <c r="B53" s="563">
        <v>58</v>
      </c>
      <c r="C53" s="564">
        <v>-16.315199999999997</v>
      </c>
      <c r="D53" s="565">
        <v>-16.315000000000001</v>
      </c>
      <c r="E53" s="564">
        <v>-16.315000000000001</v>
      </c>
      <c r="F53" s="564">
        <v>-16.315000000000001</v>
      </c>
      <c r="G53" s="564"/>
      <c r="H53" s="565"/>
      <c r="I53" s="565"/>
      <c r="J53" s="566"/>
      <c r="K53" s="564">
        <v>-16.315199999999997</v>
      </c>
      <c r="L53" s="565">
        <v>-16.315000000000001</v>
      </c>
      <c r="M53" s="564">
        <v>-16.315000000000001</v>
      </c>
      <c r="N53" s="564">
        <v>-16.315000000000001</v>
      </c>
      <c r="O53" s="564"/>
      <c r="P53" s="565"/>
      <c r="Q53" s="565"/>
      <c r="R53" s="566"/>
    </row>
    <row r="54" spans="2:18">
      <c r="B54" s="563">
        <v>59</v>
      </c>
      <c r="C54" s="564">
        <v>-16.003039999999999</v>
      </c>
      <c r="D54" s="565">
        <v>-16.003</v>
      </c>
      <c r="E54" s="564">
        <v>-16.003</v>
      </c>
      <c r="F54" s="564">
        <v>-16.003</v>
      </c>
      <c r="G54" s="564"/>
      <c r="H54" s="565"/>
      <c r="I54" s="565"/>
      <c r="J54" s="566"/>
      <c r="K54" s="564">
        <v>-16.003039999999999</v>
      </c>
      <c r="L54" s="565">
        <v>-16.003</v>
      </c>
      <c r="M54" s="564">
        <v>-16.003</v>
      </c>
      <c r="N54" s="564">
        <v>-16.003</v>
      </c>
      <c r="O54" s="564"/>
      <c r="P54" s="565"/>
      <c r="Q54" s="565"/>
      <c r="R54" s="566"/>
    </row>
    <row r="55" spans="2:18">
      <c r="B55" s="563">
        <v>60</v>
      </c>
      <c r="C55" s="564">
        <v>-15.15624</v>
      </c>
      <c r="D55" s="565">
        <v>-15.156000000000001</v>
      </c>
      <c r="E55" s="564">
        <v>-15.156000000000001</v>
      </c>
      <c r="F55" s="564">
        <v>-16.004440000000002</v>
      </c>
      <c r="G55" s="564"/>
      <c r="H55" s="565"/>
      <c r="I55" s="565"/>
      <c r="J55" s="566"/>
      <c r="K55" s="564">
        <v>-15.15624</v>
      </c>
      <c r="L55" s="565">
        <v>-15.156000000000001</v>
      </c>
      <c r="M55" s="564">
        <v>-15.156000000000001</v>
      </c>
      <c r="N55" s="564">
        <v>-16.004440000000002</v>
      </c>
      <c r="O55" s="564"/>
      <c r="P55" s="565"/>
      <c r="Q55" s="565"/>
      <c r="R55" s="566"/>
    </row>
    <row r="56" spans="2:18">
      <c r="B56" s="563">
        <v>61</v>
      </c>
      <c r="C56" s="564">
        <v>-14.189679999999999</v>
      </c>
      <c r="D56" s="565">
        <v>-14.19</v>
      </c>
      <c r="E56" s="564">
        <v>-14.19</v>
      </c>
      <c r="F56" s="564">
        <v>-15.477149999999995</v>
      </c>
      <c r="G56" s="564"/>
      <c r="H56" s="565"/>
      <c r="I56" s="565"/>
      <c r="J56" s="566"/>
      <c r="K56" s="564">
        <v>-14.189679999999999</v>
      </c>
      <c r="L56" s="565">
        <v>-14.19</v>
      </c>
      <c r="M56" s="564">
        <v>-14.19</v>
      </c>
      <c r="N56" s="564">
        <v>-15.477149999999995</v>
      </c>
      <c r="O56" s="564"/>
      <c r="P56" s="565"/>
      <c r="Q56" s="565"/>
      <c r="R56" s="566"/>
    </row>
    <row r="57" spans="2:18">
      <c r="B57" s="563">
        <v>62</v>
      </c>
      <c r="C57" s="564">
        <v>-13.11816</v>
      </c>
      <c r="D57" s="565">
        <v>-13.118</v>
      </c>
      <c r="E57" s="564">
        <v>-13.118</v>
      </c>
      <c r="F57" s="564">
        <v>-14.826239999999999</v>
      </c>
      <c r="G57" s="564"/>
      <c r="H57" s="565"/>
      <c r="I57" s="565"/>
      <c r="J57" s="566"/>
      <c r="K57" s="564">
        <v>-13.11816</v>
      </c>
      <c r="L57" s="565">
        <v>-13.118</v>
      </c>
      <c r="M57" s="564">
        <v>-13.118</v>
      </c>
      <c r="N57" s="564">
        <v>-14.826239999999999</v>
      </c>
      <c r="O57" s="564"/>
      <c r="P57" s="565"/>
      <c r="Q57" s="565"/>
      <c r="R57" s="566"/>
    </row>
    <row r="58" spans="2:18">
      <c r="B58" s="563">
        <v>63</v>
      </c>
      <c r="C58" s="564">
        <v>-11.9564</v>
      </c>
      <c r="D58" s="565">
        <v>-11.956</v>
      </c>
      <c r="E58" s="564">
        <v>-11.956</v>
      </c>
      <c r="F58" s="564">
        <v>-14.132724999999994</v>
      </c>
      <c r="G58" s="564"/>
      <c r="H58" s="565"/>
      <c r="I58" s="565"/>
      <c r="J58" s="566"/>
      <c r="K58" s="564">
        <v>-11.9564</v>
      </c>
      <c r="L58" s="565">
        <v>-11.956</v>
      </c>
      <c r="M58" s="564">
        <v>-11.956</v>
      </c>
      <c r="N58" s="564">
        <v>-14.132724999999994</v>
      </c>
      <c r="O58" s="564"/>
      <c r="P58" s="565"/>
      <c r="Q58" s="565"/>
      <c r="R58" s="566"/>
    </row>
    <row r="59" spans="2:18">
      <c r="B59" s="563">
        <v>64</v>
      </c>
      <c r="C59" s="564">
        <v>-10.71936</v>
      </c>
      <c r="D59" s="565">
        <v>-10.718999999999999</v>
      </c>
      <c r="E59" s="564">
        <v>-10.718999999999999</v>
      </c>
      <c r="F59" s="564">
        <v>-12.860696666666669</v>
      </c>
      <c r="G59" s="564"/>
      <c r="H59" s="565"/>
      <c r="I59" s="565"/>
      <c r="J59" s="566"/>
      <c r="K59" s="564">
        <v>-10.71936</v>
      </c>
      <c r="L59" s="565">
        <v>-10.718999999999999</v>
      </c>
      <c r="M59" s="564">
        <v>-10.718999999999999</v>
      </c>
      <c r="N59" s="564">
        <v>-12.860696666666669</v>
      </c>
      <c r="O59" s="564"/>
      <c r="P59" s="565"/>
      <c r="Q59" s="565"/>
      <c r="R59" s="566"/>
    </row>
    <row r="60" spans="2:18">
      <c r="B60" s="563">
        <v>65</v>
      </c>
      <c r="C60" s="564">
        <v>-7.8218399999999999</v>
      </c>
      <c r="D60" s="565">
        <v>-7.8220000000000001</v>
      </c>
      <c r="E60" s="564">
        <v>-7.8220000000000001</v>
      </c>
      <c r="F60" s="564">
        <v>-11.033433333333335</v>
      </c>
      <c r="G60" s="564"/>
      <c r="H60" s="565"/>
      <c r="I60" s="565"/>
      <c r="J60" s="566"/>
      <c r="K60" s="564">
        <v>-7.8218399999999999</v>
      </c>
      <c r="L60" s="565">
        <v>-7.8220000000000001</v>
      </c>
      <c r="M60" s="564">
        <v>-7.8220000000000001</v>
      </c>
      <c r="N60" s="564">
        <v>-11.033433333333335</v>
      </c>
      <c r="O60" s="564"/>
      <c r="P60" s="565"/>
      <c r="Q60" s="565"/>
      <c r="R60" s="566"/>
    </row>
    <row r="61" spans="2:18">
      <c r="B61" s="563">
        <v>66</v>
      </c>
      <c r="C61" s="564">
        <v>-4.8785600000000002</v>
      </c>
      <c r="D61" s="565">
        <v>-4.8789999999999996</v>
      </c>
      <c r="E61" s="564">
        <v>-4.8789999999999996</v>
      </c>
      <c r="F61" s="564">
        <v>-8.6736000000000075</v>
      </c>
      <c r="G61" s="564"/>
      <c r="H61" s="565"/>
      <c r="I61" s="565"/>
      <c r="J61" s="566"/>
      <c r="K61" s="564">
        <v>-4.8785600000000002</v>
      </c>
      <c r="L61" s="565">
        <v>-4.8789999999999996</v>
      </c>
      <c r="M61" s="564">
        <v>-4.8789999999999996</v>
      </c>
      <c r="N61" s="564">
        <v>-8.6736000000000075</v>
      </c>
      <c r="O61" s="564"/>
      <c r="P61" s="565"/>
      <c r="Q61" s="565"/>
      <c r="R61" s="566"/>
    </row>
    <row r="62" spans="2:18">
      <c r="B62" s="563">
        <v>67</v>
      </c>
      <c r="C62" s="564">
        <v>-1.9044000000000012</v>
      </c>
      <c r="D62" s="565">
        <v>-1.9039999999999999</v>
      </c>
      <c r="E62" s="564">
        <v>-1.9039999999999999</v>
      </c>
      <c r="F62" s="564">
        <v>-6.3183199999999999</v>
      </c>
      <c r="G62" s="564"/>
      <c r="H62" s="565"/>
      <c r="I62" s="565"/>
      <c r="J62" s="566"/>
      <c r="K62" s="564">
        <v>-1.9044000000000012</v>
      </c>
      <c r="L62" s="565">
        <v>-1.9039999999999999</v>
      </c>
      <c r="M62" s="564">
        <v>-1.9039999999999999</v>
      </c>
      <c r="N62" s="564">
        <v>-6.3183199999999999</v>
      </c>
      <c r="O62" s="564"/>
      <c r="P62" s="565"/>
      <c r="Q62" s="565"/>
      <c r="R62" s="566"/>
    </row>
    <row r="63" spans="2:18">
      <c r="B63" s="563">
        <v>68</v>
      </c>
      <c r="C63" s="564">
        <v>1.0858400000000004</v>
      </c>
      <c r="D63" s="565">
        <v>1.0860000000000001</v>
      </c>
      <c r="E63" s="564">
        <v>1.0860000000000001</v>
      </c>
      <c r="F63" s="564">
        <v>-3.9682999999999993</v>
      </c>
      <c r="G63" s="564"/>
      <c r="H63" s="565"/>
      <c r="I63" s="565"/>
      <c r="J63" s="566"/>
      <c r="K63" s="564">
        <v>1.0858400000000004</v>
      </c>
      <c r="L63" s="565">
        <v>1.0860000000000001</v>
      </c>
      <c r="M63" s="564">
        <v>1.0860000000000001</v>
      </c>
      <c r="N63" s="564">
        <v>-3.9682999999999993</v>
      </c>
      <c r="O63" s="564"/>
      <c r="P63" s="565"/>
      <c r="Q63" s="565"/>
      <c r="R63" s="566"/>
    </row>
    <row r="64" spans="2:18">
      <c r="B64" s="563">
        <v>69</v>
      </c>
      <c r="C64" s="564">
        <v>4.07728</v>
      </c>
      <c r="D64" s="565">
        <v>4.077</v>
      </c>
      <c r="E64" s="564">
        <v>4.077</v>
      </c>
      <c r="F64" s="564">
        <v>-1.6472349999999949</v>
      </c>
      <c r="G64" s="564"/>
      <c r="H64" s="565"/>
      <c r="I64" s="565"/>
      <c r="J64" s="566"/>
      <c r="K64" s="564">
        <v>4.07728</v>
      </c>
      <c r="L64" s="565">
        <v>4.077</v>
      </c>
      <c r="M64" s="564">
        <v>4.077</v>
      </c>
      <c r="N64" s="564">
        <v>-1.6472349999999949</v>
      </c>
      <c r="O64" s="564"/>
      <c r="P64" s="565"/>
      <c r="Q64" s="565"/>
      <c r="R64" s="566"/>
    </row>
    <row r="65" spans="2:18">
      <c r="B65" s="563">
        <v>70</v>
      </c>
      <c r="C65" s="564">
        <v>6.6551199999999993</v>
      </c>
      <c r="D65" s="565">
        <v>6.6550000000000002</v>
      </c>
      <c r="E65" s="564">
        <v>6.6550000000000002</v>
      </c>
      <c r="F65" s="564">
        <v>0.25570000000000448</v>
      </c>
      <c r="G65" s="564"/>
      <c r="H65" s="565"/>
      <c r="I65" s="565"/>
      <c r="J65" s="566"/>
      <c r="K65" s="564">
        <v>6.6551199999999993</v>
      </c>
      <c r="L65" s="565">
        <v>6.6550000000000002</v>
      </c>
      <c r="M65" s="564">
        <v>6.6550000000000002</v>
      </c>
      <c r="N65" s="564">
        <v>0.25570000000000448</v>
      </c>
      <c r="O65" s="564"/>
      <c r="P65" s="565"/>
      <c r="Q65" s="565"/>
      <c r="R65" s="566"/>
    </row>
    <row r="66" spans="2:18">
      <c r="B66" s="563">
        <v>71</v>
      </c>
      <c r="C66" s="564">
        <v>8.8046400000000009</v>
      </c>
      <c r="D66" s="565">
        <v>8.8049999999999997</v>
      </c>
      <c r="E66" s="564">
        <v>8.8049999999999997</v>
      </c>
      <c r="F66" s="564">
        <v>1.7326750000000146</v>
      </c>
      <c r="G66" s="564"/>
      <c r="H66" s="565"/>
      <c r="I66" s="565"/>
      <c r="J66" s="566"/>
      <c r="K66" s="564">
        <v>8.8046400000000009</v>
      </c>
      <c r="L66" s="565">
        <v>8.8049999999999997</v>
      </c>
      <c r="M66" s="564">
        <v>8.8049999999999997</v>
      </c>
      <c r="N66" s="564">
        <v>1.7326750000000146</v>
      </c>
      <c r="O66" s="564"/>
      <c r="P66" s="565"/>
      <c r="Q66" s="565"/>
      <c r="R66" s="566"/>
    </row>
    <row r="67" spans="2:18">
      <c r="B67" s="563">
        <v>72</v>
      </c>
      <c r="C67" s="564">
        <v>10.914719999999999</v>
      </c>
      <c r="D67" s="565">
        <v>10.914999999999999</v>
      </c>
      <c r="E67" s="564">
        <v>10.914999999999999</v>
      </c>
      <c r="F67" s="564">
        <v>3.1509499999999946</v>
      </c>
      <c r="G67" s="564"/>
      <c r="H67" s="565"/>
      <c r="I67" s="565"/>
      <c r="J67" s="566"/>
      <c r="K67" s="564">
        <v>10.914719999999999</v>
      </c>
      <c r="L67" s="565">
        <v>10.914999999999999</v>
      </c>
      <c r="M67" s="564">
        <v>10.914999999999999</v>
      </c>
      <c r="N67" s="564">
        <v>3.1509499999999946</v>
      </c>
      <c r="O67" s="564"/>
      <c r="P67" s="565"/>
      <c r="Q67" s="565"/>
      <c r="R67" s="566"/>
    </row>
    <row r="68" spans="2:18">
      <c r="B68" s="563">
        <v>73</v>
      </c>
      <c r="C68" s="564">
        <v>12.989840000000001</v>
      </c>
      <c r="D68" s="565">
        <v>12.99</v>
      </c>
      <c r="E68" s="564">
        <v>12.99</v>
      </c>
      <c r="F68" s="564">
        <v>4.515749999999997</v>
      </c>
      <c r="G68" s="564"/>
      <c r="H68" s="565"/>
      <c r="I68" s="565"/>
      <c r="J68" s="566"/>
      <c r="K68" s="564">
        <v>12.989840000000001</v>
      </c>
      <c r="L68" s="565">
        <v>12.99</v>
      </c>
      <c r="M68" s="564">
        <v>12.99</v>
      </c>
      <c r="N68" s="564">
        <v>4.515749999999997</v>
      </c>
      <c r="O68" s="564"/>
      <c r="P68" s="565"/>
      <c r="Q68" s="565"/>
      <c r="R68" s="566"/>
    </row>
    <row r="69" spans="2:18">
      <c r="B69" s="563">
        <v>74</v>
      </c>
      <c r="C69" s="564">
        <v>15.038</v>
      </c>
      <c r="D69" s="565">
        <v>15.038</v>
      </c>
      <c r="E69" s="564">
        <v>15.038</v>
      </c>
      <c r="F69" s="564">
        <v>5.8349599999999953</v>
      </c>
      <c r="G69" s="564"/>
      <c r="H69" s="565"/>
      <c r="I69" s="565"/>
      <c r="J69" s="566"/>
      <c r="K69" s="564">
        <v>15.038</v>
      </c>
      <c r="L69" s="565">
        <v>15.038</v>
      </c>
      <c r="M69" s="564">
        <v>15.038</v>
      </c>
      <c r="N69" s="564">
        <v>5.8349599999999953</v>
      </c>
      <c r="O69" s="564"/>
      <c r="P69" s="565"/>
      <c r="Q69" s="565"/>
      <c r="R69" s="566"/>
    </row>
    <row r="70" spans="2:18">
      <c r="B70" s="563">
        <v>75</v>
      </c>
      <c r="C70" s="564">
        <v>17.067568000000001</v>
      </c>
      <c r="D70" s="565">
        <v>17.068000000000001</v>
      </c>
      <c r="E70" s="564">
        <v>17.068000000000001</v>
      </c>
      <c r="F70" s="564">
        <v>7.1172200000000032</v>
      </c>
      <c r="G70" s="564"/>
      <c r="H70" s="565"/>
      <c r="I70" s="565"/>
      <c r="J70" s="566"/>
      <c r="K70" s="564">
        <v>17.067568000000001</v>
      </c>
      <c r="L70" s="565">
        <v>17.068000000000001</v>
      </c>
      <c r="M70" s="564">
        <v>17.068000000000001</v>
      </c>
      <c r="N70" s="564">
        <v>7.1172200000000032</v>
      </c>
      <c r="O70" s="564"/>
      <c r="P70" s="565"/>
      <c r="Q70" s="565"/>
      <c r="R70" s="566"/>
    </row>
    <row r="71" spans="2:18">
      <c r="B71" s="563">
        <v>76</v>
      </c>
      <c r="C71" s="564">
        <v>19.086592</v>
      </c>
      <c r="D71" s="565">
        <v>19.087</v>
      </c>
      <c r="E71" s="564">
        <v>19.087</v>
      </c>
      <c r="F71" s="564">
        <v>8.3691700000000111</v>
      </c>
      <c r="G71" s="564"/>
      <c r="H71" s="565"/>
      <c r="I71" s="565"/>
      <c r="J71" s="566"/>
      <c r="K71" s="564">
        <v>19.086592</v>
      </c>
      <c r="L71" s="565">
        <v>19.087</v>
      </c>
      <c r="M71" s="564">
        <v>19.087</v>
      </c>
      <c r="N71" s="564">
        <v>8.3691700000000111</v>
      </c>
      <c r="O71" s="564"/>
      <c r="P71" s="565"/>
      <c r="Q71" s="565"/>
      <c r="R71" s="566"/>
    </row>
    <row r="72" spans="2:18">
      <c r="B72" s="563">
        <v>77</v>
      </c>
      <c r="C72" s="564">
        <v>21.103280000000002</v>
      </c>
      <c r="D72" s="565">
        <v>21.103000000000002</v>
      </c>
      <c r="E72" s="564">
        <v>21.103000000000002</v>
      </c>
      <c r="F72" s="564">
        <v>9.5982150000000104</v>
      </c>
      <c r="G72" s="564"/>
      <c r="H72" s="565"/>
      <c r="I72" s="565"/>
      <c r="J72" s="566"/>
      <c r="K72" s="564">
        <v>21.103280000000002</v>
      </c>
      <c r="L72" s="565">
        <v>21.103000000000002</v>
      </c>
      <c r="M72" s="564">
        <v>21.103000000000002</v>
      </c>
      <c r="N72" s="564">
        <v>9.5982150000000104</v>
      </c>
      <c r="O72" s="564"/>
      <c r="P72" s="565"/>
      <c r="Q72" s="565"/>
      <c r="R72" s="566"/>
    </row>
    <row r="73" spans="2:18">
      <c r="B73" s="563">
        <v>78</v>
      </c>
      <c r="C73" s="564">
        <v>23.125824000000001</v>
      </c>
      <c r="D73" s="565">
        <v>23.126000000000001</v>
      </c>
      <c r="E73" s="564">
        <v>23.126000000000001</v>
      </c>
      <c r="F73" s="564">
        <v>10.813400000000001</v>
      </c>
      <c r="G73" s="564"/>
      <c r="H73" s="565"/>
      <c r="I73" s="565"/>
      <c r="J73" s="566"/>
      <c r="K73" s="564">
        <v>23.125824000000001</v>
      </c>
      <c r="L73" s="565">
        <v>23.126000000000001</v>
      </c>
      <c r="M73" s="564">
        <v>23.126000000000001</v>
      </c>
      <c r="N73" s="564">
        <v>10.813400000000001</v>
      </c>
      <c r="O73" s="564"/>
      <c r="P73" s="565"/>
      <c r="Q73" s="565"/>
      <c r="R73" s="566"/>
    </row>
    <row r="74" spans="2:18">
      <c r="B74" s="563">
        <v>79</v>
      </c>
      <c r="C74" s="564">
        <v>25.162399999999998</v>
      </c>
      <c r="D74" s="565">
        <v>25.161999999999999</v>
      </c>
      <c r="E74" s="564">
        <v>25.161999999999999</v>
      </c>
      <c r="F74" s="564">
        <v>12.019990000000007</v>
      </c>
      <c r="G74" s="564"/>
      <c r="H74" s="565"/>
      <c r="I74" s="565"/>
      <c r="J74" s="566"/>
      <c r="K74" s="564">
        <v>25.162399999999998</v>
      </c>
      <c r="L74" s="565">
        <v>25.161999999999999</v>
      </c>
      <c r="M74" s="564">
        <v>25.161999999999999</v>
      </c>
      <c r="N74" s="564">
        <v>12.019990000000007</v>
      </c>
      <c r="O74" s="564"/>
      <c r="P74" s="565"/>
      <c r="Q74" s="565"/>
      <c r="R74" s="566"/>
    </row>
    <row r="75" spans="2:18">
      <c r="B75" s="563">
        <v>80</v>
      </c>
      <c r="C75" s="564">
        <v>27.221120000000003</v>
      </c>
      <c r="D75" s="565">
        <v>27.221</v>
      </c>
      <c r="E75" s="564">
        <v>27.221</v>
      </c>
      <c r="F75" s="564">
        <v>13.226690000000005</v>
      </c>
      <c r="G75" s="564"/>
      <c r="H75" s="565"/>
      <c r="I75" s="565"/>
      <c r="J75" s="566"/>
      <c r="K75" s="564">
        <v>27.221120000000003</v>
      </c>
      <c r="L75" s="565">
        <v>27.221</v>
      </c>
      <c r="M75" s="564">
        <v>27.221</v>
      </c>
      <c r="N75" s="564">
        <v>13.226690000000005</v>
      </c>
      <c r="O75" s="564"/>
      <c r="P75" s="565"/>
      <c r="Q75" s="565"/>
      <c r="R75" s="566"/>
    </row>
    <row r="76" spans="2:18">
      <c r="B76" s="563">
        <v>81</v>
      </c>
      <c r="C76" s="564">
        <v>29.312079999999998</v>
      </c>
      <c r="D76" s="565">
        <v>29.312000000000001</v>
      </c>
      <c r="E76" s="564">
        <v>29.312000000000001</v>
      </c>
      <c r="F76" s="564">
        <v>14.441120000000012</v>
      </c>
      <c r="G76" s="564"/>
      <c r="H76" s="565"/>
      <c r="I76" s="565"/>
      <c r="J76" s="566"/>
      <c r="K76" s="564">
        <v>29.312079999999998</v>
      </c>
      <c r="L76" s="565">
        <v>29.312000000000001</v>
      </c>
      <c r="M76" s="564">
        <v>29.312000000000001</v>
      </c>
      <c r="N76" s="564">
        <v>14.441120000000012</v>
      </c>
      <c r="O76" s="564"/>
      <c r="P76" s="565"/>
      <c r="Q76" s="565"/>
      <c r="R76" s="566"/>
    </row>
    <row r="77" spans="2:18">
      <c r="B77" s="563">
        <v>82</v>
      </c>
      <c r="C77" s="564">
        <v>31.452480000000001</v>
      </c>
      <c r="D77" s="565">
        <v>31.452000000000002</v>
      </c>
      <c r="E77" s="564">
        <v>31.452000000000002</v>
      </c>
      <c r="F77" s="564">
        <v>15.677759999999992</v>
      </c>
      <c r="G77" s="564"/>
      <c r="H77" s="565"/>
      <c r="I77" s="565"/>
      <c r="J77" s="566"/>
      <c r="K77" s="564">
        <v>31.452480000000001</v>
      </c>
      <c r="L77" s="565">
        <v>31.452000000000002</v>
      </c>
      <c r="M77" s="564">
        <v>31.452000000000002</v>
      </c>
      <c r="N77" s="564">
        <v>15.677759999999992</v>
      </c>
      <c r="O77" s="564"/>
      <c r="P77" s="565"/>
      <c r="Q77" s="565"/>
      <c r="R77" s="566"/>
    </row>
    <row r="78" spans="2:18">
      <c r="B78" s="563">
        <v>83</v>
      </c>
      <c r="C78" s="564">
        <v>33.661279999999998</v>
      </c>
      <c r="D78" s="565">
        <v>33.661000000000001</v>
      </c>
      <c r="E78" s="564">
        <v>33.661000000000001</v>
      </c>
      <c r="F78" s="564">
        <v>16.953374999999994</v>
      </c>
      <c r="G78" s="564"/>
      <c r="H78" s="565"/>
      <c r="I78" s="565"/>
      <c r="J78" s="566"/>
      <c r="K78" s="564">
        <v>33.661279999999998</v>
      </c>
      <c r="L78" s="565">
        <v>33.661000000000001</v>
      </c>
      <c r="M78" s="564">
        <v>33.661000000000001</v>
      </c>
      <c r="N78" s="564">
        <v>16.953374999999994</v>
      </c>
      <c r="O78" s="564"/>
      <c r="P78" s="565"/>
      <c r="Q78" s="565"/>
      <c r="R78" s="566"/>
    </row>
    <row r="79" spans="2:18">
      <c r="B79" s="563">
        <v>84</v>
      </c>
      <c r="C79" s="564">
        <v>35.957599999999999</v>
      </c>
      <c r="D79" s="565">
        <v>35.957999999999998</v>
      </c>
      <c r="E79" s="564">
        <v>35.957999999999998</v>
      </c>
      <c r="F79" s="564">
        <v>18.283459999999991</v>
      </c>
      <c r="G79" s="564"/>
      <c r="H79" s="565"/>
      <c r="I79" s="565"/>
      <c r="J79" s="566"/>
      <c r="K79" s="564">
        <v>35.957599999999999</v>
      </c>
      <c r="L79" s="565">
        <v>35.957999999999998</v>
      </c>
      <c r="M79" s="564">
        <v>35.957999999999998</v>
      </c>
      <c r="N79" s="564">
        <v>18.283459999999991</v>
      </c>
      <c r="O79" s="564"/>
      <c r="P79" s="565"/>
      <c r="Q79" s="565"/>
      <c r="R79" s="566"/>
    </row>
    <row r="80" spans="2:18">
      <c r="B80" s="563">
        <v>85</v>
      </c>
      <c r="C80" s="564">
        <v>38.360399999999998</v>
      </c>
      <c r="D80" s="565">
        <v>38.36</v>
      </c>
      <c r="E80" s="564">
        <v>38.36</v>
      </c>
      <c r="F80" s="564">
        <v>19.681400000000011</v>
      </c>
      <c r="G80" s="564"/>
      <c r="H80" s="565"/>
      <c r="I80" s="565"/>
      <c r="J80" s="566"/>
      <c r="K80" s="564">
        <v>38.360399999999998</v>
      </c>
      <c r="L80" s="565">
        <v>38.36</v>
      </c>
      <c r="M80" s="564">
        <v>38.36</v>
      </c>
      <c r="N80" s="564">
        <v>19.681400000000011</v>
      </c>
      <c r="O80" s="564"/>
      <c r="P80" s="565"/>
      <c r="Q80" s="565"/>
      <c r="R80" s="566"/>
    </row>
    <row r="81" spans="2:18">
      <c r="B81" s="563">
        <v>86</v>
      </c>
      <c r="C81" s="564">
        <v>40.888800000000003</v>
      </c>
      <c r="D81" s="565">
        <v>40.889000000000003</v>
      </c>
      <c r="E81" s="564">
        <v>40.889000000000003</v>
      </c>
      <c r="F81" s="564">
        <v>19.681400000000011</v>
      </c>
      <c r="G81" s="564"/>
      <c r="H81" s="565"/>
      <c r="I81" s="565"/>
      <c r="J81" s="566"/>
      <c r="K81" s="564">
        <v>40.888800000000003</v>
      </c>
      <c r="L81" s="565">
        <v>40.889000000000003</v>
      </c>
      <c r="M81" s="564">
        <v>40.889000000000003</v>
      </c>
      <c r="N81" s="564">
        <v>19.681400000000011</v>
      </c>
      <c r="O81" s="564"/>
      <c r="P81" s="565"/>
      <c r="Q81" s="565"/>
      <c r="R81" s="566"/>
    </row>
    <row r="82" spans="2:18">
      <c r="B82" s="563">
        <v>87</v>
      </c>
      <c r="C82" s="564">
        <v>43.561840000000004</v>
      </c>
      <c r="D82" s="565">
        <v>43.561999999999998</v>
      </c>
      <c r="E82" s="564">
        <v>43.561999999999998</v>
      </c>
      <c r="F82" s="564">
        <v>19.681400000000011</v>
      </c>
      <c r="G82" s="564"/>
      <c r="H82" s="565"/>
      <c r="I82" s="565"/>
      <c r="J82" s="566"/>
      <c r="K82" s="564">
        <v>43.561840000000004</v>
      </c>
      <c r="L82" s="565">
        <v>43.561999999999998</v>
      </c>
      <c r="M82" s="564">
        <v>43.561999999999998</v>
      </c>
      <c r="N82" s="564">
        <v>19.681400000000011</v>
      </c>
      <c r="O82" s="564"/>
      <c r="P82" s="565"/>
      <c r="Q82" s="565"/>
      <c r="R82" s="566"/>
    </row>
    <row r="83" spans="2:18">
      <c r="B83" s="563">
        <v>88</v>
      </c>
      <c r="C83" s="564">
        <v>46.398559999999996</v>
      </c>
      <c r="D83" s="565">
        <v>46.399000000000001</v>
      </c>
      <c r="E83" s="564">
        <v>46.399000000000001</v>
      </c>
      <c r="F83" s="564">
        <v>19.681400000000011</v>
      </c>
      <c r="G83" s="564"/>
      <c r="H83" s="565"/>
      <c r="I83" s="565"/>
      <c r="J83" s="566"/>
      <c r="K83" s="564">
        <v>46.398559999999996</v>
      </c>
      <c r="L83" s="565">
        <v>46.399000000000001</v>
      </c>
      <c r="M83" s="564">
        <v>46.399000000000001</v>
      </c>
      <c r="N83" s="564">
        <v>19.681400000000011</v>
      </c>
      <c r="O83" s="564"/>
      <c r="P83" s="565"/>
      <c r="Q83" s="565"/>
      <c r="R83" s="566"/>
    </row>
    <row r="84" spans="2:18">
      <c r="B84" s="563">
        <v>89</v>
      </c>
      <c r="C84" s="564">
        <v>49.4176</v>
      </c>
      <c r="D84" s="565">
        <v>49.417999999999999</v>
      </c>
      <c r="E84" s="564">
        <v>49.417999999999999</v>
      </c>
      <c r="F84" s="564">
        <v>19.681400000000011</v>
      </c>
      <c r="G84" s="564"/>
      <c r="H84" s="565"/>
      <c r="I84" s="565"/>
      <c r="J84" s="566"/>
      <c r="K84" s="564">
        <v>49.4176</v>
      </c>
      <c r="L84" s="565">
        <v>49.417999999999999</v>
      </c>
      <c r="M84" s="564">
        <v>49.417999999999999</v>
      </c>
      <c r="N84" s="564">
        <v>19.681400000000011</v>
      </c>
      <c r="O84" s="564"/>
      <c r="P84" s="565"/>
      <c r="Q84" s="565"/>
      <c r="R84" s="566"/>
    </row>
    <row r="85" spans="2:18">
      <c r="B85" s="563">
        <v>90</v>
      </c>
      <c r="C85" s="564">
        <v>52.639200000000002</v>
      </c>
      <c r="D85" s="565">
        <v>52.639000000000003</v>
      </c>
      <c r="E85" s="564">
        <v>52.639000000000003</v>
      </c>
      <c r="F85" s="564">
        <v>19.681400000000011</v>
      </c>
      <c r="G85" s="564"/>
      <c r="H85" s="565"/>
      <c r="I85" s="565"/>
      <c r="J85" s="566"/>
      <c r="K85" s="564">
        <v>52.639200000000002</v>
      </c>
      <c r="L85" s="565">
        <v>52.639000000000003</v>
      </c>
      <c r="M85" s="564">
        <v>52.639000000000003</v>
      </c>
      <c r="N85" s="564">
        <v>19.681400000000011</v>
      </c>
      <c r="O85" s="564"/>
      <c r="P85" s="565"/>
      <c r="Q85" s="565"/>
      <c r="R85" s="566"/>
    </row>
    <row r="86" spans="2:18">
      <c r="B86" s="563">
        <v>91</v>
      </c>
      <c r="C86" s="564">
        <v>56.080799999999996</v>
      </c>
      <c r="D86" s="565">
        <v>56.081000000000003</v>
      </c>
      <c r="E86" s="564">
        <v>56.081000000000003</v>
      </c>
      <c r="F86" s="564">
        <v>19.681400000000011</v>
      </c>
      <c r="G86" s="564"/>
      <c r="H86" s="565"/>
      <c r="I86" s="565"/>
      <c r="J86" s="566"/>
      <c r="K86" s="564">
        <v>56.080799999999996</v>
      </c>
      <c r="L86" s="565">
        <v>56.081000000000003</v>
      </c>
      <c r="M86" s="564">
        <v>56.081000000000003</v>
      </c>
      <c r="N86" s="564">
        <v>19.681400000000011</v>
      </c>
      <c r="O86" s="564"/>
      <c r="P86" s="565"/>
      <c r="Q86" s="565"/>
      <c r="R86" s="566"/>
    </row>
    <row r="87" spans="2:18">
      <c r="B87" s="563">
        <v>92</v>
      </c>
      <c r="C87" s="564">
        <v>59.7624</v>
      </c>
      <c r="D87" s="565">
        <v>59.762</v>
      </c>
      <c r="E87" s="564">
        <v>59.762</v>
      </c>
      <c r="F87" s="564">
        <v>19.681400000000011</v>
      </c>
      <c r="G87" s="564"/>
      <c r="H87" s="565"/>
      <c r="I87" s="565"/>
      <c r="J87" s="566"/>
      <c r="K87" s="564">
        <v>59.7624</v>
      </c>
      <c r="L87" s="565">
        <v>59.762</v>
      </c>
      <c r="M87" s="564">
        <v>59.762</v>
      </c>
      <c r="N87" s="564">
        <v>19.681400000000011</v>
      </c>
      <c r="O87" s="564"/>
      <c r="P87" s="565"/>
      <c r="Q87" s="565"/>
      <c r="R87" s="566"/>
    </row>
    <row r="88" spans="2:18">
      <c r="B88" s="563">
        <v>93</v>
      </c>
      <c r="C88" s="564">
        <v>63.703200000000002</v>
      </c>
      <c r="D88" s="565">
        <v>63.703000000000003</v>
      </c>
      <c r="E88" s="564">
        <v>63.703000000000003</v>
      </c>
      <c r="F88" s="564">
        <v>19.681400000000011</v>
      </c>
      <c r="G88" s="564"/>
      <c r="H88" s="565"/>
      <c r="I88" s="565"/>
      <c r="J88" s="566"/>
      <c r="K88" s="564">
        <v>63.703200000000002</v>
      </c>
      <c r="L88" s="565">
        <v>63.703000000000003</v>
      </c>
      <c r="M88" s="564">
        <v>63.703000000000003</v>
      </c>
      <c r="N88" s="564">
        <v>19.681400000000011</v>
      </c>
      <c r="O88" s="564"/>
      <c r="P88" s="565"/>
      <c r="Q88" s="565"/>
      <c r="R88" s="566"/>
    </row>
    <row r="89" spans="2:18">
      <c r="B89" s="563">
        <v>94</v>
      </c>
      <c r="C89" s="564">
        <v>67.921599999999998</v>
      </c>
      <c r="D89" s="565">
        <v>67.921999999999997</v>
      </c>
      <c r="E89" s="564">
        <v>67.921999999999997</v>
      </c>
      <c r="F89" s="564">
        <v>19.681400000000011</v>
      </c>
      <c r="G89" s="564"/>
      <c r="H89" s="565"/>
      <c r="I89" s="565"/>
      <c r="J89" s="566"/>
      <c r="K89" s="564">
        <v>67.921599999999998</v>
      </c>
      <c r="L89" s="565">
        <v>67.921999999999997</v>
      </c>
      <c r="M89" s="564">
        <v>67.921999999999997</v>
      </c>
      <c r="N89" s="564">
        <v>19.681400000000011</v>
      </c>
      <c r="O89" s="564"/>
      <c r="P89" s="565"/>
      <c r="Q89" s="565"/>
      <c r="R89" s="566"/>
    </row>
    <row r="90" spans="2:18" ht="15.75" thickBot="1">
      <c r="B90" s="568">
        <v>95</v>
      </c>
      <c r="C90" s="569">
        <v>72.436799999999991</v>
      </c>
      <c r="D90" s="570">
        <v>72.436999999999998</v>
      </c>
      <c r="E90" s="569">
        <v>72.436999999999998</v>
      </c>
      <c r="F90" s="569">
        <v>19.681400000000011</v>
      </c>
      <c r="G90" s="569"/>
      <c r="H90" s="570"/>
      <c r="I90" s="570"/>
      <c r="J90" s="571"/>
      <c r="K90" s="569">
        <v>72.436799999999991</v>
      </c>
      <c r="L90" s="570">
        <v>72.436999999999998</v>
      </c>
      <c r="M90" s="569">
        <v>72.436999999999998</v>
      </c>
      <c r="N90" s="569">
        <v>19.681400000000011</v>
      </c>
      <c r="O90" s="569"/>
      <c r="P90" s="570"/>
      <c r="Q90" s="570"/>
      <c r="R90" s="571"/>
    </row>
    <row r="91" spans="2:18">
      <c r="B91" s="556"/>
      <c r="C91" s="564"/>
      <c r="D91" s="564"/>
      <c r="E91" s="565"/>
      <c r="F91" s="565"/>
      <c r="G91" s="572"/>
      <c r="H91" s="565"/>
      <c r="I91" s="565"/>
      <c r="J91" s="565"/>
      <c r="K91" s="564"/>
      <c r="L91" s="564"/>
      <c r="M91" s="565"/>
      <c r="N91" s="565"/>
      <c r="O91" s="572"/>
      <c r="P91" s="565"/>
      <c r="Q91" s="565"/>
      <c r="R91" s="566"/>
    </row>
    <row r="92" spans="2:18">
      <c r="B92" s="554"/>
      <c r="C92" s="222" t="str">
        <f>LE_DECLARE_TABLE("tAgeLE","",B93:R173)</f>
        <v>Declared table TAGELE</v>
      </c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573"/>
    </row>
    <row r="93" spans="2:18">
      <c r="B93" s="554"/>
      <c r="C93" s="931" t="s">
        <v>2844</v>
      </c>
      <c r="D93" s="931"/>
      <c r="E93" s="931"/>
      <c r="F93" s="931"/>
      <c r="G93" s="931"/>
      <c r="H93" s="931"/>
      <c r="I93" s="931"/>
      <c r="J93" s="931"/>
      <c r="K93" s="931"/>
      <c r="L93" s="931"/>
      <c r="M93" s="931"/>
      <c r="N93" s="931"/>
      <c r="O93" s="931"/>
      <c r="P93" s="931"/>
      <c r="Q93" s="931"/>
      <c r="R93" s="932"/>
    </row>
    <row r="94" spans="2:18">
      <c r="B94" s="554"/>
      <c r="C94" s="933" t="s">
        <v>870</v>
      </c>
      <c r="D94" s="933"/>
      <c r="E94" s="933"/>
      <c r="F94" s="933"/>
      <c r="G94" s="933"/>
      <c r="H94" s="933"/>
      <c r="I94" s="933"/>
      <c r="J94" s="934"/>
      <c r="K94" s="933" t="s">
        <v>2846</v>
      </c>
      <c r="L94" s="933"/>
      <c r="M94" s="933"/>
      <c r="N94" s="933"/>
      <c r="O94" s="933"/>
      <c r="P94" s="933"/>
      <c r="Q94" s="933"/>
      <c r="R94" s="574"/>
    </row>
    <row r="95" spans="2:18" s="555" customFormat="1" ht="15.75" thickBot="1">
      <c r="B95" s="554"/>
      <c r="C95" s="557">
        <v>1</v>
      </c>
      <c r="D95" s="557">
        <v>2</v>
      </c>
      <c r="E95" s="557">
        <v>3</v>
      </c>
      <c r="F95" s="557">
        <v>4</v>
      </c>
      <c r="G95" s="557">
        <v>5</v>
      </c>
      <c r="H95" s="557">
        <v>6</v>
      </c>
      <c r="I95" s="557">
        <v>7</v>
      </c>
      <c r="J95" s="558">
        <v>8</v>
      </c>
      <c r="K95" s="557">
        <v>1</v>
      </c>
      <c r="L95" s="557">
        <v>2</v>
      </c>
      <c r="M95" s="557">
        <v>3</v>
      </c>
      <c r="N95" s="557">
        <v>4</v>
      </c>
      <c r="O95" s="557">
        <v>5</v>
      </c>
      <c r="P95" s="557">
        <v>6</v>
      </c>
      <c r="Q95" s="557">
        <v>7</v>
      </c>
      <c r="R95" s="558">
        <v>8</v>
      </c>
    </row>
    <row r="96" spans="2:18">
      <c r="B96" s="559">
        <v>18</v>
      </c>
      <c r="C96" s="560">
        <v>42.4</v>
      </c>
      <c r="D96" s="561">
        <v>42.4</v>
      </c>
      <c r="E96" s="560">
        <v>42.4</v>
      </c>
      <c r="F96" s="560">
        <v>42.4</v>
      </c>
      <c r="G96" s="560"/>
      <c r="H96" s="561"/>
      <c r="I96" s="561"/>
      <c r="J96" s="562"/>
      <c r="K96" s="560">
        <v>42.4</v>
      </c>
      <c r="L96" s="561">
        <v>42.4</v>
      </c>
      <c r="M96" s="560">
        <v>42.4</v>
      </c>
      <c r="N96" s="560">
        <v>42.4</v>
      </c>
      <c r="O96" s="560"/>
      <c r="P96" s="561"/>
      <c r="Q96" s="561"/>
      <c r="R96" s="562"/>
    </row>
    <row r="97" spans="2:18">
      <c r="B97" s="563">
        <v>19</v>
      </c>
      <c r="C97" s="564">
        <v>39.06666666666667</v>
      </c>
      <c r="D97" s="565">
        <v>39.067</v>
      </c>
      <c r="E97" s="564">
        <v>39.067</v>
      </c>
      <c r="F97" s="564">
        <v>39.067</v>
      </c>
      <c r="G97" s="564"/>
      <c r="H97" s="565"/>
      <c r="I97" s="565"/>
      <c r="J97" s="566"/>
      <c r="K97" s="564">
        <v>39.06666666666667</v>
      </c>
      <c r="L97" s="565">
        <v>39.067</v>
      </c>
      <c r="M97" s="564">
        <v>39.067</v>
      </c>
      <c r="N97" s="564">
        <v>39.067</v>
      </c>
      <c r="O97" s="564"/>
      <c r="P97" s="565"/>
      <c r="Q97" s="565"/>
      <c r="R97" s="566"/>
    </row>
    <row r="98" spans="2:18">
      <c r="B98" s="563">
        <v>20</v>
      </c>
      <c r="C98" s="564">
        <v>32.4</v>
      </c>
      <c r="D98" s="565">
        <v>32.4</v>
      </c>
      <c r="E98" s="564">
        <v>32.4</v>
      </c>
      <c r="F98" s="564">
        <v>32.4</v>
      </c>
      <c r="G98" s="564"/>
      <c r="H98" s="565"/>
      <c r="I98" s="565"/>
      <c r="J98" s="566"/>
      <c r="K98" s="564">
        <v>32.4</v>
      </c>
      <c r="L98" s="565">
        <v>32.4</v>
      </c>
      <c r="M98" s="564">
        <v>32.4</v>
      </c>
      <c r="N98" s="564">
        <v>32.4</v>
      </c>
      <c r="O98" s="564"/>
      <c r="P98" s="565"/>
      <c r="Q98" s="565"/>
      <c r="R98" s="566"/>
    </row>
    <row r="99" spans="2:18">
      <c r="B99" s="563">
        <v>21</v>
      </c>
      <c r="C99" s="564">
        <v>25.733333333333338</v>
      </c>
      <c r="D99" s="565">
        <v>25.733000000000001</v>
      </c>
      <c r="E99" s="564">
        <v>25.733000000000001</v>
      </c>
      <c r="F99" s="564">
        <v>25.733000000000001</v>
      </c>
      <c r="G99" s="564"/>
      <c r="H99" s="565"/>
      <c r="I99" s="565"/>
      <c r="J99" s="566"/>
      <c r="K99" s="564">
        <v>25.733333333333338</v>
      </c>
      <c r="L99" s="565">
        <v>25.733000000000001</v>
      </c>
      <c r="M99" s="564">
        <v>25.733000000000001</v>
      </c>
      <c r="N99" s="564">
        <v>25.733000000000001</v>
      </c>
      <c r="O99" s="564"/>
      <c r="P99" s="565"/>
      <c r="Q99" s="565"/>
      <c r="R99" s="566"/>
    </row>
    <row r="100" spans="2:18">
      <c r="B100" s="563">
        <v>22</v>
      </c>
      <c r="C100" s="564">
        <v>19.066666666666666</v>
      </c>
      <c r="D100" s="565">
        <v>19.067</v>
      </c>
      <c r="E100" s="564">
        <v>19.067</v>
      </c>
      <c r="F100" s="564">
        <v>19.067</v>
      </c>
      <c r="G100" s="564"/>
      <c r="H100" s="565"/>
      <c r="I100" s="565"/>
      <c r="J100" s="566"/>
      <c r="K100" s="564">
        <v>19.066666666666666</v>
      </c>
      <c r="L100" s="565">
        <v>19.067</v>
      </c>
      <c r="M100" s="564">
        <v>19.067</v>
      </c>
      <c r="N100" s="564">
        <v>19.067</v>
      </c>
      <c r="O100" s="564"/>
      <c r="P100" s="565"/>
      <c r="Q100" s="565"/>
      <c r="R100" s="566"/>
    </row>
    <row r="101" spans="2:18">
      <c r="B101" s="563">
        <v>23</v>
      </c>
      <c r="C101" s="564">
        <v>12.4</v>
      </c>
      <c r="D101" s="565">
        <v>12.4</v>
      </c>
      <c r="E101" s="564">
        <v>12.4</v>
      </c>
      <c r="F101" s="564">
        <v>12.4</v>
      </c>
      <c r="G101" s="564"/>
      <c r="H101" s="565"/>
      <c r="I101" s="565"/>
      <c r="J101" s="566"/>
      <c r="K101" s="564">
        <v>12.4</v>
      </c>
      <c r="L101" s="565">
        <v>12.4</v>
      </c>
      <c r="M101" s="564">
        <v>12.4</v>
      </c>
      <c r="N101" s="564">
        <v>12.4</v>
      </c>
      <c r="O101" s="564"/>
      <c r="P101" s="565"/>
      <c r="Q101" s="565"/>
      <c r="R101" s="566"/>
    </row>
    <row r="102" spans="2:18">
      <c r="B102" s="563">
        <v>24</v>
      </c>
      <c r="C102" s="564">
        <v>9.7333333333333325</v>
      </c>
      <c r="D102" s="565">
        <v>9.7330000000000005</v>
      </c>
      <c r="E102" s="564">
        <v>9.7330000000000005</v>
      </c>
      <c r="F102" s="564">
        <v>9.7330000000000005</v>
      </c>
      <c r="G102" s="564"/>
      <c r="H102" s="565"/>
      <c r="I102" s="565"/>
      <c r="J102" s="566"/>
      <c r="K102" s="564">
        <v>9.7333333333333325</v>
      </c>
      <c r="L102" s="565">
        <v>9.7330000000000005</v>
      </c>
      <c r="M102" s="564">
        <v>9.7330000000000005</v>
      </c>
      <c r="N102" s="564">
        <v>9.7330000000000005</v>
      </c>
      <c r="O102" s="564"/>
      <c r="P102" s="565"/>
      <c r="Q102" s="565"/>
      <c r="R102" s="566"/>
    </row>
    <row r="103" spans="2:18">
      <c r="B103" s="563">
        <v>25</v>
      </c>
      <c r="C103" s="564">
        <v>7.542133333333334</v>
      </c>
      <c r="D103" s="565">
        <v>7.5419999999999998</v>
      </c>
      <c r="E103" s="564">
        <v>7.5419999999999998</v>
      </c>
      <c r="F103" s="564">
        <v>7.5419999999999998</v>
      </c>
      <c r="G103" s="564"/>
      <c r="H103" s="565"/>
      <c r="I103" s="565"/>
      <c r="J103" s="566"/>
      <c r="K103" s="564">
        <v>7.542133333333334</v>
      </c>
      <c r="L103" s="565">
        <v>7.5419999999999998</v>
      </c>
      <c r="M103" s="564">
        <v>7.5419999999999998</v>
      </c>
      <c r="N103" s="564">
        <v>7.5419999999999998</v>
      </c>
      <c r="O103" s="564"/>
      <c r="P103" s="565"/>
      <c r="Q103" s="565"/>
      <c r="R103" s="566"/>
    </row>
    <row r="104" spans="2:18">
      <c r="B104" s="563">
        <v>26</v>
      </c>
      <c r="C104" s="564">
        <v>6.6505333333333336</v>
      </c>
      <c r="D104" s="565">
        <v>6.6509999999999998</v>
      </c>
      <c r="E104" s="564">
        <v>6.6509999999999998</v>
      </c>
      <c r="F104" s="564">
        <v>6.6509999999999998</v>
      </c>
      <c r="G104" s="564"/>
      <c r="H104" s="565"/>
      <c r="I104" s="565"/>
      <c r="J104" s="566"/>
      <c r="K104" s="564">
        <v>6.6505333333333336</v>
      </c>
      <c r="L104" s="565">
        <v>6.6509999999999998</v>
      </c>
      <c r="M104" s="564">
        <v>6.6509999999999998</v>
      </c>
      <c r="N104" s="564">
        <v>6.6509999999999998</v>
      </c>
      <c r="O104" s="564"/>
      <c r="P104" s="565"/>
      <c r="Q104" s="565"/>
      <c r="R104" s="566"/>
    </row>
    <row r="105" spans="2:18">
      <c r="B105" s="563">
        <v>27</v>
      </c>
      <c r="C105" s="564">
        <v>5.6652000000000005</v>
      </c>
      <c r="D105" s="565">
        <v>5.665</v>
      </c>
      <c r="E105" s="564">
        <v>5.665</v>
      </c>
      <c r="F105" s="564">
        <v>5.665</v>
      </c>
      <c r="G105" s="564"/>
      <c r="H105" s="565"/>
      <c r="I105" s="565"/>
      <c r="J105" s="566"/>
      <c r="K105" s="564">
        <v>5.6652000000000005</v>
      </c>
      <c r="L105" s="565">
        <v>5.665</v>
      </c>
      <c r="M105" s="564">
        <v>5.665</v>
      </c>
      <c r="N105" s="564">
        <v>5.665</v>
      </c>
      <c r="O105" s="564"/>
      <c r="P105" s="565"/>
      <c r="Q105" s="565"/>
      <c r="R105" s="566"/>
    </row>
    <row r="106" spans="2:18">
      <c r="B106" s="563">
        <v>28</v>
      </c>
      <c r="C106" s="564">
        <v>4.8006666666666664</v>
      </c>
      <c r="D106" s="565">
        <v>4.8010000000000002</v>
      </c>
      <c r="E106" s="564">
        <v>4.8010000000000002</v>
      </c>
      <c r="F106" s="564">
        <v>4.8010000000000002</v>
      </c>
      <c r="G106" s="564"/>
      <c r="H106" s="565"/>
      <c r="I106" s="565"/>
      <c r="J106" s="566"/>
      <c r="K106" s="564">
        <v>4.8006666666666664</v>
      </c>
      <c r="L106" s="565">
        <v>4.8010000000000002</v>
      </c>
      <c r="M106" s="564">
        <v>4.8010000000000002</v>
      </c>
      <c r="N106" s="564">
        <v>4.8010000000000002</v>
      </c>
      <c r="O106" s="564"/>
      <c r="P106" s="565"/>
      <c r="Q106" s="565"/>
      <c r="R106" s="566"/>
    </row>
    <row r="107" spans="2:18">
      <c r="B107" s="563">
        <v>29</v>
      </c>
      <c r="C107" s="564">
        <v>4.2214666666666671</v>
      </c>
      <c r="D107" s="565">
        <v>4.2210000000000001</v>
      </c>
      <c r="E107" s="564">
        <v>4.2210000000000001</v>
      </c>
      <c r="F107" s="564">
        <v>4.2210000000000001</v>
      </c>
      <c r="G107" s="564"/>
      <c r="H107" s="565"/>
      <c r="I107" s="565"/>
      <c r="J107" s="566"/>
      <c r="K107" s="564">
        <v>4.2214666666666671</v>
      </c>
      <c r="L107" s="565">
        <v>4.2210000000000001</v>
      </c>
      <c r="M107" s="564">
        <v>4.2210000000000001</v>
      </c>
      <c r="N107" s="564">
        <v>4.2210000000000001</v>
      </c>
      <c r="O107" s="564"/>
      <c r="P107" s="565"/>
      <c r="Q107" s="565"/>
      <c r="R107" s="566"/>
    </row>
    <row r="108" spans="2:18">
      <c r="B108" s="563">
        <v>30</v>
      </c>
      <c r="C108" s="564">
        <v>3.8925333333333336</v>
      </c>
      <c r="D108" s="565">
        <v>3.8929999999999998</v>
      </c>
      <c r="E108" s="564">
        <v>3.8929999999999998</v>
      </c>
      <c r="F108" s="564">
        <v>3.8929999999999998</v>
      </c>
      <c r="G108" s="564"/>
      <c r="H108" s="565"/>
      <c r="I108" s="565"/>
      <c r="J108" s="566"/>
      <c r="K108" s="564">
        <v>3.8925333333333336</v>
      </c>
      <c r="L108" s="565">
        <v>3.8929999999999998</v>
      </c>
      <c r="M108" s="564">
        <v>3.8929999999999998</v>
      </c>
      <c r="N108" s="564">
        <v>3.8929999999999998</v>
      </c>
      <c r="O108" s="564"/>
      <c r="P108" s="565"/>
      <c r="Q108" s="565"/>
      <c r="R108" s="566"/>
    </row>
    <row r="109" spans="2:18">
      <c r="B109" s="563">
        <v>31</v>
      </c>
      <c r="C109" s="564">
        <v>3.5955733333333333</v>
      </c>
      <c r="D109" s="565">
        <v>3.5960000000000001</v>
      </c>
      <c r="E109" s="564">
        <v>3.5960000000000001</v>
      </c>
      <c r="F109" s="564">
        <v>3.5960000000000001</v>
      </c>
      <c r="G109" s="564"/>
      <c r="H109" s="565"/>
      <c r="I109" s="565"/>
      <c r="J109" s="566"/>
      <c r="K109" s="564">
        <v>3.5955733333333333</v>
      </c>
      <c r="L109" s="565">
        <v>3.5960000000000001</v>
      </c>
      <c r="M109" s="564">
        <v>3.5960000000000001</v>
      </c>
      <c r="N109" s="564">
        <v>3.5960000000000001</v>
      </c>
      <c r="O109" s="564"/>
      <c r="P109" s="565"/>
      <c r="Q109" s="565"/>
      <c r="R109" s="566"/>
    </row>
    <row r="110" spans="2:18">
      <c r="B110" s="563">
        <v>32</v>
      </c>
      <c r="C110" s="564">
        <v>3.4056666666666664</v>
      </c>
      <c r="D110" s="565">
        <v>3.4060000000000001</v>
      </c>
      <c r="E110" s="564">
        <v>3.4060000000000001</v>
      </c>
      <c r="F110" s="564">
        <v>3.4060000000000001</v>
      </c>
      <c r="G110" s="564"/>
      <c r="H110" s="565"/>
      <c r="I110" s="565"/>
      <c r="J110" s="566"/>
      <c r="K110" s="564">
        <v>3.4056666666666664</v>
      </c>
      <c r="L110" s="565">
        <v>3.4060000000000001</v>
      </c>
      <c r="M110" s="564">
        <v>3.4060000000000001</v>
      </c>
      <c r="N110" s="564">
        <v>3.4060000000000001</v>
      </c>
      <c r="O110" s="564"/>
      <c r="P110" s="565"/>
      <c r="Q110" s="565"/>
      <c r="R110" s="566"/>
    </row>
    <row r="111" spans="2:18">
      <c r="B111" s="563">
        <v>33</v>
      </c>
      <c r="C111" s="564">
        <v>3.2911999999999999</v>
      </c>
      <c r="D111" s="565">
        <v>3.2909999999999999</v>
      </c>
      <c r="E111" s="564">
        <v>3.2909999999999999</v>
      </c>
      <c r="F111" s="564">
        <v>3.2909999999999999</v>
      </c>
      <c r="G111" s="564"/>
      <c r="H111" s="565"/>
      <c r="I111" s="565"/>
      <c r="J111" s="566"/>
      <c r="K111" s="564">
        <v>3.2911999999999999</v>
      </c>
      <c r="L111" s="565">
        <v>3.2909999999999999</v>
      </c>
      <c r="M111" s="564">
        <v>3.2909999999999999</v>
      </c>
      <c r="N111" s="564">
        <v>3.2909999999999999</v>
      </c>
      <c r="O111" s="564"/>
      <c r="P111" s="565"/>
      <c r="Q111" s="565"/>
      <c r="R111" s="566"/>
    </row>
    <row r="112" spans="2:18">
      <c r="B112" s="563">
        <v>34</v>
      </c>
      <c r="C112" s="564">
        <v>3.06704</v>
      </c>
      <c r="D112" s="565">
        <v>3.0670000000000002</v>
      </c>
      <c r="E112" s="564">
        <v>3.0670000000000002</v>
      </c>
      <c r="F112" s="564">
        <v>3.0670000000000002</v>
      </c>
      <c r="G112" s="564"/>
      <c r="H112" s="565"/>
      <c r="I112" s="565"/>
      <c r="J112" s="566"/>
      <c r="K112" s="564">
        <v>3.06704</v>
      </c>
      <c r="L112" s="565">
        <v>3.0670000000000002</v>
      </c>
      <c r="M112" s="564">
        <v>3.0670000000000002</v>
      </c>
      <c r="N112" s="564">
        <v>3.0670000000000002</v>
      </c>
      <c r="O112" s="564"/>
      <c r="P112" s="565"/>
      <c r="Q112" s="565"/>
      <c r="R112" s="566"/>
    </row>
    <row r="113" spans="2:18">
      <c r="B113" s="563">
        <v>35</v>
      </c>
      <c r="C113" s="564">
        <v>2.7871600000000001</v>
      </c>
      <c r="D113" s="565">
        <v>2.7869999999999999</v>
      </c>
      <c r="E113" s="564">
        <v>2.7869999999999999</v>
      </c>
      <c r="F113" s="564">
        <v>2.7869999999999999</v>
      </c>
      <c r="G113" s="564"/>
      <c r="H113" s="565"/>
      <c r="I113" s="565"/>
      <c r="J113" s="566"/>
      <c r="K113" s="564">
        <v>2.7871600000000001</v>
      </c>
      <c r="L113" s="565">
        <v>2.7869999999999999</v>
      </c>
      <c r="M113" s="564">
        <v>2.7869999999999999</v>
      </c>
      <c r="N113" s="564">
        <v>2.7869999999999999</v>
      </c>
      <c r="O113" s="564"/>
      <c r="P113" s="565"/>
      <c r="Q113" s="565"/>
      <c r="R113" s="566"/>
    </row>
    <row r="114" spans="2:18">
      <c r="B114" s="563">
        <v>36</v>
      </c>
      <c r="C114" s="564">
        <v>2.4852933333333334</v>
      </c>
      <c r="D114" s="565">
        <v>2.4849999999999999</v>
      </c>
      <c r="E114" s="564">
        <v>2.4849999999999999</v>
      </c>
      <c r="F114" s="564">
        <v>2.4849999999999999</v>
      </c>
      <c r="G114" s="564"/>
      <c r="H114" s="565"/>
      <c r="I114" s="565"/>
      <c r="J114" s="566"/>
      <c r="K114" s="564">
        <v>2.4852933333333334</v>
      </c>
      <c r="L114" s="565">
        <v>2.4849999999999999</v>
      </c>
      <c r="M114" s="564">
        <v>2.4849999999999999</v>
      </c>
      <c r="N114" s="564">
        <v>2.4849999999999999</v>
      </c>
      <c r="O114" s="564"/>
      <c r="P114" s="565"/>
      <c r="Q114" s="565"/>
      <c r="R114" s="566"/>
    </row>
    <row r="115" spans="2:18">
      <c r="B115" s="563">
        <v>37</v>
      </c>
      <c r="C115" s="564">
        <v>2.1952266666666667</v>
      </c>
      <c r="D115" s="565">
        <v>2.1949999999999998</v>
      </c>
      <c r="E115" s="564">
        <v>2.1949999999999998</v>
      </c>
      <c r="F115" s="564">
        <v>2.1949999999999998</v>
      </c>
      <c r="G115" s="564"/>
      <c r="H115" s="565"/>
      <c r="I115" s="565"/>
      <c r="J115" s="566"/>
      <c r="K115" s="564">
        <v>2.1952266666666667</v>
      </c>
      <c r="L115" s="565">
        <v>2.1949999999999998</v>
      </c>
      <c r="M115" s="564">
        <v>2.1949999999999998</v>
      </c>
      <c r="N115" s="564">
        <v>2.1949999999999998</v>
      </c>
      <c r="O115" s="564"/>
      <c r="P115" s="565"/>
      <c r="Q115" s="565"/>
      <c r="R115" s="566"/>
    </row>
    <row r="116" spans="2:18">
      <c r="B116" s="563">
        <v>38</v>
      </c>
      <c r="C116" s="564">
        <v>1.9507066666666666</v>
      </c>
      <c r="D116" s="565">
        <v>1.9510000000000001</v>
      </c>
      <c r="E116" s="564">
        <v>1.9510000000000001</v>
      </c>
      <c r="F116" s="564">
        <v>1.9510000000000001</v>
      </c>
      <c r="G116" s="564"/>
      <c r="H116" s="565"/>
      <c r="I116" s="565"/>
      <c r="J116" s="566"/>
      <c r="K116" s="564">
        <v>1.9507066666666666</v>
      </c>
      <c r="L116" s="565">
        <v>1.9510000000000001</v>
      </c>
      <c r="M116" s="564">
        <v>1.9510000000000001</v>
      </c>
      <c r="N116" s="564">
        <v>1.9510000000000001</v>
      </c>
      <c r="O116" s="564"/>
      <c r="P116" s="565"/>
      <c r="Q116" s="565"/>
      <c r="R116" s="566"/>
    </row>
    <row r="117" spans="2:18">
      <c r="B117" s="563">
        <v>39</v>
      </c>
      <c r="C117" s="564">
        <v>1.7771640000000002</v>
      </c>
      <c r="D117" s="565">
        <v>1.7769999999999999</v>
      </c>
      <c r="E117" s="564">
        <v>1.7769999999999999</v>
      </c>
      <c r="F117" s="564">
        <v>1.7769999999999999</v>
      </c>
      <c r="G117" s="564"/>
      <c r="H117" s="565"/>
      <c r="I117" s="565"/>
      <c r="J117" s="566"/>
      <c r="K117" s="564">
        <v>1.7771640000000002</v>
      </c>
      <c r="L117" s="565">
        <v>1.7769999999999999</v>
      </c>
      <c r="M117" s="564">
        <v>1.7769999999999999</v>
      </c>
      <c r="N117" s="564">
        <v>1.7769999999999999</v>
      </c>
      <c r="O117" s="564"/>
      <c r="P117" s="565"/>
      <c r="Q117" s="565"/>
      <c r="R117" s="566"/>
    </row>
    <row r="118" spans="2:18">
      <c r="B118" s="563">
        <v>40</v>
      </c>
      <c r="C118" s="564">
        <v>1.6666666666666667</v>
      </c>
      <c r="D118" s="565">
        <v>1.667</v>
      </c>
      <c r="E118" s="564">
        <v>1.667</v>
      </c>
      <c r="F118" s="564">
        <v>1.667</v>
      </c>
      <c r="G118" s="564"/>
      <c r="H118" s="565"/>
      <c r="I118" s="565"/>
      <c r="J118" s="566"/>
      <c r="K118" s="564">
        <v>1.6666666666666667</v>
      </c>
      <c r="L118" s="565">
        <v>1.667</v>
      </c>
      <c r="M118" s="564">
        <v>1.667</v>
      </c>
      <c r="N118" s="564">
        <v>1.667</v>
      </c>
      <c r="O118" s="564"/>
      <c r="P118" s="565"/>
      <c r="Q118" s="565"/>
      <c r="R118" s="566"/>
    </row>
    <row r="119" spans="2:18">
      <c r="B119" s="563">
        <v>41</v>
      </c>
      <c r="C119" s="564">
        <v>1.6029626666666665</v>
      </c>
      <c r="D119" s="565">
        <v>1.603</v>
      </c>
      <c r="E119" s="564">
        <v>1.603</v>
      </c>
      <c r="F119" s="564">
        <v>1.603</v>
      </c>
      <c r="G119" s="564"/>
      <c r="H119" s="565"/>
      <c r="I119" s="565"/>
      <c r="J119" s="566"/>
      <c r="K119" s="564">
        <v>1.6029626666666665</v>
      </c>
      <c r="L119" s="565">
        <v>1.603</v>
      </c>
      <c r="M119" s="564">
        <v>1.603</v>
      </c>
      <c r="N119" s="564">
        <v>1.603</v>
      </c>
      <c r="O119" s="564"/>
      <c r="P119" s="565"/>
      <c r="Q119" s="565"/>
      <c r="R119" s="566"/>
    </row>
    <row r="120" spans="2:18">
      <c r="B120" s="563">
        <v>42</v>
      </c>
      <c r="C120" s="564">
        <v>1.4364626666666667</v>
      </c>
      <c r="D120" s="565">
        <v>1.4359999999999999</v>
      </c>
      <c r="E120" s="564">
        <v>1.4359999999999999</v>
      </c>
      <c r="F120" s="564">
        <v>1.4359999999999999</v>
      </c>
      <c r="G120" s="564"/>
      <c r="H120" s="565"/>
      <c r="I120" s="565"/>
      <c r="J120" s="566"/>
      <c r="K120" s="564">
        <v>1.4364626666666667</v>
      </c>
      <c r="L120" s="565">
        <v>1.4359999999999999</v>
      </c>
      <c r="M120" s="564">
        <v>1.4359999999999999</v>
      </c>
      <c r="N120" s="564">
        <v>1.4359999999999999</v>
      </c>
      <c r="O120" s="564"/>
      <c r="P120" s="565"/>
      <c r="Q120" s="565"/>
      <c r="R120" s="566"/>
    </row>
    <row r="121" spans="2:18">
      <c r="B121" s="563">
        <v>43</v>
      </c>
      <c r="C121" s="564">
        <v>1.3509106666666666</v>
      </c>
      <c r="D121" s="565">
        <v>1.351</v>
      </c>
      <c r="E121" s="564">
        <v>1.351</v>
      </c>
      <c r="F121" s="564">
        <v>1.351</v>
      </c>
      <c r="G121" s="564"/>
      <c r="H121" s="565"/>
      <c r="I121" s="565"/>
      <c r="J121" s="566"/>
      <c r="K121" s="564">
        <v>1.3509106666666666</v>
      </c>
      <c r="L121" s="565">
        <v>1.351</v>
      </c>
      <c r="M121" s="564">
        <v>1.351</v>
      </c>
      <c r="N121" s="564">
        <v>1.351</v>
      </c>
      <c r="O121" s="564"/>
      <c r="P121" s="565"/>
      <c r="Q121" s="565"/>
      <c r="R121" s="566"/>
    </row>
    <row r="122" spans="2:18">
      <c r="B122" s="563">
        <v>44</v>
      </c>
      <c r="C122" s="564">
        <v>1.2633839999999998</v>
      </c>
      <c r="D122" s="565">
        <v>1.2629999999999999</v>
      </c>
      <c r="E122" s="564">
        <v>1.2629999999999999</v>
      </c>
      <c r="F122" s="564">
        <v>1.2629999999999999</v>
      </c>
      <c r="G122" s="564"/>
      <c r="H122" s="565"/>
      <c r="I122" s="565"/>
      <c r="J122" s="566"/>
      <c r="K122" s="564">
        <v>1.2633839999999998</v>
      </c>
      <c r="L122" s="565">
        <v>1.2629999999999999</v>
      </c>
      <c r="M122" s="564">
        <v>1.2629999999999999</v>
      </c>
      <c r="N122" s="564">
        <v>1.2629999999999999</v>
      </c>
      <c r="O122" s="564"/>
      <c r="P122" s="565"/>
      <c r="Q122" s="565"/>
      <c r="R122" s="566"/>
    </row>
    <row r="123" spans="2:18">
      <c r="B123" s="563">
        <v>45</v>
      </c>
      <c r="C123" s="564">
        <v>1.1576266666666668</v>
      </c>
      <c r="D123" s="565">
        <v>1.1579999999999999</v>
      </c>
      <c r="E123" s="564">
        <v>1.1579999999999999</v>
      </c>
      <c r="F123" s="564">
        <v>1.1579999999999999</v>
      </c>
      <c r="G123" s="564"/>
      <c r="H123" s="565"/>
      <c r="I123" s="565"/>
      <c r="J123" s="566"/>
      <c r="K123" s="564">
        <v>1.1576266666666668</v>
      </c>
      <c r="L123" s="565">
        <v>1.1579999999999999</v>
      </c>
      <c r="M123" s="564">
        <v>1.1579999999999999</v>
      </c>
      <c r="N123" s="564">
        <v>1.1579999999999999</v>
      </c>
      <c r="O123" s="564"/>
      <c r="P123" s="565"/>
      <c r="Q123" s="565"/>
      <c r="R123" s="566"/>
    </row>
    <row r="124" spans="2:18">
      <c r="B124" s="563">
        <v>46</v>
      </c>
      <c r="C124" s="564">
        <v>1.0173733333333332</v>
      </c>
      <c r="D124" s="565">
        <v>1.0169999999999999</v>
      </c>
      <c r="E124" s="564">
        <v>1.0169999999999999</v>
      </c>
      <c r="F124" s="564">
        <v>1.0169999999999999</v>
      </c>
      <c r="G124" s="564"/>
      <c r="H124" s="565"/>
      <c r="I124" s="565"/>
      <c r="J124" s="566"/>
      <c r="K124" s="564">
        <v>1.0173733333333332</v>
      </c>
      <c r="L124" s="565">
        <v>1.0169999999999999</v>
      </c>
      <c r="M124" s="564">
        <v>1.0169999999999999</v>
      </c>
      <c r="N124" s="564">
        <v>1.0169999999999999</v>
      </c>
      <c r="O124" s="564"/>
      <c r="P124" s="565"/>
      <c r="Q124" s="565"/>
      <c r="R124" s="566"/>
    </row>
    <row r="125" spans="2:18">
      <c r="B125" s="563">
        <v>47</v>
      </c>
      <c r="C125" s="564">
        <v>0.83063599999999993</v>
      </c>
      <c r="D125" s="565">
        <v>0.83099999999999996</v>
      </c>
      <c r="E125" s="564">
        <v>0.83099999999999996</v>
      </c>
      <c r="F125" s="564">
        <v>0.83099999999999996</v>
      </c>
      <c r="G125" s="564"/>
      <c r="H125" s="565"/>
      <c r="I125" s="565"/>
      <c r="J125" s="566"/>
      <c r="K125" s="564">
        <v>0.83063599999999993</v>
      </c>
      <c r="L125" s="565">
        <v>0.83099999999999996</v>
      </c>
      <c r="M125" s="564">
        <v>0.83099999999999996</v>
      </c>
      <c r="N125" s="564">
        <v>0.83099999999999996</v>
      </c>
      <c r="O125" s="564"/>
      <c r="P125" s="565"/>
      <c r="Q125" s="565"/>
      <c r="R125" s="566"/>
    </row>
    <row r="126" spans="2:18">
      <c r="B126" s="563">
        <v>48</v>
      </c>
      <c r="C126" s="564">
        <v>0.60237786666666682</v>
      </c>
      <c r="D126" s="565">
        <v>0.60199999999999998</v>
      </c>
      <c r="E126" s="564">
        <v>0.60199999999999998</v>
      </c>
      <c r="F126" s="564">
        <v>0.60199999999999998</v>
      </c>
      <c r="G126" s="564"/>
      <c r="H126" s="565"/>
      <c r="I126" s="565"/>
      <c r="J126" s="566"/>
      <c r="K126" s="564">
        <v>0.60237786666666682</v>
      </c>
      <c r="L126" s="565">
        <v>0.60199999999999998</v>
      </c>
      <c r="M126" s="564">
        <v>0.60199999999999998</v>
      </c>
      <c r="N126" s="564">
        <v>0.60199999999999998</v>
      </c>
      <c r="O126" s="564"/>
      <c r="P126" s="565"/>
      <c r="Q126" s="565"/>
      <c r="R126" s="566"/>
    </row>
    <row r="127" spans="2:18">
      <c r="B127" s="563">
        <v>49</v>
      </c>
      <c r="C127" s="564">
        <v>0.34183333333333332</v>
      </c>
      <c r="D127" s="565">
        <v>0.34200000000000003</v>
      </c>
      <c r="E127" s="564">
        <v>0.34200000000000003</v>
      </c>
      <c r="F127" s="564">
        <v>0.34200000000000003</v>
      </c>
      <c r="G127" s="564"/>
      <c r="H127" s="565"/>
      <c r="I127" s="565"/>
      <c r="J127" s="566"/>
      <c r="K127" s="564">
        <v>0.34183333333333332</v>
      </c>
      <c r="L127" s="565">
        <v>0.34200000000000003</v>
      </c>
      <c r="M127" s="564">
        <v>0.34200000000000003</v>
      </c>
      <c r="N127" s="564">
        <v>0.34200000000000003</v>
      </c>
      <c r="O127" s="564"/>
      <c r="P127" s="565"/>
      <c r="Q127" s="565"/>
      <c r="R127" s="566"/>
    </row>
    <row r="128" spans="2:18">
      <c r="B128" s="563">
        <v>50</v>
      </c>
      <c r="C128" s="564">
        <v>0.19156000000000012</v>
      </c>
      <c r="D128" s="565">
        <v>0.192</v>
      </c>
      <c r="E128" s="564">
        <v>0.192</v>
      </c>
      <c r="F128" s="564">
        <v>0.192</v>
      </c>
      <c r="G128" s="564"/>
      <c r="H128" s="565"/>
      <c r="I128" s="565"/>
      <c r="J128" s="566"/>
      <c r="K128" s="564">
        <v>0.19156000000000012</v>
      </c>
      <c r="L128" s="565">
        <v>0.192</v>
      </c>
      <c r="M128" s="564">
        <v>0.192</v>
      </c>
      <c r="N128" s="564">
        <v>0.192</v>
      </c>
      <c r="O128" s="564"/>
      <c r="P128" s="565"/>
      <c r="Q128" s="565"/>
      <c r="R128" s="566"/>
    </row>
    <row r="129" spans="2:18">
      <c r="B129" s="563">
        <v>51</v>
      </c>
      <c r="C129" s="564">
        <v>2.7466666666666483E-2</v>
      </c>
      <c r="D129" s="565">
        <v>2.7E-2</v>
      </c>
      <c r="E129" s="564">
        <v>2.7E-2</v>
      </c>
      <c r="F129" s="564">
        <v>2.7E-2</v>
      </c>
      <c r="G129" s="564"/>
      <c r="H129" s="565"/>
      <c r="I129" s="565"/>
      <c r="J129" s="566"/>
      <c r="K129" s="564">
        <v>2.7466666666666483E-2</v>
      </c>
      <c r="L129" s="565">
        <v>2.7E-2</v>
      </c>
      <c r="M129" s="564">
        <v>2.7E-2</v>
      </c>
      <c r="N129" s="564">
        <v>2.7E-2</v>
      </c>
      <c r="O129" s="564"/>
      <c r="P129" s="565"/>
      <c r="Q129" s="565"/>
      <c r="R129" s="566"/>
    </row>
    <row r="130" spans="2:18">
      <c r="B130" s="563">
        <v>52</v>
      </c>
      <c r="C130" s="564">
        <v>-0.14124000000000017</v>
      </c>
      <c r="D130" s="565">
        <v>-0.14099999999999999</v>
      </c>
      <c r="E130" s="564">
        <v>-0.14099999999999999</v>
      </c>
      <c r="F130" s="564">
        <v>-0.14099999999999999</v>
      </c>
      <c r="G130" s="564"/>
      <c r="H130" s="565"/>
      <c r="I130" s="565"/>
      <c r="J130" s="566"/>
      <c r="K130" s="564">
        <v>-0.14124000000000017</v>
      </c>
      <c r="L130" s="565">
        <v>-0.14099999999999999</v>
      </c>
      <c r="M130" s="564">
        <v>-0.14099999999999999</v>
      </c>
      <c r="N130" s="564">
        <v>-0.14099999999999999</v>
      </c>
      <c r="O130" s="564"/>
      <c r="P130" s="565"/>
      <c r="Q130" s="565"/>
      <c r="R130" s="566"/>
    </row>
    <row r="131" spans="2:18">
      <c r="B131" s="563">
        <v>53</v>
      </c>
      <c r="C131" s="564">
        <v>-0.17197333333333339</v>
      </c>
      <c r="D131" s="565">
        <v>-0.17199999999999999</v>
      </c>
      <c r="E131" s="564">
        <v>-0.17199999999999999</v>
      </c>
      <c r="F131" s="564">
        <v>-0.17199999999999999</v>
      </c>
      <c r="G131" s="564"/>
      <c r="H131" s="565"/>
      <c r="I131" s="565"/>
      <c r="J131" s="566"/>
      <c r="K131" s="564">
        <v>-0.17197333333333339</v>
      </c>
      <c r="L131" s="565">
        <v>-0.17199999999999999</v>
      </c>
      <c r="M131" s="564">
        <v>-0.17199999999999999</v>
      </c>
      <c r="N131" s="564">
        <v>-0.17199999999999999</v>
      </c>
      <c r="O131" s="564"/>
      <c r="P131" s="565"/>
      <c r="Q131" s="565"/>
      <c r="R131" s="566"/>
    </row>
    <row r="132" spans="2:18">
      <c r="B132" s="563">
        <v>54</v>
      </c>
      <c r="C132" s="564">
        <v>-0.25551999999999991</v>
      </c>
      <c r="D132" s="565">
        <v>-0.25600000000000001</v>
      </c>
      <c r="E132" s="564">
        <v>-0.25600000000000001</v>
      </c>
      <c r="F132" s="564">
        <v>-0.25600000000000001</v>
      </c>
      <c r="G132" s="564"/>
      <c r="H132" s="565"/>
      <c r="I132" s="565"/>
      <c r="J132" s="566"/>
      <c r="K132" s="564">
        <v>-0.25551999999999991</v>
      </c>
      <c r="L132" s="565">
        <v>-0.25600000000000001</v>
      </c>
      <c r="M132" s="564">
        <v>-0.25600000000000001</v>
      </c>
      <c r="N132" s="564">
        <v>-0.25600000000000001</v>
      </c>
      <c r="O132" s="564"/>
      <c r="P132" s="565"/>
      <c r="Q132" s="565"/>
      <c r="R132" s="566"/>
    </row>
    <row r="133" spans="2:18">
      <c r="B133" s="563">
        <v>55</v>
      </c>
      <c r="C133" s="564">
        <v>-0.31598666666666697</v>
      </c>
      <c r="D133" s="565">
        <v>-0.316</v>
      </c>
      <c r="E133" s="564">
        <v>-0.316</v>
      </c>
      <c r="F133" s="564">
        <v>-0.316</v>
      </c>
      <c r="G133" s="564"/>
      <c r="H133" s="565"/>
      <c r="I133" s="565"/>
      <c r="J133" s="566"/>
      <c r="K133" s="564">
        <v>-0.31598666666666697</v>
      </c>
      <c r="L133" s="565">
        <v>-0.316</v>
      </c>
      <c r="M133" s="564">
        <v>-0.316</v>
      </c>
      <c r="N133" s="564">
        <v>-0.316</v>
      </c>
      <c r="O133" s="564"/>
      <c r="P133" s="565"/>
      <c r="Q133" s="565"/>
      <c r="R133" s="566"/>
    </row>
    <row r="134" spans="2:18">
      <c r="B134" s="563">
        <v>56</v>
      </c>
      <c r="C134" s="564">
        <v>-0.34608000000000028</v>
      </c>
      <c r="D134" s="565">
        <v>-0.34599999999999997</v>
      </c>
      <c r="E134" s="564">
        <v>-0.34599999999999997</v>
      </c>
      <c r="F134" s="564">
        <v>-0.34599999999999997</v>
      </c>
      <c r="G134" s="564"/>
      <c r="H134" s="565"/>
      <c r="I134" s="565"/>
      <c r="J134" s="566"/>
      <c r="K134" s="564">
        <v>-0.34608000000000028</v>
      </c>
      <c r="L134" s="565">
        <v>-0.34599999999999997</v>
      </c>
      <c r="M134" s="564">
        <v>-0.34599999999999997</v>
      </c>
      <c r="N134" s="564">
        <v>-0.34599999999999997</v>
      </c>
      <c r="O134" s="564"/>
      <c r="P134" s="565"/>
      <c r="Q134" s="565"/>
      <c r="R134" s="566"/>
    </row>
    <row r="135" spans="2:18">
      <c r="B135" s="563">
        <v>57</v>
      </c>
      <c r="C135" s="564">
        <v>-0.34633333333333349</v>
      </c>
      <c r="D135" s="565">
        <v>-0.34599999999999997</v>
      </c>
      <c r="E135" s="564">
        <v>-0.34599999999999997</v>
      </c>
      <c r="F135" s="564">
        <v>-0.34599999999999997</v>
      </c>
      <c r="G135" s="564"/>
      <c r="H135" s="565"/>
      <c r="I135" s="565"/>
      <c r="J135" s="566"/>
      <c r="K135" s="564">
        <v>-0.34633333333333349</v>
      </c>
      <c r="L135" s="565">
        <v>-0.34599999999999997</v>
      </c>
      <c r="M135" s="564">
        <v>-0.34599999999999997</v>
      </c>
      <c r="N135" s="564">
        <v>-0.34599999999999997</v>
      </c>
      <c r="O135" s="564"/>
      <c r="P135" s="565"/>
      <c r="Q135" s="565"/>
      <c r="R135" s="566"/>
    </row>
    <row r="136" spans="2:18">
      <c r="B136" s="563">
        <v>58</v>
      </c>
      <c r="C136" s="564">
        <v>-0.31919999999999965</v>
      </c>
      <c r="D136" s="565">
        <v>-0.31900000000000001</v>
      </c>
      <c r="E136" s="564">
        <v>-0.31900000000000001</v>
      </c>
      <c r="F136" s="564">
        <v>-0.31900000000000001</v>
      </c>
      <c r="G136" s="564"/>
      <c r="H136" s="565"/>
      <c r="I136" s="565"/>
      <c r="J136" s="566"/>
      <c r="K136" s="564">
        <v>-0.31919999999999965</v>
      </c>
      <c r="L136" s="565">
        <v>-0.31900000000000001</v>
      </c>
      <c r="M136" s="564">
        <v>-0.31900000000000001</v>
      </c>
      <c r="N136" s="564">
        <v>-0.31900000000000001</v>
      </c>
      <c r="O136" s="564"/>
      <c r="P136" s="565"/>
      <c r="Q136" s="565"/>
      <c r="R136" s="566"/>
    </row>
    <row r="137" spans="2:18">
      <c r="B137" s="563">
        <v>59</v>
      </c>
      <c r="C137" s="564">
        <v>-0.26717333333333321</v>
      </c>
      <c r="D137" s="565">
        <v>-0.26700000000000002</v>
      </c>
      <c r="E137" s="564">
        <v>-0.26700000000000002</v>
      </c>
      <c r="F137" s="564">
        <v>-0.26700000000000002</v>
      </c>
      <c r="G137" s="564"/>
      <c r="H137" s="565"/>
      <c r="I137" s="565"/>
      <c r="J137" s="566"/>
      <c r="K137" s="564">
        <v>-0.26717333333333321</v>
      </c>
      <c r="L137" s="565">
        <v>-0.26700000000000002</v>
      </c>
      <c r="M137" s="564">
        <v>-0.26700000000000002</v>
      </c>
      <c r="N137" s="564">
        <v>-0.26700000000000002</v>
      </c>
      <c r="O137" s="564"/>
      <c r="P137" s="565"/>
      <c r="Q137" s="565"/>
      <c r="R137" s="566"/>
    </row>
    <row r="138" spans="2:18">
      <c r="B138" s="563">
        <v>60</v>
      </c>
      <c r="C138" s="564">
        <v>-0.12604000000000007</v>
      </c>
      <c r="D138" s="565">
        <v>-0.126</v>
      </c>
      <c r="E138" s="564">
        <v>-0.126</v>
      </c>
      <c r="F138" s="564">
        <v>-0.126</v>
      </c>
      <c r="G138" s="564"/>
      <c r="H138" s="565"/>
      <c r="I138" s="565"/>
      <c r="J138" s="566"/>
      <c r="K138" s="564">
        <v>-0.12604000000000007</v>
      </c>
      <c r="L138" s="565">
        <v>-0.126</v>
      </c>
      <c r="M138" s="564">
        <v>-0.126</v>
      </c>
      <c r="N138" s="564">
        <v>-0.126</v>
      </c>
      <c r="O138" s="564"/>
      <c r="P138" s="565"/>
      <c r="Q138" s="565"/>
      <c r="R138" s="566"/>
    </row>
    <row r="139" spans="2:18">
      <c r="B139" s="563">
        <v>61</v>
      </c>
      <c r="C139" s="564">
        <v>3.5053333333333471E-2</v>
      </c>
      <c r="D139" s="565">
        <v>3.5000000000000003E-2</v>
      </c>
      <c r="E139" s="564">
        <v>3.5000000000000003E-2</v>
      </c>
      <c r="F139" s="564">
        <v>3.5000000000000003E-2</v>
      </c>
      <c r="G139" s="564"/>
      <c r="H139" s="565"/>
      <c r="I139" s="565"/>
      <c r="J139" s="566"/>
      <c r="K139" s="564">
        <v>3.5053333333333471E-2</v>
      </c>
      <c r="L139" s="565">
        <v>3.5000000000000003E-2</v>
      </c>
      <c r="M139" s="564">
        <v>3.5000000000000003E-2</v>
      </c>
      <c r="N139" s="564">
        <v>3.5000000000000003E-2</v>
      </c>
      <c r="O139" s="564"/>
      <c r="P139" s="565"/>
      <c r="Q139" s="565"/>
      <c r="R139" s="566"/>
    </row>
    <row r="140" spans="2:18">
      <c r="B140" s="563">
        <v>62</v>
      </c>
      <c r="C140" s="564">
        <v>0.21363999999999983</v>
      </c>
      <c r="D140" s="565">
        <v>0.214</v>
      </c>
      <c r="E140" s="564">
        <v>0.214</v>
      </c>
      <c r="F140" s="564">
        <v>0.214</v>
      </c>
      <c r="G140" s="564"/>
      <c r="H140" s="565"/>
      <c r="I140" s="565"/>
      <c r="J140" s="566"/>
      <c r="K140" s="564">
        <v>0.21363999999999983</v>
      </c>
      <c r="L140" s="565">
        <v>0.214</v>
      </c>
      <c r="M140" s="564">
        <v>0.214</v>
      </c>
      <c r="N140" s="564">
        <v>0.214</v>
      </c>
      <c r="O140" s="564"/>
      <c r="P140" s="565"/>
      <c r="Q140" s="565"/>
      <c r="R140" s="566"/>
    </row>
    <row r="141" spans="2:18">
      <c r="B141" s="563">
        <v>63</v>
      </c>
      <c r="C141" s="564">
        <v>0.40726666666666667</v>
      </c>
      <c r="D141" s="565">
        <v>0.40699999999999997</v>
      </c>
      <c r="E141" s="564">
        <v>0.40699999999999997</v>
      </c>
      <c r="F141" s="564">
        <v>0.40699999999999997</v>
      </c>
      <c r="G141" s="564"/>
      <c r="H141" s="565"/>
      <c r="I141" s="565"/>
      <c r="J141" s="566"/>
      <c r="K141" s="564">
        <v>0.40726666666666667</v>
      </c>
      <c r="L141" s="565">
        <v>0.40699999999999997</v>
      </c>
      <c r="M141" s="564">
        <v>0.40699999999999997</v>
      </c>
      <c r="N141" s="564">
        <v>0.40699999999999997</v>
      </c>
      <c r="O141" s="564"/>
      <c r="P141" s="565"/>
      <c r="Q141" s="565"/>
      <c r="R141" s="566"/>
    </row>
    <row r="142" spans="2:18">
      <c r="B142" s="563">
        <v>64</v>
      </c>
      <c r="C142" s="564">
        <v>0.61343999999999999</v>
      </c>
      <c r="D142" s="565">
        <v>0.61299999999999999</v>
      </c>
      <c r="E142" s="564">
        <v>0.61299999999999999</v>
      </c>
      <c r="F142" s="564">
        <v>0.61299999999999999</v>
      </c>
      <c r="G142" s="564"/>
      <c r="H142" s="565"/>
      <c r="I142" s="565"/>
      <c r="J142" s="566"/>
      <c r="K142" s="564">
        <v>0.61343999999999999</v>
      </c>
      <c r="L142" s="565">
        <v>0.61299999999999999</v>
      </c>
      <c r="M142" s="564">
        <v>0.61299999999999999</v>
      </c>
      <c r="N142" s="564">
        <v>0.61299999999999999</v>
      </c>
      <c r="O142" s="564"/>
      <c r="P142" s="565"/>
      <c r="Q142" s="565"/>
      <c r="R142" s="566"/>
    </row>
    <row r="143" spans="2:18">
      <c r="B143" s="563">
        <v>65</v>
      </c>
      <c r="C143" s="564">
        <v>0.82969333333333339</v>
      </c>
      <c r="D143" s="565">
        <v>0.83</v>
      </c>
      <c r="E143" s="564">
        <v>0.83</v>
      </c>
      <c r="F143" s="564">
        <v>0.83</v>
      </c>
      <c r="G143" s="564"/>
      <c r="H143" s="565"/>
      <c r="I143" s="565"/>
      <c r="J143" s="566"/>
      <c r="K143" s="564">
        <v>0.82969333333333339</v>
      </c>
      <c r="L143" s="565">
        <v>0.83</v>
      </c>
      <c r="M143" s="564">
        <v>0.83</v>
      </c>
      <c r="N143" s="564">
        <v>0.83</v>
      </c>
      <c r="O143" s="564"/>
      <c r="P143" s="565"/>
      <c r="Q143" s="565"/>
      <c r="R143" s="566"/>
    </row>
    <row r="144" spans="2:18">
      <c r="B144" s="563">
        <v>66</v>
      </c>
      <c r="C144" s="564">
        <v>1.0535733333333333</v>
      </c>
      <c r="D144" s="565">
        <v>1.054</v>
      </c>
      <c r="E144" s="564">
        <v>1.054</v>
      </c>
      <c r="F144" s="564">
        <v>1.054</v>
      </c>
      <c r="G144" s="564"/>
      <c r="H144" s="565"/>
      <c r="I144" s="565"/>
      <c r="J144" s="566"/>
      <c r="K144" s="564">
        <v>1.0535733333333333</v>
      </c>
      <c r="L144" s="565">
        <v>1.054</v>
      </c>
      <c r="M144" s="564">
        <v>1.054</v>
      </c>
      <c r="N144" s="564">
        <v>1.054</v>
      </c>
      <c r="O144" s="564"/>
      <c r="P144" s="565"/>
      <c r="Q144" s="565"/>
      <c r="R144" s="566"/>
    </row>
    <row r="145" spans="2:18">
      <c r="B145" s="563">
        <v>67</v>
      </c>
      <c r="C145" s="564">
        <v>1.2826</v>
      </c>
      <c r="D145" s="565">
        <v>1.2829999999999999</v>
      </c>
      <c r="E145" s="564">
        <v>1.2829999999999999</v>
      </c>
      <c r="F145" s="564">
        <v>1.2829999999999999</v>
      </c>
      <c r="G145" s="564"/>
      <c r="H145" s="565"/>
      <c r="I145" s="565"/>
      <c r="J145" s="566"/>
      <c r="K145" s="564">
        <v>1.2826</v>
      </c>
      <c r="L145" s="565">
        <v>1.2829999999999999</v>
      </c>
      <c r="M145" s="564">
        <v>1.2829999999999999</v>
      </c>
      <c r="N145" s="564">
        <v>1.2829999999999999</v>
      </c>
      <c r="O145" s="564"/>
      <c r="P145" s="565"/>
      <c r="Q145" s="565"/>
      <c r="R145" s="566"/>
    </row>
    <row r="146" spans="2:18">
      <c r="B146" s="563">
        <v>68</v>
      </c>
      <c r="C146" s="564">
        <v>1.5143066666666667</v>
      </c>
      <c r="D146" s="565">
        <v>1.514</v>
      </c>
      <c r="E146" s="564">
        <v>1.514</v>
      </c>
      <c r="F146" s="564">
        <v>1.514</v>
      </c>
      <c r="G146" s="564"/>
      <c r="H146" s="565"/>
      <c r="I146" s="565"/>
      <c r="J146" s="566"/>
      <c r="K146" s="564">
        <v>1.5143066666666667</v>
      </c>
      <c r="L146" s="565">
        <v>1.514</v>
      </c>
      <c r="M146" s="564">
        <v>1.514</v>
      </c>
      <c r="N146" s="564">
        <v>1.514</v>
      </c>
      <c r="O146" s="564"/>
      <c r="P146" s="565"/>
      <c r="Q146" s="565"/>
      <c r="R146" s="566"/>
    </row>
    <row r="147" spans="2:18">
      <c r="B147" s="563">
        <v>69</v>
      </c>
      <c r="C147" s="564">
        <v>1.7462133333333334</v>
      </c>
      <c r="D147" s="565">
        <v>1.746</v>
      </c>
      <c r="E147" s="564">
        <v>1.746</v>
      </c>
      <c r="F147" s="564">
        <v>1.746</v>
      </c>
      <c r="G147" s="564"/>
      <c r="H147" s="565"/>
      <c r="I147" s="565"/>
      <c r="J147" s="566"/>
      <c r="K147" s="564">
        <v>1.7462133333333334</v>
      </c>
      <c r="L147" s="565">
        <v>1.746</v>
      </c>
      <c r="M147" s="564">
        <v>1.746</v>
      </c>
      <c r="N147" s="564">
        <v>1.746</v>
      </c>
      <c r="O147" s="564"/>
      <c r="P147" s="565"/>
      <c r="Q147" s="565"/>
      <c r="R147" s="566"/>
    </row>
    <row r="148" spans="2:18">
      <c r="B148" s="563">
        <v>70</v>
      </c>
      <c r="C148" s="564">
        <v>1.9091866666666668</v>
      </c>
      <c r="D148" s="565">
        <v>1.909</v>
      </c>
      <c r="E148" s="564">
        <v>1.909</v>
      </c>
      <c r="F148" s="564">
        <v>1.909</v>
      </c>
      <c r="G148" s="564"/>
      <c r="H148" s="565"/>
      <c r="I148" s="565"/>
      <c r="J148" s="566"/>
      <c r="K148" s="564">
        <v>1.9091866666666668</v>
      </c>
      <c r="L148" s="565">
        <v>1.909</v>
      </c>
      <c r="M148" s="564">
        <v>1.909</v>
      </c>
      <c r="N148" s="564">
        <v>1.909</v>
      </c>
      <c r="O148" s="564"/>
      <c r="P148" s="565"/>
      <c r="Q148" s="565"/>
      <c r="R148" s="566"/>
    </row>
    <row r="149" spans="2:18">
      <c r="B149" s="563">
        <v>71</v>
      </c>
      <c r="C149" s="564">
        <v>2.0007733333333335</v>
      </c>
      <c r="D149" s="565">
        <v>2.0009999999999999</v>
      </c>
      <c r="E149" s="564">
        <v>2.0009999999999999</v>
      </c>
      <c r="F149" s="564">
        <v>2.0009999999999999</v>
      </c>
      <c r="G149" s="564"/>
      <c r="H149" s="565"/>
      <c r="I149" s="565"/>
      <c r="J149" s="566"/>
      <c r="K149" s="564">
        <v>2.0007733333333335</v>
      </c>
      <c r="L149" s="565">
        <v>2.0009999999999999</v>
      </c>
      <c r="M149" s="564">
        <v>2.0009999999999999</v>
      </c>
      <c r="N149" s="564">
        <v>2.0009999999999999</v>
      </c>
      <c r="O149" s="564"/>
      <c r="P149" s="565"/>
      <c r="Q149" s="565"/>
      <c r="R149" s="566"/>
    </row>
    <row r="150" spans="2:18">
      <c r="B150" s="563">
        <v>72</v>
      </c>
      <c r="C150" s="564">
        <v>2.0857866666666665</v>
      </c>
      <c r="D150" s="565">
        <v>2.0859999999999999</v>
      </c>
      <c r="E150" s="564">
        <v>2.0859999999999999</v>
      </c>
      <c r="F150" s="564">
        <v>2.0859999999999999</v>
      </c>
      <c r="G150" s="564"/>
      <c r="H150" s="565"/>
      <c r="I150" s="565"/>
      <c r="J150" s="566"/>
      <c r="K150" s="564">
        <v>2.0857866666666665</v>
      </c>
      <c r="L150" s="565">
        <v>2.0859999999999999</v>
      </c>
      <c r="M150" s="564">
        <v>2.0859999999999999</v>
      </c>
      <c r="N150" s="564">
        <v>2.0859999999999999</v>
      </c>
      <c r="O150" s="564"/>
      <c r="P150" s="565"/>
      <c r="Q150" s="565"/>
      <c r="R150" s="566"/>
    </row>
    <row r="151" spans="2:18">
      <c r="B151" s="563">
        <v>73</v>
      </c>
      <c r="C151" s="564">
        <v>2.1649733333333332</v>
      </c>
      <c r="D151" s="565">
        <v>2.165</v>
      </c>
      <c r="E151" s="564">
        <v>2.165</v>
      </c>
      <c r="F151" s="564">
        <v>2.165</v>
      </c>
      <c r="G151" s="564"/>
      <c r="H151" s="565"/>
      <c r="I151" s="565"/>
      <c r="J151" s="566"/>
      <c r="K151" s="564">
        <v>2.1649733333333332</v>
      </c>
      <c r="L151" s="565">
        <v>2.165</v>
      </c>
      <c r="M151" s="564">
        <v>2.165</v>
      </c>
      <c r="N151" s="564">
        <v>2.165</v>
      </c>
      <c r="O151" s="564"/>
      <c r="P151" s="565"/>
      <c r="Q151" s="565"/>
      <c r="R151" s="566"/>
    </row>
    <row r="152" spans="2:18">
      <c r="B152" s="563">
        <v>74</v>
      </c>
      <c r="C152" s="564">
        <v>2.2396666666666669</v>
      </c>
      <c r="D152" s="565">
        <v>2.2400000000000002</v>
      </c>
      <c r="E152" s="564">
        <v>2.2400000000000002</v>
      </c>
      <c r="F152" s="564">
        <v>2.2400000000000002</v>
      </c>
      <c r="G152" s="564"/>
      <c r="H152" s="565"/>
      <c r="I152" s="565"/>
      <c r="J152" s="566"/>
      <c r="K152" s="564">
        <v>2.2396666666666669</v>
      </c>
      <c r="L152" s="565">
        <v>2.2400000000000002</v>
      </c>
      <c r="M152" s="564">
        <v>2.2400000000000002</v>
      </c>
      <c r="N152" s="564">
        <v>2.2400000000000002</v>
      </c>
      <c r="O152" s="564"/>
      <c r="P152" s="565"/>
      <c r="Q152" s="565"/>
      <c r="R152" s="566"/>
    </row>
    <row r="153" spans="2:18">
      <c r="B153" s="563">
        <v>75</v>
      </c>
      <c r="C153" s="564">
        <v>2.3112613333333334</v>
      </c>
      <c r="D153" s="565">
        <v>2.3109999999999999</v>
      </c>
      <c r="E153" s="564">
        <v>2.3109999999999999</v>
      </c>
      <c r="F153" s="564">
        <v>2.3109999999999999</v>
      </c>
      <c r="G153" s="564"/>
      <c r="H153" s="565"/>
      <c r="I153" s="565"/>
      <c r="J153" s="566"/>
      <c r="K153" s="564">
        <v>2.3112613333333334</v>
      </c>
      <c r="L153" s="565">
        <v>2.3109999999999999</v>
      </c>
      <c r="M153" s="564">
        <v>2.3109999999999999</v>
      </c>
      <c r="N153" s="564">
        <v>2.3109999999999999</v>
      </c>
      <c r="O153" s="564"/>
      <c r="P153" s="565"/>
      <c r="Q153" s="565"/>
      <c r="R153" s="566"/>
    </row>
    <row r="154" spans="2:18">
      <c r="B154" s="563">
        <v>76</v>
      </c>
      <c r="C154" s="564">
        <v>2.3810986666666669</v>
      </c>
      <c r="D154" s="565">
        <v>2.3809999999999998</v>
      </c>
      <c r="E154" s="564">
        <v>2.3809999999999998</v>
      </c>
      <c r="F154" s="564">
        <v>2.3809999999999998</v>
      </c>
      <c r="G154" s="564"/>
      <c r="H154" s="565"/>
      <c r="I154" s="565"/>
      <c r="J154" s="566"/>
      <c r="K154" s="564">
        <v>2.3810986666666669</v>
      </c>
      <c r="L154" s="565">
        <v>2.3809999999999998</v>
      </c>
      <c r="M154" s="564">
        <v>2.3809999999999998</v>
      </c>
      <c r="N154" s="564">
        <v>2.3809999999999998</v>
      </c>
      <c r="O154" s="564"/>
      <c r="P154" s="565"/>
      <c r="Q154" s="565"/>
      <c r="R154" s="566"/>
    </row>
    <row r="155" spans="2:18">
      <c r="B155" s="563">
        <v>77</v>
      </c>
      <c r="C155" s="564">
        <v>2.4505466666666669</v>
      </c>
      <c r="D155" s="565">
        <v>2.4510000000000001</v>
      </c>
      <c r="E155" s="564">
        <v>2.4510000000000001</v>
      </c>
      <c r="F155" s="564">
        <v>2.4510000000000001</v>
      </c>
      <c r="G155" s="564"/>
      <c r="H155" s="565"/>
      <c r="I155" s="565"/>
      <c r="J155" s="566"/>
      <c r="K155" s="564">
        <v>2.4505466666666669</v>
      </c>
      <c r="L155" s="565">
        <v>2.4510000000000001</v>
      </c>
      <c r="M155" s="564">
        <v>2.4510000000000001</v>
      </c>
      <c r="N155" s="564">
        <v>2.4510000000000001</v>
      </c>
      <c r="O155" s="564"/>
      <c r="P155" s="565"/>
      <c r="Q155" s="565"/>
      <c r="R155" s="566"/>
    </row>
    <row r="156" spans="2:18">
      <c r="B156" s="563">
        <v>78</v>
      </c>
      <c r="C156" s="564">
        <v>2.5209706666666665</v>
      </c>
      <c r="D156" s="565">
        <v>2.5209999999999999</v>
      </c>
      <c r="E156" s="564">
        <v>2.5209999999999999</v>
      </c>
      <c r="F156" s="564">
        <v>2.5209999999999999</v>
      </c>
      <c r="G156" s="564"/>
      <c r="H156" s="565"/>
      <c r="I156" s="565"/>
      <c r="J156" s="566"/>
      <c r="K156" s="564">
        <v>2.5209706666666665</v>
      </c>
      <c r="L156" s="565">
        <v>2.5209999999999999</v>
      </c>
      <c r="M156" s="564">
        <v>2.5209999999999999</v>
      </c>
      <c r="N156" s="564">
        <v>2.5209999999999999</v>
      </c>
      <c r="O156" s="564"/>
      <c r="P156" s="565"/>
      <c r="Q156" s="565"/>
      <c r="R156" s="566"/>
    </row>
    <row r="157" spans="2:18">
      <c r="B157" s="563">
        <v>79</v>
      </c>
      <c r="C157" s="564">
        <v>2.5937333333333337</v>
      </c>
      <c r="D157" s="565">
        <v>2.5939999999999999</v>
      </c>
      <c r="E157" s="564">
        <v>2.5939999999999999</v>
      </c>
      <c r="F157" s="564">
        <v>2.5939999999999999</v>
      </c>
      <c r="G157" s="564"/>
      <c r="H157" s="565"/>
      <c r="I157" s="565"/>
      <c r="J157" s="566"/>
      <c r="K157" s="564">
        <v>2.5937333333333337</v>
      </c>
      <c r="L157" s="565">
        <v>2.5939999999999999</v>
      </c>
      <c r="M157" s="564">
        <v>2.5939999999999999</v>
      </c>
      <c r="N157" s="564">
        <v>2.5939999999999999</v>
      </c>
      <c r="O157" s="564"/>
      <c r="P157" s="565"/>
      <c r="Q157" s="565"/>
      <c r="R157" s="566"/>
    </row>
    <row r="158" spans="2:18">
      <c r="B158" s="563">
        <v>80</v>
      </c>
      <c r="C158" s="564">
        <v>2.6701866666666669</v>
      </c>
      <c r="D158" s="565">
        <v>2.67</v>
      </c>
      <c r="E158" s="564">
        <v>2.67</v>
      </c>
      <c r="F158" s="564">
        <v>2.67</v>
      </c>
      <c r="G158" s="564"/>
      <c r="H158" s="565"/>
      <c r="I158" s="565"/>
      <c r="J158" s="566"/>
      <c r="K158" s="564">
        <v>2.6701866666666669</v>
      </c>
      <c r="L158" s="565">
        <v>2.67</v>
      </c>
      <c r="M158" s="564">
        <v>2.67</v>
      </c>
      <c r="N158" s="564">
        <v>2.67</v>
      </c>
      <c r="O158" s="564"/>
      <c r="P158" s="565"/>
      <c r="Q158" s="565"/>
      <c r="R158" s="566"/>
    </row>
    <row r="159" spans="2:18">
      <c r="B159" s="563">
        <v>81</v>
      </c>
      <c r="C159" s="564">
        <v>2.7520133333333332</v>
      </c>
      <c r="D159" s="565">
        <v>2.7519999999999998</v>
      </c>
      <c r="E159" s="564">
        <v>2.7519999999999998</v>
      </c>
      <c r="F159" s="564">
        <v>2.7519999999999998</v>
      </c>
      <c r="G159" s="564"/>
      <c r="H159" s="565"/>
      <c r="I159" s="565"/>
      <c r="J159" s="566"/>
      <c r="K159" s="564">
        <v>2.7520133333333332</v>
      </c>
      <c r="L159" s="565">
        <v>2.7519999999999998</v>
      </c>
      <c r="M159" s="564">
        <v>2.7519999999999998</v>
      </c>
      <c r="N159" s="564">
        <v>2.7519999999999998</v>
      </c>
      <c r="O159" s="564"/>
      <c r="P159" s="565"/>
      <c r="Q159" s="565"/>
      <c r="R159" s="566"/>
    </row>
    <row r="160" spans="2:18">
      <c r="B160" s="563">
        <v>82</v>
      </c>
      <c r="C160" s="564">
        <v>2.8420800000000002</v>
      </c>
      <c r="D160" s="565">
        <v>2.8420000000000001</v>
      </c>
      <c r="E160" s="564">
        <v>2.8420000000000001</v>
      </c>
      <c r="F160" s="564">
        <v>2.8420000000000001</v>
      </c>
      <c r="G160" s="564"/>
      <c r="H160" s="565"/>
      <c r="I160" s="565"/>
      <c r="J160" s="566"/>
      <c r="K160" s="564">
        <v>2.8420800000000002</v>
      </c>
      <c r="L160" s="565">
        <v>2.8420000000000001</v>
      </c>
      <c r="M160" s="564">
        <v>2.8420000000000001</v>
      </c>
      <c r="N160" s="564">
        <v>2.8420000000000001</v>
      </c>
      <c r="O160" s="564"/>
      <c r="P160" s="565"/>
      <c r="Q160" s="565"/>
      <c r="R160" s="566"/>
    </row>
    <row r="161" spans="2:18">
      <c r="B161" s="563">
        <v>83</v>
      </c>
      <c r="C161" s="564">
        <v>2.9435466666666668</v>
      </c>
      <c r="D161" s="565">
        <v>2.944</v>
      </c>
      <c r="E161" s="564">
        <v>2.944</v>
      </c>
      <c r="F161" s="564">
        <v>2.944</v>
      </c>
      <c r="G161" s="564"/>
      <c r="H161" s="565"/>
      <c r="I161" s="565"/>
      <c r="J161" s="566"/>
      <c r="K161" s="564">
        <v>2.9435466666666668</v>
      </c>
      <c r="L161" s="565">
        <v>2.944</v>
      </c>
      <c r="M161" s="564">
        <v>2.944</v>
      </c>
      <c r="N161" s="564">
        <v>2.944</v>
      </c>
      <c r="O161" s="564"/>
      <c r="P161" s="565"/>
      <c r="Q161" s="565"/>
      <c r="R161" s="566"/>
    </row>
    <row r="162" spans="2:18">
      <c r="B162" s="563">
        <v>84</v>
      </c>
      <c r="C162" s="564">
        <v>3.0596000000000001</v>
      </c>
      <c r="D162" s="565">
        <v>3.06</v>
      </c>
      <c r="E162" s="564">
        <v>3.06</v>
      </c>
      <c r="F162" s="564">
        <v>3.06</v>
      </c>
      <c r="G162" s="564"/>
      <c r="H162" s="565"/>
      <c r="I162" s="565"/>
      <c r="J162" s="566"/>
      <c r="K162" s="564">
        <v>3.0596000000000001</v>
      </c>
      <c r="L162" s="565">
        <v>3.06</v>
      </c>
      <c r="M162" s="564">
        <v>3.06</v>
      </c>
      <c r="N162" s="564">
        <v>3.06</v>
      </c>
      <c r="O162" s="564"/>
      <c r="P162" s="565"/>
      <c r="Q162" s="565"/>
      <c r="R162" s="566"/>
    </row>
    <row r="163" spans="2:18">
      <c r="B163" s="563">
        <v>85</v>
      </c>
      <c r="C163" s="564">
        <v>3.1934</v>
      </c>
      <c r="D163" s="565">
        <v>3.1930000000000001</v>
      </c>
      <c r="E163" s="564">
        <v>3.1930000000000001</v>
      </c>
      <c r="F163" s="564">
        <v>3.1930000000000001</v>
      </c>
      <c r="G163" s="564"/>
      <c r="H163" s="565"/>
      <c r="I163" s="565"/>
      <c r="J163" s="566"/>
      <c r="K163" s="564">
        <v>3.1934</v>
      </c>
      <c r="L163" s="565">
        <v>3.1930000000000001</v>
      </c>
      <c r="M163" s="564">
        <v>3.1930000000000001</v>
      </c>
      <c r="N163" s="564">
        <v>3.1930000000000001</v>
      </c>
      <c r="O163" s="564"/>
      <c r="P163" s="565"/>
      <c r="Q163" s="565"/>
      <c r="R163" s="566"/>
    </row>
    <row r="164" spans="2:18">
      <c r="B164" s="563">
        <v>86</v>
      </c>
      <c r="C164" s="564">
        <v>3.3481333333333332</v>
      </c>
      <c r="D164" s="565">
        <v>3.3479999999999999</v>
      </c>
      <c r="E164" s="564">
        <v>3.3479999999999999</v>
      </c>
      <c r="F164" s="564">
        <v>3.3479999999999999</v>
      </c>
      <c r="G164" s="564"/>
      <c r="H164" s="565"/>
      <c r="I164" s="565"/>
      <c r="J164" s="566"/>
      <c r="K164" s="564">
        <v>3.3481333333333332</v>
      </c>
      <c r="L164" s="565">
        <v>3.3479999999999999</v>
      </c>
      <c r="M164" s="564">
        <v>3.3479999999999999</v>
      </c>
      <c r="N164" s="564">
        <v>3.3479999999999999</v>
      </c>
      <c r="O164" s="564"/>
      <c r="P164" s="565"/>
      <c r="Q164" s="565"/>
      <c r="R164" s="566"/>
    </row>
    <row r="165" spans="2:18">
      <c r="B165" s="563">
        <v>87</v>
      </c>
      <c r="C165" s="564">
        <v>3.5269733333333333</v>
      </c>
      <c r="D165" s="565">
        <v>3.5270000000000001</v>
      </c>
      <c r="E165" s="564">
        <v>3.5270000000000001</v>
      </c>
      <c r="F165" s="564">
        <v>3.5270000000000001</v>
      </c>
      <c r="G165" s="564"/>
      <c r="H165" s="565"/>
      <c r="I165" s="565"/>
      <c r="J165" s="566"/>
      <c r="K165" s="564">
        <v>3.5269733333333333</v>
      </c>
      <c r="L165" s="565">
        <v>3.5270000000000001</v>
      </c>
      <c r="M165" s="564">
        <v>3.5270000000000001</v>
      </c>
      <c r="N165" s="564">
        <v>3.5270000000000001</v>
      </c>
      <c r="O165" s="564"/>
      <c r="P165" s="565"/>
      <c r="Q165" s="565"/>
      <c r="R165" s="566"/>
    </row>
    <row r="166" spans="2:18">
      <c r="B166" s="563">
        <v>88</v>
      </c>
      <c r="C166" s="564">
        <v>3.7330933333333336</v>
      </c>
      <c r="D166" s="565">
        <v>3.7330000000000001</v>
      </c>
      <c r="E166" s="564">
        <v>3.7330000000000001</v>
      </c>
      <c r="F166" s="564">
        <v>3.7330000000000001</v>
      </c>
      <c r="G166" s="564"/>
      <c r="H166" s="565"/>
      <c r="I166" s="565"/>
      <c r="J166" s="566"/>
      <c r="K166" s="564">
        <v>3.7330933333333336</v>
      </c>
      <c r="L166" s="565">
        <v>3.7330000000000001</v>
      </c>
      <c r="M166" s="564">
        <v>3.7330000000000001</v>
      </c>
      <c r="N166" s="564">
        <v>3.7330000000000001</v>
      </c>
      <c r="O166" s="564"/>
      <c r="P166" s="565"/>
      <c r="Q166" s="565"/>
      <c r="R166" s="566"/>
    </row>
    <row r="167" spans="2:18">
      <c r="B167" s="563">
        <v>89</v>
      </c>
      <c r="C167" s="564">
        <v>3.9695999999999998</v>
      </c>
      <c r="D167" s="565">
        <v>3.97</v>
      </c>
      <c r="E167" s="564">
        <v>3.97</v>
      </c>
      <c r="F167" s="564">
        <v>3.97</v>
      </c>
      <c r="G167" s="564"/>
      <c r="H167" s="565"/>
      <c r="I167" s="565"/>
      <c r="J167" s="566"/>
      <c r="K167" s="564">
        <v>3.9695999999999998</v>
      </c>
      <c r="L167" s="565">
        <v>3.97</v>
      </c>
      <c r="M167" s="564">
        <v>3.97</v>
      </c>
      <c r="N167" s="564">
        <v>3.97</v>
      </c>
      <c r="O167" s="564"/>
      <c r="P167" s="565"/>
      <c r="Q167" s="565"/>
      <c r="R167" s="566"/>
    </row>
    <row r="168" spans="2:18">
      <c r="B168" s="563">
        <v>90</v>
      </c>
      <c r="C168" s="564">
        <v>4.2398666666666669</v>
      </c>
      <c r="D168" s="565">
        <v>4.24</v>
      </c>
      <c r="E168" s="564">
        <v>4.24</v>
      </c>
      <c r="F168" s="564">
        <v>4.24</v>
      </c>
      <c r="G168" s="564"/>
      <c r="H168" s="565"/>
      <c r="I168" s="565"/>
      <c r="J168" s="566"/>
      <c r="K168" s="564">
        <v>4.2398666666666669</v>
      </c>
      <c r="L168" s="565">
        <v>4.24</v>
      </c>
      <c r="M168" s="564">
        <v>4.24</v>
      </c>
      <c r="N168" s="564">
        <v>4.24</v>
      </c>
      <c r="O168" s="564"/>
      <c r="P168" s="565"/>
      <c r="Q168" s="565"/>
      <c r="R168" s="566"/>
    </row>
    <row r="169" spans="2:18">
      <c r="B169" s="563">
        <v>91</v>
      </c>
      <c r="C169" s="564">
        <v>4.5468000000000002</v>
      </c>
      <c r="D169" s="565">
        <v>4.5469999999999997</v>
      </c>
      <c r="E169" s="564">
        <v>4.5469999999999997</v>
      </c>
      <c r="F169" s="564">
        <v>4.5469999999999997</v>
      </c>
      <c r="G169" s="564"/>
      <c r="H169" s="565"/>
      <c r="I169" s="565"/>
      <c r="J169" s="566"/>
      <c r="K169" s="564">
        <v>4.5468000000000002</v>
      </c>
      <c r="L169" s="565">
        <v>4.5469999999999997</v>
      </c>
      <c r="M169" s="564">
        <v>4.5469999999999997</v>
      </c>
      <c r="N169" s="564">
        <v>4.5469999999999997</v>
      </c>
      <c r="O169" s="564"/>
      <c r="P169" s="565"/>
      <c r="Q169" s="565"/>
      <c r="R169" s="566"/>
    </row>
    <row r="170" spans="2:18">
      <c r="B170" s="563">
        <v>92</v>
      </c>
      <c r="C170" s="564">
        <v>4.8937333333333326</v>
      </c>
      <c r="D170" s="565">
        <v>4.8940000000000001</v>
      </c>
      <c r="E170" s="564">
        <v>4.8940000000000001</v>
      </c>
      <c r="F170" s="564">
        <v>4.8940000000000001</v>
      </c>
      <c r="G170" s="564"/>
      <c r="H170" s="565"/>
      <c r="I170" s="565"/>
      <c r="J170" s="566"/>
      <c r="K170" s="564">
        <v>4.8937333333333326</v>
      </c>
      <c r="L170" s="565">
        <v>4.8940000000000001</v>
      </c>
      <c r="M170" s="564">
        <v>4.8940000000000001</v>
      </c>
      <c r="N170" s="564">
        <v>4.8940000000000001</v>
      </c>
      <c r="O170" s="564"/>
      <c r="P170" s="565"/>
      <c r="Q170" s="565"/>
      <c r="R170" s="566"/>
    </row>
    <row r="171" spans="2:18">
      <c r="B171" s="563">
        <v>93</v>
      </c>
      <c r="C171" s="564">
        <v>5.2838666666666665</v>
      </c>
      <c r="D171" s="565">
        <v>5.2839999999999998</v>
      </c>
      <c r="E171" s="564">
        <v>5.2839999999999998</v>
      </c>
      <c r="F171" s="564">
        <v>5.2839999999999998</v>
      </c>
      <c r="G171" s="564"/>
      <c r="H171" s="565"/>
      <c r="I171" s="565"/>
      <c r="J171" s="566"/>
      <c r="K171" s="564">
        <v>5.2838666666666665</v>
      </c>
      <c r="L171" s="565">
        <v>5.2839999999999998</v>
      </c>
      <c r="M171" s="564">
        <v>5.2839999999999998</v>
      </c>
      <c r="N171" s="564">
        <v>5.2839999999999998</v>
      </c>
      <c r="O171" s="564"/>
      <c r="P171" s="565"/>
      <c r="Q171" s="565"/>
      <c r="R171" s="566"/>
    </row>
    <row r="172" spans="2:18">
      <c r="B172" s="563">
        <v>94</v>
      </c>
      <c r="C172" s="564">
        <v>5.7202666666666664</v>
      </c>
      <c r="D172" s="565">
        <v>5.72</v>
      </c>
      <c r="E172" s="564">
        <v>5.72</v>
      </c>
      <c r="F172" s="564">
        <v>5.72</v>
      </c>
      <c r="G172" s="564"/>
      <c r="H172" s="565"/>
      <c r="I172" s="565"/>
      <c r="J172" s="566"/>
      <c r="K172" s="564">
        <v>5.7202666666666664</v>
      </c>
      <c r="L172" s="565">
        <v>5.72</v>
      </c>
      <c r="M172" s="564">
        <v>5.72</v>
      </c>
      <c r="N172" s="564">
        <v>5.72</v>
      </c>
      <c r="O172" s="564"/>
      <c r="P172" s="565"/>
      <c r="Q172" s="565"/>
      <c r="R172" s="566"/>
    </row>
    <row r="173" spans="2:18" ht="15.75" thickBot="1">
      <c r="B173" s="568">
        <v>95</v>
      </c>
      <c r="C173" s="569">
        <v>6.2061333333333328</v>
      </c>
      <c r="D173" s="570">
        <v>6.2060000000000004</v>
      </c>
      <c r="E173" s="569">
        <v>6.2060000000000004</v>
      </c>
      <c r="F173" s="569">
        <v>6.2060000000000004</v>
      </c>
      <c r="G173" s="569"/>
      <c r="H173" s="570"/>
      <c r="I173" s="570"/>
      <c r="J173" s="571"/>
      <c r="K173" s="569">
        <v>6.2061333333333328</v>
      </c>
      <c r="L173" s="570">
        <v>6.2060000000000004</v>
      </c>
      <c r="M173" s="569">
        <v>6.2060000000000004</v>
      </c>
      <c r="N173" s="569">
        <v>6.2060000000000004</v>
      </c>
      <c r="O173" s="569"/>
      <c r="P173" s="570"/>
      <c r="Q173" s="570"/>
      <c r="R173" s="571"/>
    </row>
    <row r="174" spans="2:18">
      <c r="G174" s="551"/>
      <c r="O174" s="551"/>
    </row>
    <row r="175" spans="2:18">
      <c r="G175" s="551"/>
      <c r="O175" s="551"/>
    </row>
    <row r="176" spans="2:18">
      <c r="G176" s="551"/>
      <c r="O176" s="551"/>
    </row>
    <row r="177" spans="7:15">
      <c r="G177" s="551"/>
      <c r="O177" s="551"/>
    </row>
  </sheetData>
  <mergeCells count="8">
    <mergeCell ref="C94:J94"/>
    <mergeCell ref="K94:Q94"/>
    <mergeCell ref="B8:R8"/>
    <mergeCell ref="B9:R9"/>
    <mergeCell ref="C10:R10"/>
    <mergeCell ref="C11:J11"/>
    <mergeCell ref="K11:R11"/>
    <mergeCell ref="C93:R9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>
    <tabColor theme="2" tint="-0.499984740745262"/>
  </sheetPr>
  <dimension ref="D2:AF185"/>
  <sheetViews>
    <sheetView showGridLines="0" topLeftCell="D1" zoomScale="70" zoomScaleNormal="70" workbookViewId="0">
      <selection activeCell="D4" sqref="D4:N4"/>
    </sheetView>
  </sheetViews>
  <sheetFormatPr defaultColWidth="8.85546875" defaultRowHeight="15"/>
  <cols>
    <col min="4" max="4" width="11.42578125" bestFit="1" customWidth="1"/>
    <col min="5" max="5" width="37.42578125" bestFit="1" customWidth="1"/>
    <col min="6" max="6" width="18.42578125" bestFit="1" customWidth="1"/>
    <col min="7" max="7" width="9.140625" style="575" customWidth="1"/>
    <col min="8" max="8" width="14.42578125" style="575" bestFit="1" customWidth="1"/>
    <col min="9" max="14" width="9.140625" style="575" customWidth="1"/>
  </cols>
  <sheetData>
    <row r="2" spans="4:32" ht="15.75" thickBot="1"/>
    <row r="3" spans="4:32">
      <c r="D3" s="943" t="s">
        <v>2847</v>
      </c>
      <c r="E3" s="944"/>
      <c r="F3" s="944"/>
      <c r="G3" s="944"/>
      <c r="H3" s="944"/>
      <c r="I3" s="944"/>
      <c r="J3" s="944"/>
      <c r="K3" s="944"/>
      <c r="L3" s="944"/>
      <c r="M3" s="944"/>
      <c r="N3" s="945"/>
      <c r="S3" s="576"/>
      <c r="T3" s="420"/>
      <c r="Y3" s="576"/>
      <c r="Z3" s="420"/>
      <c r="AE3" s="576"/>
      <c r="AF3" s="420"/>
    </row>
    <row r="4" spans="4:32" ht="52.5" customHeight="1">
      <c r="D4" s="946" t="str">
        <f>LE_DECLARE_TABLE("tExtrasLE","",D5:N185)</f>
        <v>Declared table TEXTRASLE</v>
      </c>
      <c r="E4" s="947"/>
      <c r="F4" s="947"/>
      <c r="G4" s="947"/>
      <c r="H4" s="947"/>
      <c r="I4" s="947"/>
      <c r="J4" s="947"/>
      <c r="K4" s="947"/>
      <c r="L4" s="947"/>
      <c r="M4" s="947"/>
      <c r="N4" s="948"/>
      <c r="S4" s="577"/>
      <c r="T4" s="424"/>
      <c r="Y4" s="577"/>
      <c r="Z4" s="424"/>
      <c r="AE4" s="577"/>
      <c r="AF4" s="424"/>
    </row>
    <row r="5" spans="4:32" ht="15.75" thickBot="1">
      <c r="D5" s="578"/>
      <c r="E5" s="579" t="s">
        <v>2848</v>
      </c>
      <c r="F5" s="579" t="s">
        <v>2849</v>
      </c>
      <c r="G5" s="580">
        <v>1</v>
      </c>
      <c r="H5" s="580">
        <f>G5+1</f>
        <v>2</v>
      </c>
      <c r="I5" s="580">
        <f t="shared" ref="I5:N5" si="0">H5+1</f>
        <v>3</v>
      </c>
      <c r="J5" s="580">
        <f t="shared" si="0"/>
        <v>4</v>
      </c>
      <c r="K5" s="580">
        <f t="shared" si="0"/>
        <v>5</v>
      </c>
      <c r="L5" s="580">
        <f t="shared" si="0"/>
        <v>6</v>
      </c>
      <c r="M5" s="580">
        <f t="shared" si="0"/>
        <v>7</v>
      </c>
      <c r="N5" s="581">
        <f t="shared" si="0"/>
        <v>8</v>
      </c>
      <c r="O5" s="50"/>
    </row>
    <row r="6" spans="4:32">
      <c r="D6" s="394">
        <v>99</v>
      </c>
      <c r="E6" s="460" t="s">
        <v>2850</v>
      </c>
      <c r="F6" s="460">
        <v>0</v>
      </c>
      <c r="G6" s="582">
        <v>0</v>
      </c>
      <c r="H6" s="582">
        <v>0</v>
      </c>
      <c r="I6" s="583">
        <v>0</v>
      </c>
      <c r="J6" s="583">
        <v>0</v>
      </c>
      <c r="K6" s="582"/>
      <c r="L6" s="582"/>
      <c r="M6" s="582"/>
      <c r="N6" s="584"/>
      <c r="O6" s="50"/>
    </row>
    <row r="7" spans="4:32">
      <c r="D7" s="403">
        <v>1000</v>
      </c>
      <c r="E7" s="50" t="s">
        <v>2851</v>
      </c>
      <c r="F7" s="50">
        <v>1</v>
      </c>
      <c r="G7" s="585">
        <v>-3</v>
      </c>
      <c r="H7" s="585">
        <v>-3</v>
      </c>
      <c r="I7" s="586">
        <v>-3</v>
      </c>
      <c r="J7" s="586">
        <v>-3</v>
      </c>
      <c r="K7" s="585"/>
      <c r="L7" s="585"/>
      <c r="M7" s="585"/>
      <c r="N7" s="587"/>
      <c r="O7" s="50"/>
    </row>
    <row r="8" spans="4:32">
      <c r="D8" s="403">
        <v>1001</v>
      </c>
      <c r="E8" s="50" t="s">
        <v>2852</v>
      </c>
      <c r="F8" s="50">
        <v>1</v>
      </c>
      <c r="G8" s="585">
        <v>-10</v>
      </c>
      <c r="H8" s="585">
        <v>-10</v>
      </c>
      <c r="I8" s="586">
        <v>-10</v>
      </c>
      <c r="J8" s="586">
        <v>-10</v>
      </c>
      <c r="K8" s="585"/>
      <c r="L8" s="585"/>
      <c r="M8" s="585"/>
      <c r="N8" s="587"/>
      <c r="O8" s="50"/>
    </row>
    <row r="9" spans="4:32">
      <c r="D9" s="403">
        <v>1002</v>
      </c>
      <c r="E9" s="50" t="s">
        <v>2853</v>
      </c>
      <c r="F9" s="50">
        <v>1</v>
      </c>
      <c r="G9" s="585">
        <v>0</v>
      </c>
      <c r="H9" s="585">
        <v>0</v>
      </c>
      <c r="I9" s="586">
        <v>0</v>
      </c>
      <c r="J9" s="586">
        <v>0</v>
      </c>
      <c r="K9" s="585"/>
      <c r="L9" s="585"/>
      <c r="M9" s="585"/>
      <c r="N9" s="587"/>
      <c r="O9" s="50"/>
    </row>
    <row r="10" spans="4:32">
      <c r="D10" s="403">
        <v>1003</v>
      </c>
      <c r="E10" s="50" t="s">
        <v>2854</v>
      </c>
      <c r="F10" s="50">
        <v>1</v>
      </c>
      <c r="G10" s="585">
        <v>15</v>
      </c>
      <c r="H10" s="585">
        <v>15</v>
      </c>
      <c r="I10" s="586">
        <v>15</v>
      </c>
      <c r="J10" s="586">
        <v>15</v>
      </c>
      <c r="K10" s="585"/>
      <c r="L10" s="585"/>
      <c r="M10" s="585"/>
      <c r="N10" s="587"/>
      <c r="O10" s="50"/>
    </row>
    <row r="11" spans="4:32">
      <c r="D11" s="403">
        <v>1004</v>
      </c>
      <c r="E11" s="50" t="s">
        <v>2855</v>
      </c>
      <c r="F11" s="50">
        <v>1</v>
      </c>
      <c r="G11" s="585">
        <v>3</v>
      </c>
      <c r="H11" s="585">
        <v>3</v>
      </c>
      <c r="I11" s="586">
        <v>3</v>
      </c>
      <c r="J11" s="586">
        <v>3</v>
      </c>
      <c r="K11" s="585"/>
      <c r="L11" s="585"/>
      <c r="M11" s="585"/>
      <c r="N11" s="587"/>
      <c r="O11" s="50"/>
    </row>
    <row r="12" spans="4:32">
      <c r="D12" s="403">
        <v>1005</v>
      </c>
      <c r="E12" s="50" t="s">
        <v>2856</v>
      </c>
      <c r="F12" s="50">
        <v>3</v>
      </c>
      <c r="G12" s="585">
        <v>5</v>
      </c>
      <c r="H12" s="585">
        <v>5</v>
      </c>
      <c r="I12" s="586">
        <v>5</v>
      </c>
      <c r="J12" s="586">
        <v>5</v>
      </c>
      <c r="K12" s="585"/>
      <c r="L12" s="585"/>
      <c r="M12" s="585"/>
      <c r="N12" s="587"/>
      <c r="O12" s="50"/>
    </row>
    <row r="13" spans="4:32">
      <c r="D13" s="403">
        <v>1006</v>
      </c>
      <c r="E13" s="50" t="s">
        <v>2857</v>
      </c>
      <c r="F13" s="50">
        <v>1</v>
      </c>
      <c r="G13" s="585">
        <v>5</v>
      </c>
      <c r="H13" s="585">
        <v>5</v>
      </c>
      <c r="I13" s="586">
        <v>5</v>
      </c>
      <c r="J13" s="586">
        <v>5</v>
      </c>
      <c r="K13" s="585"/>
      <c r="L13" s="585"/>
      <c r="M13" s="585"/>
      <c r="N13" s="587"/>
      <c r="O13" s="50"/>
    </row>
    <row r="14" spans="4:32">
      <c r="D14" s="403">
        <v>1007</v>
      </c>
      <c r="E14" s="50" t="s">
        <v>2858</v>
      </c>
      <c r="F14" s="50">
        <v>3</v>
      </c>
      <c r="G14" s="585">
        <v>5</v>
      </c>
      <c r="H14" s="585">
        <v>5</v>
      </c>
      <c r="I14" s="586">
        <v>5</v>
      </c>
      <c r="J14" s="586">
        <v>5</v>
      </c>
      <c r="K14" s="585"/>
      <c r="L14" s="585"/>
      <c r="M14" s="585"/>
      <c r="N14" s="587"/>
      <c r="O14" s="50"/>
    </row>
    <row r="15" spans="4:32">
      <c r="D15" s="403">
        <v>1008</v>
      </c>
      <c r="E15" s="50" t="s">
        <v>2859</v>
      </c>
      <c r="F15" s="50">
        <v>1</v>
      </c>
      <c r="G15" s="585">
        <v>3</v>
      </c>
      <c r="H15" s="585">
        <v>3</v>
      </c>
      <c r="I15" s="586">
        <v>3</v>
      </c>
      <c r="J15" s="586">
        <v>3</v>
      </c>
      <c r="K15" s="585"/>
      <c r="L15" s="585"/>
      <c r="M15" s="585"/>
      <c r="N15" s="587"/>
      <c r="O15" s="50"/>
    </row>
    <row r="16" spans="4:32">
      <c r="D16" s="403">
        <v>1009</v>
      </c>
      <c r="E16" s="50" t="s">
        <v>2860</v>
      </c>
      <c r="F16" s="50">
        <v>1</v>
      </c>
      <c r="G16" s="585">
        <v>-10</v>
      </c>
      <c r="H16" s="585">
        <v>-10</v>
      </c>
      <c r="I16" s="586">
        <v>-10</v>
      </c>
      <c r="J16" s="586">
        <v>-10</v>
      </c>
      <c r="K16" s="585"/>
      <c r="L16" s="585"/>
      <c r="M16" s="585"/>
      <c r="N16" s="587"/>
      <c r="O16" s="50"/>
    </row>
    <row r="17" spans="4:15">
      <c r="D17" s="403">
        <v>1010</v>
      </c>
      <c r="E17" s="50" t="s">
        <v>2861</v>
      </c>
      <c r="F17" s="50">
        <v>1</v>
      </c>
      <c r="G17" s="585">
        <v>-10</v>
      </c>
      <c r="H17" s="585">
        <v>-10</v>
      </c>
      <c r="I17" s="586">
        <v>-10</v>
      </c>
      <c r="J17" s="586">
        <v>-10</v>
      </c>
      <c r="K17" s="585"/>
      <c r="L17" s="585"/>
      <c r="M17" s="585"/>
      <c r="N17" s="587"/>
      <c r="O17" s="50"/>
    </row>
    <row r="18" spans="4:15">
      <c r="D18" s="403">
        <v>1011</v>
      </c>
      <c r="E18" s="50" t="s">
        <v>2862</v>
      </c>
      <c r="F18" s="50">
        <v>3</v>
      </c>
      <c r="G18" s="585">
        <v>5</v>
      </c>
      <c r="H18" s="585">
        <v>5</v>
      </c>
      <c r="I18" s="586">
        <v>5</v>
      </c>
      <c r="J18" s="586">
        <v>5</v>
      </c>
      <c r="K18" s="585"/>
      <c r="L18" s="585"/>
      <c r="M18" s="585"/>
      <c r="N18" s="587"/>
      <c r="O18" s="50"/>
    </row>
    <row r="19" spans="4:15">
      <c r="D19" s="403">
        <v>1012</v>
      </c>
      <c r="E19" s="50" t="s">
        <v>2863</v>
      </c>
      <c r="F19" s="50">
        <v>1</v>
      </c>
      <c r="G19" s="585">
        <v>999</v>
      </c>
      <c r="H19" s="585">
        <v>999</v>
      </c>
      <c r="I19" s="586">
        <v>999</v>
      </c>
      <c r="J19" s="586">
        <v>999</v>
      </c>
      <c r="K19" s="585"/>
      <c r="L19" s="585"/>
      <c r="M19" s="585"/>
      <c r="N19" s="587"/>
      <c r="O19" s="50"/>
    </row>
    <row r="20" spans="4:15">
      <c r="D20" s="403">
        <v>1013</v>
      </c>
      <c r="E20" s="50" t="s">
        <v>2864</v>
      </c>
      <c r="F20" s="50">
        <v>1</v>
      </c>
      <c r="G20" s="585">
        <v>0</v>
      </c>
      <c r="H20" s="585">
        <v>0</v>
      </c>
      <c r="I20" s="586">
        <v>0</v>
      </c>
      <c r="J20" s="586">
        <v>0</v>
      </c>
      <c r="K20" s="585"/>
      <c r="L20" s="585"/>
      <c r="M20" s="585"/>
      <c r="N20" s="587"/>
      <c r="O20" s="50"/>
    </row>
    <row r="21" spans="4:15">
      <c r="D21" s="403">
        <v>1014</v>
      </c>
      <c r="E21" s="50" t="s">
        <v>2865</v>
      </c>
      <c r="F21" s="50">
        <v>3</v>
      </c>
      <c r="G21" s="585">
        <v>999</v>
      </c>
      <c r="H21" s="585">
        <v>999</v>
      </c>
      <c r="I21" s="586">
        <v>999</v>
      </c>
      <c r="J21" s="586">
        <v>999</v>
      </c>
      <c r="K21" s="585"/>
      <c r="L21" s="585"/>
      <c r="M21" s="585"/>
      <c r="N21" s="587"/>
      <c r="O21" s="50"/>
    </row>
    <row r="22" spans="4:15">
      <c r="D22" s="403">
        <v>1015</v>
      </c>
      <c r="E22" s="50" t="s">
        <v>2866</v>
      </c>
      <c r="F22" s="50">
        <v>1</v>
      </c>
      <c r="G22" s="585">
        <v>0</v>
      </c>
      <c r="H22" s="585">
        <v>0</v>
      </c>
      <c r="I22" s="586">
        <v>0</v>
      </c>
      <c r="J22" s="586">
        <v>0</v>
      </c>
      <c r="K22" s="585"/>
      <c r="L22" s="585"/>
      <c r="M22" s="585"/>
      <c r="N22" s="587"/>
      <c r="O22" s="50"/>
    </row>
    <row r="23" spans="4:15">
      <c r="D23" s="403">
        <v>1016</v>
      </c>
      <c r="E23" s="50" t="s">
        <v>2867</v>
      </c>
      <c r="F23" s="50">
        <v>1</v>
      </c>
      <c r="G23" s="585">
        <v>0</v>
      </c>
      <c r="H23" s="585">
        <v>0</v>
      </c>
      <c r="I23" s="586">
        <v>0</v>
      </c>
      <c r="J23" s="586">
        <v>0</v>
      </c>
      <c r="K23" s="585"/>
      <c r="L23" s="585"/>
      <c r="M23" s="585"/>
      <c r="N23" s="587"/>
      <c r="O23" s="50"/>
    </row>
    <row r="24" spans="4:15">
      <c r="D24" s="403">
        <v>1017</v>
      </c>
      <c r="E24" s="50" t="s">
        <v>2868</v>
      </c>
      <c r="F24" s="50">
        <v>1</v>
      </c>
      <c r="G24" s="585">
        <v>0</v>
      </c>
      <c r="H24" s="585">
        <v>0</v>
      </c>
      <c r="I24" s="586">
        <v>0</v>
      </c>
      <c r="J24" s="586">
        <v>0</v>
      </c>
      <c r="K24" s="585"/>
      <c r="L24" s="585"/>
      <c r="M24" s="585"/>
      <c r="N24" s="587"/>
      <c r="O24" s="50"/>
    </row>
    <row r="25" spans="4:15">
      <c r="D25" s="403">
        <v>1018</v>
      </c>
      <c r="E25" s="50" t="s">
        <v>2869</v>
      </c>
      <c r="F25" s="50">
        <v>1</v>
      </c>
      <c r="G25" s="585">
        <v>-3</v>
      </c>
      <c r="H25" s="585">
        <v>-3</v>
      </c>
      <c r="I25" s="586">
        <v>-3</v>
      </c>
      <c r="J25" s="586">
        <v>-3</v>
      </c>
      <c r="K25" s="585"/>
      <c r="L25" s="585"/>
      <c r="M25" s="585"/>
      <c r="N25" s="587"/>
      <c r="O25" s="50"/>
    </row>
    <row r="26" spans="4:15">
      <c r="D26" s="403">
        <v>1019</v>
      </c>
      <c r="E26" s="50" t="s">
        <v>2870</v>
      </c>
      <c r="F26" s="50">
        <v>1</v>
      </c>
      <c r="G26" s="585">
        <v>-15</v>
      </c>
      <c r="H26" s="585">
        <v>-15</v>
      </c>
      <c r="I26" s="586">
        <v>-15</v>
      </c>
      <c r="J26" s="586">
        <v>-15</v>
      </c>
      <c r="K26" s="585"/>
      <c r="L26" s="585"/>
      <c r="M26" s="585"/>
      <c r="N26" s="587"/>
      <c r="O26" s="50"/>
    </row>
    <row r="27" spans="4:15">
      <c r="D27" s="403">
        <v>1020</v>
      </c>
      <c r="E27" s="50" t="s">
        <v>2871</v>
      </c>
      <c r="F27" s="50">
        <v>3</v>
      </c>
      <c r="G27" s="585">
        <v>0</v>
      </c>
      <c r="H27" s="585">
        <v>0</v>
      </c>
      <c r="I27" s="586">
        <v>0</v>
      </c>
      <c r="J27" s="586">
        <v>0</v>
      </c>
      <c r="K27" s="585"/>
      <c r="L27" s="585"/>
      <c r="M27" s="585"/>
      <c r="N27" s="587"/>
      <c r="O27" s="50"/>
    </row>
    <row r="28" spans="4:15">
      <c r="D28" s="403">
        <v>1021</v>
      </c>
      <c r="E28" s="50" t="s">
        <v>2872</v>
      </c>
      <c r="F28" s="50">
        <v>1</v>
      </c>
      <c r="G28" s="585">
        <v>-5</v>
      </c>
      <c r="H28" s="585">
        <v>-5</v>
      </c>
      <c r="I28" s="586">
        <v>-5</v>
      </c>
      <c r="J28" s="586">
        <v>-5</v>
      </c>
      <c r="K28" s="585"/>
      <c r="L28" s="585"/>
      <c r="M28" s="585"/>
      <c r="N28" s="587"/>
      <c r="O28" s="50"/>
    </row>
    <row r="29" spans="4:15">
      <c r="D29" s="403">
        <v>1022</v>
      </c>
      <c r="E29" s="50" t="s">
        <v>2873</v>
      </c>
      <c r="F29" s="50">
        <v>3</v>
      </c>
      <c r="G29" s="585">
        <v>999</v>
      </c>
      <c r="H29" s="585">
        <v>999</v>
      </c>
      <c r="I29" s="586">
        <v>999</v>
      </c>
      <c r="J29" s="586">
        <v>999</v>
      </c>
      <c r="K29" s="585"/>
      <c r="L29" s="585"/>
      <c r="M29" s="585"/>
      <c r="N29" s="587"/>
      <c r="O29" s="50"/>
    </row>
    <row r="30" spans="4:15">
      <c r="D30" s="403">
        <v>1023</v>
      </c>
      <c r="E30" s="50" t="s">
        <v>2874</v>
      </c>
      <c r="F30" s="50">
        <v>1</v>
      </c>
      <c r="G30" s="585">
        <v>0</v>
      </c>
      <c r="H30" s="585">
        <v>0</v>
      </c>
      <c r="I30" s="586">
        <v>0</v>
      </c>
      <c r="J30" s="586">
        <v>0</v>
      </c>
      <c r="K30" s="585"/>
      <c r="L30" s="585"/>
      <c r="M30" s="585"/>
      <c r="N30" s="587"/>
      <c r="O30" s="50"/>
    </row>
    <row r="31" spans="4:15">
      <c r="D31" s="403">
        <v>1024</v>
      </c>
      <c r="E31" s="50" t="s">
        <v>2875</v>
      </c>
      <c r="F31" s="50">
        <v>1</v>
      </c>
      <c r="G31" s="585">
        <v>0</v>
      </c>
      <c r="H31" s="585">
        <v>0</v>
      </c>
      <c r="I31" s="586">
        <v>0</v>
      </c>
      <c r="J31" s="586">
        <v>0</v>
      </c>
      <c r="K31" s="585"/>
      <c r="L31" s="585"/>
      <c r="M31" s="585"/>
      <c r="N31" s="587"/>
      <c r="O31" s="50"/>
    </row>
    <row r="32" spans="4:15">
      <c r="D32" s="403">
        <v>1025</v>
      </c>
      <c r="E32" s="50" t="s">
        <v>2876</v>
      </c>
      <c r="F32" s="50">
        <v>1</v>
      </c>
      <c r="G32" s="585">
        <v>6.7996380700000003</v>
      </c>
      <c r="H32" s="585">
        <v>6.7996380700000003</v>
      </c>
      <c r="I32" s="586">
        <v>6.7996380700000003</v>
      </c>
      <c r="J32" s="586">
        <v>6.7996380700000003</v>
      </c>
      <c r="K32" s="585"/>
      <c r="L32" s="585"/>
      <c r="M32" s="585"/>
      <c r="N32" s="587"/>
      <c r="O32" s="50"/>
    </row>
    <row r="33" spans="4:15">
      <c r="D33" s="403">
        <v>1026</v>
      </c>
      <c r="E33" s="50" t="s">
        <v>2877</v>
      </c>
      <c r="F33" s="50">
        <v>1</v>
      </c>
      <c r="G33" s="585">
        <v>0</v>
      </c>
      <c r="H33" s="585">
        <v>0</v>
      </c>
      <c r="I33" s="586">
        <v>0</v>
      </c>
      <c r="J33" s="586">
        <v>0</v>
      </c>
      <c r="K33" s="585"/>
      <c r="L33" s="585"/>
      <c r="M33" s="585"/>
      <c r="N33" s="587"/>
      <c r="O33" s="50"/>
    </row>
    <row r="34" spans="4:15">
      <c r="D34" s="403">
        <v>1027</v>
      </c>
      <c r="E34" s="50" t="s">
        <v>2878</v>
      </c>
      <c r="F34" s="50">
        <v>3</v>
      </c>
      <c r="G34" s="585">
        <v>60</v>
      </c>
      <c r="H34" s="585">
        <v>60</v>
      </c>
      <c r="I34" s="586">
        <v>60</v>
      </c>
      <c r="J34" s="586">
        <v>60</v>
      </c>
      <c r="K34" s="585"/>
      <c r="L34" s="585"/>
      <c r="M34" s="585"/>
      <c r="N34" s="587"/>
      <c r="O34" s="50"/>
    </row>
    <row r="35" spans="4:15">
      <c r="D35" s="403">
        <v>1028</v>
      </c>
      <c r="E35" s="50" t="s">
        <v>2879</v>
      </c>
      <c r="F35" s="50">
        <v>3</v>
      </c>
      <c r="G35" s="585">
        <v>5</v>
      </c>
      <c r="H35" s="585">
        <v>5</v>
      </c>
      <c r="I35" s="586">
        <v>5</v>
      </c>
      <c r="J35" s="586">
        <v>5</v>
      </c>
      <c r="K35" s="585"/>
      <c r="L35" s="585"/>
      <c r="M35" s="585"/>
      <c r="N35" s="587"/>
      <c r="O35" s="50"/>
    </row>
    <row r="36" spans="4:15">
      <c r="D36" s="403">
        <v>1029</v>
      </c>
      <c r="E36" s="50" t="s">
        <v>2880</v>
      </c>
      <c r="F36" s="50">
        <v>1</v>
      </c>
      <c r="G36" s="585">
        <v>0</v>
      </c>
      <c r="H36" s="585">
        <v>0</v>
      </c>
      <c r="I36" s="586">
        <v>0</v>
      </c>
      <c r="J36" s="586">
        <v>0</v>
      </c>
      <c r="K36" s="585"/>
      <c r="L36" s="585"/>
      <c r="M36" s="585"/>
      <c r="N36" s="587"/>
      <c r="O36" s="50"/>
    </row>
    <row r="37" spans="4:15">
      <c r="D37" s="403">
        <v>1030</v>
      </c>
      <c r="E37" s="50" t="s">
        <v>2881</v>
      </c>
      <c r="F37" s="50">
        <v>1</v>
      </c>
      <c r="G37" s="585">
        <v>-3</v>
      </c>
      <c r="H37" s="585">
        <v>-3</v>
      </c>
      <c r="I37" s="586">
        <v>-3</v>
      </c>
      <c r="J37" s="586">
        <v>-3</v>
      </c>
      <c r="K37" s="585"/>
      <c r="L37" s="585"/>
      <c r="M37" s="585"/>
      <c r="N37" s="587"/>
      <c r="O37" s="50"/>
    </row>
    <row r="38" spans="4:15">
      <c r="D38" s="403">
        <v>1031</v>
      </c>
      <c r="E38" s="50" t="s">
        <v>2882</v>
      </c>
      <c r="F38" s="50">
        <v>1</v>
      </c>
      <c r="G38" s="585">
        <v>10</v>
      </c>
      <c r="H38" s="585">
        <v>10</v>
      </c>
      <c r="I38" s="586">
        <v>10</v>
      </c>
      <c r="J38" s="586">
        <v>10</v>
      </c>
      <c r="K38" s="585"/>
      <c r="L38" s="585"/>
      <c r="M38" s="585"/>
      <c r="N38" s="587"/>
      <c r="O38" s="50"/>
    </row>
    <row r="39" spans="4:15">
      <c r="D39" s="403">
        <v>1032</v>
      </c>
      <c r="E39" s="50" t="s">
        <v>2883</v>
      </c>
      <c r="F39" s="50">
        <v>1</v>
      </c>
      <c r="G39" s="585">
        <v>2</v>
      </c>
      <c r="H39" s="585">
        <v>2</v>
      </c>
      <c r="I39" s="586">
        <v>2</v>
      </c>
      <c r="J39" s="586">
        <v>2</v>
      </c>
      <c r="K39" s="585"/>
      <c r="L39" s="585"/>
      <c r="M39" s="585"/>
      <c r="N39" s="587"/>
      <c r="O39" s="50"/>
    </row>
    <row r="40" spans="4:15">
      <c r="D40" s="403">
        <v>1033</v>
      </c>
      <c r="E40" s="50" t="s">
        <v>2884</v>
      </c>
      <c r="F40" s="50">
        <v>1</v>
      </c>
      <c r="G40" s="585">
        <v>5</v>
      </c>
      <c r="H40" s="585">
        <v>5</v>
      </c>
      <c r="I40" s="586">
        <v>5</v>
      </c>
      <c r="J40" s="586">
        <v>5</v>
      </c>
      <c r="K40" s="585"/>
      <c r="L40" s="585"/>
      <c r="M40" s="585"/>
      <c r="N40" s="587"/>
      <c r="O40" s="50"/>
    </row>
    <row r="41" spans="4:15">
      <c r="D41" s="403">
        <v>1034</v>
      </c>
      <c r="E41" s="50" t="s">
        <v>2885</v>
      </c>
      <c r="F41" s="50">
        <v>1</v>
      </c>
      <c r="G41" s="585">
        <v>0</v>
      </c>
      <c r="H41" s="585">
        <v>0</v>
      </c>
      <c r="I41" s="586">
        <v>0</v>
      </c>
      <c r="J41" s="586">
        <v>0</v>
      </c>
      <c r="K41" s="585"/>
      <c r="L41" s="585"/>
      <c r="M41" s="585"/>
      <c r="N41" s="587"/>
      <c r="O41" s="50"/>
    </row>
    <row r="42" spans="4:15">
      <c r="D42" s="403">
        <v>1035</v>
      </c>
      <c r="E42" s="50" t="s">
        <v>2886</v>
      </c>
      <c r="F42" s="50">
        <v>3</v>
      </c>
      <c r="G42" s="585">
        <v>0</v>
      </c>
      <c r="H42" s="585">
        <v>0</v>
      </c>
      <c r="I42" s="586">
        <v>0</v>
      </c>
      <c r="J42" s="586">
        <v>0</v>
      </c>
      <c r="K42" s="585"/>
      <c r="L42" s="585"/>
      <c r="M42" s="585"/>
      <c r="N42" s="587"/>
      <c r="O42" s="50"/>
    </row>
    <row r="43" spans="4:15">
      <c r="D43" s="403">
        <v>1036</v>
      </c>
      <c r="E43" s="50" t="s">
        <v>2887</v>
      </c>
      <c r="F43" s="50">
        <v>1</v>
      </c>
      <c r="G43" s="585">
        <v>-3</v>
      </c>
      <c r="H43" s="585">
        <v>-3</v>
      </c>
      <c r="I43" s="586">
        <v>-3</v>
      </c>
      <c r="J43" s="586">
        <v>-3</v>
      </c>
      <c r="K43" s="585"/>
      <c r="L43" s="585"/>
      <c r="M43" s="585"/>
      <c r="N43" s="587"/>
      <c r="O43" s="50"/>
    </row>
    <row r="44" spans="4:15">
      <c r="D44" s="403">
        <v>1037</v>
      </c>
      <c r="E44" s="50" t="s">
        <v>2888</v>
      </c>
      <c r="F44" s="50">
        <v>1</v>
      </c>
      <c r="G44" s="585">
        <v>0</v>
      </c>
      <c r="H44" s="585">
        <v>0</v>
      </c>
      <c r="I44" s="586">
        <v>0</v>
      </c>
      <c r="J44" s="586">
        <v>0</v>
      </c>
      <c r="K44" s="585"/>
      <c r="L44" s="585"/>
      <c r="M44" s="585"/>
      <c r="N44" s="587"/>
      <c r="O44" s="50"/>
    </row>
    <row r="45" spans="4:15">
      <c r="D45" s="403">
        <v>1038</v>
      </c>
      <c r="E45" s="50" t="s">
        <v>2889</v>
      </c>
      <c r="F45" s="50">
        <v>1</v>
      </c>
      <c r="G45" s="585">
        <v>0</v>
      </c>
      <c r="H45" s="585">
        <v>0</v>
      </c>
      <c r="I45" s="586">
        <v>0</v>
      </c>
      <c r="J45" s="586">
        <v>0</v>
      </c>
      <c r="K45" s="585"/>
      <c r="L45" s="585"/>
      <c r="M45" s="585"/>
      <c r="N45" s="587"/>
      <c r="O45" s="50"/>
    </row>
    <row r="46" spans="4:15">
      <c r="D46" s="403">
        <v>1039</v>
      </c>
      <c r="E46" s="50" t="s">
        <v>2890</v>
      </c>
      <c r="F46" s="50">
        <v>3</v>
      </c>
      <c r="G46" s="585">
        <v>60</v>
      </c>
      <c r="H46" s="585">
        <v>60</v>
      </c>
      <c r="I46" s="586">
        <v>60</v>
      </c>
      <c r="J46" s="586">
        <v>60</v>
      </c>
      <c r="K46" s="585"/>
      <c r="L46" s="585"/>
      <c r="M46" s="585"/>
      <c r="N46" s="587"/>
      <c r="O46" s="50"/>
    </row>
    <row r="47" spans="4:15">
      <c r="D47" s="403">
        <v>1040</v>
      </c>
      <c r="E47" s="50" t="s">
        <v>2891</v>
      </c>
      <c r="F47" s="50">
        <v>3</v>
      </c>
      <c r="G47" s="588">
        <v>0</v>
      </c>
      <c r="H47" s="588">
        <v>0</v>
      </c>
      <c r="I47" s="586">
        <v>0</v>
      </c>
      <c r="J47" s="586">
        <v>0</v>
      </c>
      <c r="K47" s="585"/>
      <c r="L47" s="585"/>
      <c r="M47" s="585"/>
      <c r="N47" s="587"/>
      <c r="O47" s="50"/>
    </row>
    <row r="48" spans="4:15">
      <c r="D48" s="403">
        <v>1041</v>
      </c>
      <c r="E48" s="50" t="s">
        <v>2892</v>
      </c>
      <c r="F48" s="50">
        <v>1</v>
      </c>
      <c r="G48" s="585">
        <v>2</v>
      </c>
      <c r="H48" s="585">
        <v>2</v>
      </c>
      <c r="I48" s="586">
        <v>2</v>
      </c>
      <c r="J48" s="586">
        <v>2</v>
      </c>
      <c r="K48" s="585"/>
      <c r="L48" s="585"/>
      <c r="M48" s="585"/>
      <c r="N48" s="587"/>
      <c r="O48" s="50"/>
    </row>
    <row r="49" spans="4:15">
      <c r="D49" s="403">
        <v>1042</v>
      </c>
      <c r="E49" s="50" t="s">
        <v>2893</v>
      </c>
      <c r="F49" s="50">
        <v>3</v>
      </c>
      <c r="G49" s="585">
        <v>999</v>
      </c>
      <c r="H49" s="585">
        <v>999</v>
      </c>
      <c r="I49" s="586">
        <v>999</v>
      </c>
      <c r="J49" s="586">
        <v>999</v>
      </c>
      <c r="K49" s="585"/>
      <c r="L49" s="585"/>
      <c r="M49" s="585"/>
      <c r="N49" s="587"/>
      <c r="O49" s="50"/>
    </row>
    <row r="50" spans="4:15">
      <c r="D50" s="403">
        <v>1043</v>
      </c>
      <c r="E50" s="50" t="s">
        <v>2894</v>
      </c>
      <c r="F50" s="50">
        <v>1</v>
      </c>
      <c r="G50" s="585">
        <v>-7</v>
      </c>
      <c r="H50" s="585">
        <v>-7</v>
      </c>
      <c r="I50" s="586">
        <v>-7</v>
      </c>
      <c r="J50" s="586">
        <v>-7</v>
      </c>
      <c r="K50" s="585"/>
      <c r="L50" s="585"/>
      <c r="M50" s="585"/>
      <c r="N50" s="587"/>
      <c r="O50" s="50"/>
    </row>
    <row r="51" spans="4:15">
      <c r="D51" s="403">
        <v>1044</v>
      </c>
      <c r="E51" s="50" t="s">
        <v>2895</v>
      </c>
      <c r="F51" s="50">
        <v>1</v>
      </c>
      <c r="G51" s="585">
        <v>-4</v>
      </c>
      <c r="H51" s="585">
        <v>-4</v>
      </c>
      <c r="I51" s="586">
        <v>-4</v>
      </c>
      <c r="J51" s="586">
        <v>-4</v>
      </c>
      <c r="K51" s="585"/>
      <c r="L51" s="585"/>
      <c r="M51" s="585"/>
      <c r="N51" s="587"/>
      <c r="O51" s="50"/>
    </row>
    <row r="52" spans="4:15">
      <c r="D52" s="403">
        <v>1045</v>
      </c>
      <c r="E52" s="50" t="s">
        <v>2896</v>
      </c>
      <c r="F52" s="50">
        <v>3</v>
      </c>
      <c r="G52" s="585">
        <v>5</v>
      </c>
      <c r="H52" s="585">
        <v>5</v>
      </c>
      <c r="I52" s="586">
        <v>5</v>
      </c>
      <c r="J52" s="586">
        <v>5</v>
      </c>
      <c r="K52" s="585"/>
      <c r="L52" s="585"/>
      <c r="M52" s="585"/>
      <c r="N52" s="587"/>
      <c r="O52" s="50"/>
    </row>
    <row r="53" spans="4:15">
      <c r="D53" s="403">
        <v>1046</v>
      </c>
      <c r="E53" s="50" t="s">
        <v>2897</v>
      </c>
      <c r="F53" s="50">
        <v>1</v>
      </c>
      <c r="G53" s="585">
        <v>-2</v>
      </c>
      <c r="H53" s="585">
        <v>-2</v>
      </c>
      <c r="I53" s="586">
        <v>-2</v>
      </c>
      <c r="J53" s="586">
        <v>-2</v>
      </c>
      <c r="K53" s="585"/>
      <c r="L53" s="585"/>
      <c r="M53" s="585"/>
      <c r="N53" s="587"/>
      <c r="O53" s="50"/>
    </row>
    <row r="54" spans="4:15">
      <c r="D54" s="403">
        <v>1047</v>
      </c>
      <c r="E54" s="50" t="s">
        <v>2898</v>
      </c>
      <c r="F54" s="50">
        <v>1</v>
      </c>
      <c r="G54" s="585">
        <v>2</v>
      </c>
      <c r="H54" s="585">
        <v>2</v>
      </c>
      <c r="I54" s="586">
        <v>2</v>
      </c>
      <c r="J54" s="586">
        <v>2</v>
      </c>
      <c r="K54" s="585"/>
      <c r="L54" s="585"/>
      <c r="M54" s="585"/>
      <c r="N54" s="587"/>
      <c r="O54" s="50"/>
    </row>
    <row r="55" spans="4:15">
      <c r="D55" s="403">
        <v>1048</v>
      </c>
      <c r="E55" s="50" t="s">
        <v>2899</v>
      </c>
      <c r="F55" s="50">
        <v>1</v>
      </c>
      <c r="G55" s="585">
        <v>0</v>
      </c>
      <c r="H55" s="585">
        <v>0</v>
      </c>
      <c r="I55" s="586">
        <v>0</v>
      </c>
      <c r="J55" s="586">
        <v>0</v>
      </c>
      <c r="K55" s="585"/>
      <c r="L55" s="585"/>
      <c r="M55" s="585"/>
      <c r="N55" s="587"/>
      <c r="O55" s="50"/>
    </row>
    <row r="56" spans="4:15">
      <c r="D56" s="403">
        <v>1049</v>
      </c>
      <c r="E56" s="50" t="s">
        <v>2900</v>
      </c>
      <c r="F56" s="50">
        <v>1</v>
      </c>
      <c r="G56" s="585">
        <v>0</v>
      </c>
      <c r="H56" s="585">
        <v>0</v>
      </c>
      <c r="I56" s="586">
        <v>0</v>
      </c>
      <c r="J56" s="586">
        <v>0</v>
      </c>
      <c r="K56" s="585"/>
      <c r="L56" s="585"/>
      <c r="M56" s="585"/>
      <c r="N56" s="587"/>
      <c r="O56" s="50"/>
    </row>
    <row r="57" spans="4:15">
      <c r="D57" s="403">
        <v>1050</v>
      </c>
      <c r="E57" s="50" t="s">
        <v>2901</v>
      </c>
      <c r="F57" s="50">
        <v>1</v>
      </c>
      <c r="G57" s="585">
        <v>0</v>
      </c>
      <c r="H57" s="585">
        <v>0</v>
      </c>
      <c r="I57" s="586">
        <v>0</v>
      </c>
      <c r="J57" s="586">
        <v>0</v>
      </c>
      <c r="K57" s="585"/>
      <c r="L57" s="585"/>
      <c r="M57" s="585"/>
      <c r="N57" s="587"/>
      <c r="O57" s="50"/>
    </row>
    <row r="58" spans="4:15">
      <c r="D58" s="403">
        <v>1051</v>
      </c>
      <c r="E58" s="50" t="s">
        <v>2902</v>
      </c>
      <c r="F58" s="50">
        <v>1</v>
      </c>
      <c r="G58" s="585">
        <v>0</v>
      </c>
      <c r="H58" s="585">
        <v>0</v>
      </c>
      <c r="I58" s="586">
        <v>0</v>
      </c>
      <c r="J58" s="586">
        <v>0</v>
      </c>
      <c r="K58" s="585"/>
      <c r="L58" s="585"/>
      <c r="M58" s="585"/>
      <c r="N58" s="587"/>
      <c r="O58" s="50"/>
    </row>
    <row r="59" spans="4:15">
      <c r="D59" s="403">
        <v>1052</v>
      </c>
      <c r="E59" s="50" t="s">
        <v>2903</v>
      </c>
      <c r="F59" s="50">
        <v>3</v>
      </c>
      <c r="G59" s="585">
        <v>3</v>
      </c>
      <c r="H59" s="585">
        <v>3</v>
      </c>
      <c r="I59" s="586">
        <v>3</v>
      </c>
      <c r="J59" s="586">
        <v>3</v>
      </c>
      <c r="K59" s="585"/>
      <c r="L59" s="585"/>
      <c r="M59" s="585"/>
      <c r="N59" s="587"/>
      <c r="O59" s="50"/>
    </row>
    <row r="60" spans="4:15">
      <c r="D60" s="403">
        <v>1053</v>
      </c>
      <c r="E60" s="50" t="s">
        <v>2904</v>
      </c>
      <c r="F60" s="50">
        <v>1</v>
      </c>
      <c r="G60" s="585">
        <v>0</v>
      </c>
      <c r="H60" s="585">
        <v>0</v>
      </c>
      <c r="I60" s="586">
        <v>0</v>
      </c>
      <c r="J60" s="586">
        <v>0</v>
      </c>
      <c r="K60" s="585"/>
      <c r="L60" s="585"/>
      <c r="M60" s="585"/>
      <c r="N60" s="587"/>
      <c r="O60" s="50"/>
    </row>
    <row r="61" spans="4:15">
      <c r="D61" s="403">
        <v>1054</v>
      </c>
      <c r="E61" s="50" t="s">
        <v>2905</v>
      </c>
      <c r="F61" s="50">
        <v>1</v>
      </c>
      <c r="G61" s="585">
        <v>5</v>
      </c>
      <c r="H61" s="585">
        <v>5</v>
      </c>
      <c r="I61" s="586">
        <v>5</v>
      </c>
      <c r="J61" s="586">
        <v>5</v>
      </c>
      <c r="K61" s="585"/>
      <c r="L61" s="585"/>
      <c r="M61" s="585"/>
      <c r="N61" s="587"/>
      <c r="O61" s="50"/>
    </row>
    <row r="62" spans="4:15">
      <c r="D62" s="403">
        <v>1055</v>
      </c>
      <c r="E62" s="50" t="s">
        <v>2906</v>
      </c>
      <c r="F62" s="50">
        <v>1</v>
      </c>
      <c r="G62" s="585">
        <v>3</v>
      </c>
      <c r="H62" s="585">
        <v>3</v>
      </c>
      <c r="I62" s="586">
        <v>3</v>
      </c>
      <c r="J62" s="586">
        <v>3</v>
      </c>
      <c r="K62" s="585"/>
      <c r="L62" s="585"/>
      <c r="M62" s="585"/>
      <c r="N62" s="587"/>
      <c r="O62" s="50"/>
    </row>
    <row r="63" spans="4:15">
      <c r="D63" s="403">
        <v>1056</v>
      </c>
      <c r="E63" s="50" t="s">
        <v>2907</v>
      </c>
      <c r="F63" s="50">
        <v>3</v>
      </c>
      <c r="G63" s="585">
        <v>999</v>
      </c>
      <c r="H63" s="585">
        <v>999</v>
      </c>
      <c r="I63" s="586">
        <v>999</v>
      </c>
      <c r="J63" s="586">
        <v>999</v>
      </c>
      <c r="K63" s="585"/>
      <c r="L63" s="585"/>
      <c r="M63" s="585"/>
      <c r="N63" s="587"/>
      <c r="O63" s="50"/>
    </row>
    <row r="64" spans="4:15">
      <c r="D64" s="403">
        <v>1057</v>
      </c>
      <c r="E64" s="50" t="s">
        <v>2908</v>
      </c>
      <c r="F64" s="50">
        <v>1</v>
      </c>
      <c r="G64" s="585">
        <v>-6</v>
      </c>
      <c r="H64" s="585">
        <v>-6</v>
      </c>
      <c r="I64" s="586">
        <v>-6</v>
      </c>
      <c r="J64" s="586">
        <v>-6</v>
      </c>
      <c r="K64" s="585"/>
      <c r="L64" s="585"/>
      <c r="M64" s="585"/>
      <c r="N64" s="587"/>
      <c r="O64" s="50"/>
    </row>
    <row r="65" spans="4:15">
      <c r="D65" s="403">
        <v>1058</v>
      </c>
      <c r="E65" s="50" t="s">
        <v>2909</v>
      </c>
      <c r="F65" s="50">
        <v>1</v>
      </c>
      <c r="G65" s="585">
        <v>0</v>
      </c>
      <c r="H65" s="585">
        <v>0</v>
      </c>
      <c r="I65" s="586">
        <v>0</v>
      </c>
      <c r="J65" s="586">
        <v>0</v>
      </c>
      <c r="K65" s="585"/>
      <c r="L65" s="585"/>
      <c r="M65" s="585"/>
      <c r="N65" s="587"/>
      <c r="O65" s="50"/>
    </row>
    <row r="66" spans="4:15">
      <c r="D66" s="403">
        <v>1059</v>
      </c>
      <c r="E66" s="50" t="s">
        <v>2910</v>
      </c>
      <c r="F66" s="50">
        <v>1</v>
      </c>
      <c r="G66" s="585">
        <v>1</v>
      </c>
      <c r="H66" s="585">
        <v>1</v>
      </c>
      <c r="I66" s="586">
        <v>1</v>
      </c>
      <c r="J66" s="586">
        <v>1</v>
      </c>
      <c r="K66" s="585"/>
      <c r="L66" s="585"/>
      <c r="M66" s="585"/>
      <c r="N66" s="587"/>
      <c r="O66" s="50"/>
    </row>
    <row r="67" spans="4:15">
      <c r="D67" s="403">
        <v>1060</v>
      </c>
      <c r="E67" s="50" t="s">
        <v>2911</v>
      </c>
      <c r="F67" s="50">
        <v>1</v>
      </c>
      <c r="G67" s="585">
        <v>0</v>
      </c>
      <c r="H67" s="585">
        <v>0</v>
      </c>
      <c r="I67" s="586">
        <v>0</v>
      </c>
      <c r="J67" s="586">
        <v>0</v>
      </c>
      <c r="K67" s="585"/>
      <c r="L67" s="585"/>
      <c r="M67" s="585"/>
      <c r="N67" s="587"/>
      <c r="O67" s="50"/>
    </row>
    <row r="68" spans="4:15">
      <c r="D68" s="403">
        <v>1061</v>
      </c>
      <c r="E68" s="50" t="s">
        <v>2912</v>
      </c>
      <c r="F68" s="50">
        <v>1</v>
      </c>
      <c r="G68" s="585">
        <v>0</v>
      </c>
      <c r="H68" s="585">
        <v>0</v>
      </c>
      <c r="I68" s="586">
        <v>0</v>
      </c>
      <c r="J68" s="586">
        <v>0</v>
      </c>
      <c r="K68" s="585"/>
      <c r="L68" s="585"/>
      <c r="M68" s="585"/>
      <c r="N68" s="587"/>
      <c r="O68" s="50"/>
    </row>
    <row r="69" spans="4:15">
      <c r="D69" s="403">
        <v>1062</v>
      </c>
      <c r="E69" s="50" t="s">
        <v>2913</v>
      </c>
      <c r="F69" s="50">
        <v>1</v>
      </c>
      <c r="G69" s="585">
        <v>0</v>
      </c>
      <c r="H69" s="585">
        <v>0</v>
      </c>
      <c r="I69" s="586">
        <v>0</v>
      </c>
      <c r="J69" s="586">
        <v>0</v>
      </c>
      <c r="K69" s="585"/>
      <c r="L69" s="585"/>
      <c r="M69" s="585"/>
      <c r="N69" s="587"/>
      <c r="O69" s="50"/>
    </row>
    <row r="70" spans="4:15">
      <c r="D70" s="403">
        <v>1063</v>
      </c>
      <c r="E70" s="50" t="s">
        <v>2914</v>
      </c>
      <c r="F70" s="50">
        <v>1</v>
      </c>
      <c r="G70" s="585">
        <v>3</v>
      </c>
      <c r="H70" s="585">
        <v>3</v>
      </c>
      <c r="I70" s="586">
        <v>3</v>
      </c>
      <c r="J70" s="586">
        <v>3</v>
      </c>
      <c r="K70" s="585"/>
      <c r="L70" s="585"/>
      <c r="M70" s="585"/>
      <c r="N70" s="587"/>
      <c r="O70" s="50"/>
    </row>
    <row r="71" spans="4:15">
      <c r="D71" s="403">
        <v>1064</v>
      </c>
      <c r="E71" s="50" t="s">
        <v>2915</v>
      </c>
      <c r="F71" s="50">
        <v>3</v>
      </c>
      <c r="G71" s="585">
        <v>0</v>
      </c>
      <c r="H71" s="585">
        <v>0</v>
      </c>
      <c r="I71" s="586">
        <v>0</v>
      </c>
      <c r="J71" s="586">
        <v>0</v>
      </c>
      <c r="K71" s="585"/>
      <c r="L71" s="585"/>
      <c r="M71" s="585"/>
      <c r="N71" s="587"/>
      <c r="O71" s="50"/>
    </row>
    <row r="72" spans="4:15">
      <c r="D72" s="403">
        <v>1065</v>
      </c>
      <c r="E72" s="50" t="s">
        <v>2916</v>
      </c>
      <c r="F72" s="50">
        <v>3</v>
      </c>
      <c r="G72" s="585">
        <v>3</v>
      </c>
      <c r="H72" s="585">
        <v>3</v>
      </c>
      <c r="I72" s="586">
        <v>3</v>
      </c>
      <c r="J72" s="586">
        <v>3</v>
      </c>
      <c r="K72" s="585"/>
      <c r="L72" s="585"/>
      <c r="M72" s="585"/>
      <c r="N72" s="587"/>
      <c r="O72" s="50"/>
    </row>
    <row r="73" spans="4:15">
      <c r="D73" s="403">
        <v>1066</v>
      </c>
      <c r="E73" s="50" t="s">
        <v>2917</v>
      </c>
      <c r="F73" s="50">
        <v>3</v>
      </c>
      <c r="G73" s="585">
        <v>2</v>
      </c>
      <c r="H73" s="585">
        <v>2</v>
      </c>
      <c r="I73" s="586">
        <v>2</v>
      </c>
      <c r="J73" s="586">
        <v>2</v>
      </c>
      <c r="K73" s="585"/>
      <c r="L73" s="585"/>
      <c r="M73" s="585"/>
      <c r="N73" s="587"/>
      <c r="O73" s="50"/>
    </row>
    <row r="74" spans="4:15">
      <c r="D74" s="403">
        <v>1067</v>
      </c>
      <c r="E74" s="50" t="s">
        <v>2918</v>
      </c>
      <c r="F74" s="50">
        <v>1</v>
      </c>
      <c r="G74" s="585">
        <v>0</v>
      </c>
      <c r="H74" s="585">
        <v>0</v>
      </c>
      <c r="I74" s="586">
        <v>0</v>
      </c>
      <c r="J74" s="586">
        <v>0</v>
      </c>
      <c r="K74" s="585"/>
      <c r="L74" s="585"/>
      <c r="M74" s="585"/>
      <c r="N74" s="587"/>
      <c r="O74" s="50"/>
    </row>
    <row r="75" spans="4:15">
      <c r="D75" s="403">
        <v>1068</v>
      </c>
      <c r="E75" s="50" t="s">
        <v>2919</v>
      </c>
      <c r="F75" s="50">
        <v>1</v>
      </c>
      <c r="G75" s="585">
        <v>0</v>
      </c>
      <c r="H75" s="585">
        <v>0</v>
      </c>
      <c r="I75" s="586">
        <v>0</v>
      </c>
      <c r="J75" s="586">
        <v>0</v>
      </c>
      <c r="K75" s="585"/>
      <c r="L75" s="585"/>
      <c r="M75" s="585"/>
      <c r="N75" s="587"/>
      <c r="O75" s="50"/>
    </row>
    <row r="76" spans="4:15">
      <c r="D76" s="403">
        <v>1069</v>
      </c>
      <c r="E76" s="50" t="s">
        <v>2920</v>
      </c>
      <c r="F76" s="50">
        <v>1</v>
      </c>
      <c r="G76" s="585">
        <v>-3</v>
      </c>
      <c r="H76" s="585">
        <v>-3</v>
      </c>
      <c r="I76" s="586">
        <v>-3</v>
      </c>
      <c r="J76" s="586">
        <v>-3</v>
      </c>
      <c r="K76" s="585"/>
      <c r="L76" s="585"/>
      <c r="M76" s="585"/>
      <c r="N76" s="587"/>
      <c r="O76" s="50"/>
    </row>
    <row r="77" spans="4:15">
      <c r="D77" s="403">
        <v>1070</v>
      </c>
      <c r="E77" s="50" t="s">
        <v>2921</v>
      </c>
      <c r="F77" s="50">
        <v>1</v>
      </c>
      <c r="G77" s="585">
        <v>2</v>
      </c>
      <c r="H77" s="585">
        <v>2</v>
      </c>
      <c r="I77" s="586">
        <v>2</v>
      </c>
      <c r="J77" s="586">
        <v>2</v>
      </c>
      <c r="K77" s="585"/>
      <c r="L77" s="585"/>
      <c r="M77" s="585"/>
      <c r="N77" s="587"/>
      <c r="O77" s="50"/>
    </row>
    <row r="78" spans="4:15">
      <c r="D78" s="403">
        <v>1071</v>
      </c>
      <c r="E78" s="50" t="s">
        <v>2922</v>
      </c>
      <c r="F78" s="50">
        <v>1</v>
      </c>
      <c r="G78" s="585">
        <v>0</v>
      </c>
      <c r="H78" s="585">
        <v>0</v>
      </c>
      <c r="I78" s="586">
        <v>0</v>
      </c>
      <c r="J78" s="586">
        <v>0</v>
      </c>
      <c r="K78" s="585"/>
      <c r="L78" s="585"/>
      <c r="M78" s="585"/>
      <c r="N78" s="587"/>
      <c r="O78" s="50"/>
    </row>
    <row r="79" spans="4:15">
      <c r="D79" s="403">
        <v>1072</v>
      </c>
      <c r="E79" s="50" t="s">
        <v>2923</v>
      </c>
      <c r="F79" s="50">
        <v>1</v>
      </c>
      <c r="G79" s="585">
        <v>-3</v>
      </c>
      <c r="H79" s="585">
        <v>-3</v>
      </c>
      <c r="I79" s="586">
        <v>-3</v>
      </c>
      <c r="J79" s="586">
        <v>-3</v>
      </c>
      <c r="K79" s="585"/>
      <c r="L79" s="585"/>
      <c r="M79" s="585"/>
      <c r="N79" s="587"/>
      <c r="O79" s="50"/>
    </row>
    <row r="80" spans="4:15">
      <c r="D80" s="403">
        <v>1073</v>
      </c>
      <c r="E80" s="50" t="s">
        <v>2924</v>
      </c>
      <c r="F80" s="50">
        <v>1</v>
      </c>
      <c r="G80" s="585">
        <v>0</v>
      </c>
      <c r="H80" s="585">
        <v>0</v>
      </c>
      <c r="I80" s="586">
        <v>0</v>
      </c>
      <c r="J80" s="586">
        <v>0</v>
      </c>
      <c r="K80" s="585"/>
      <c r="L80" s="585"/>
      <c r="M80" s="585"/>
      <c r="N80" s="587"/>
      <c r="O80" s="50"/>
    </row>
    <row r="81" spans="4:15">
      <c r="D81" s="403">
        <v>1074</v>
      </c>
      <c r="E81" s="50" t="s">
        <v>2925</v>
      </c>
      <c r="F81" s="50">
        <v>1</v>
      </c>
      <c r="G81" s="585">
        <v>0</v>
      </c>
      <c r="H81" s="585">
        <v>0</v>
      </c>
      <c r="I81" s="586">
        <v>0</v>
      </c>
      <c r="J81" s="586">
        <v>0</v>
      </c>
      <c r="K81" s="585"/>
      <c r="L81" s="585"/>
      <c r="M81" s="585"/>
      <c r="N81" s="587"/>
      <c r="O81" s="50"/>
    </row>
    <row r="82" spans="4:15">
      <c r="D82" s="403">
        <v>1075</v>
      </c>
      <c r="E82" s="50" t="s">
        <v>2926</v>
      </c>
      <c r="F82" s="50">
        <v>3</v>
      </c>
      <c r="G82" s="585">
        <v>4</v>
      </c>
      <c r="H82" s="585">
        <v>4</v>
      </c>
      <c r="I82" s="586">
        <v>4</v>
      </c>
      <c r="J82" s="586">
        <v>4</v>
      </c>
      <c r="K82" s="585"/>
      <c r="L82" s="585"/>
      <c r="M82" s="585"/>
      <c r="N82" s="587"/>
      <c r="O82" s="50"/>
    </row>
    <row r="83" spans="4:15">
      <c r="D83" s="403">
        <v>1076</v>
      </c>
      <c r="E83" s="50" t="s">
        <v>2927</v>
      </c>
      <c r="F83" s="50">
        <v>1</v>
      </c>
      <c r="G83" s="585">
        <v>0</v>
      </c>
      <c r="H83" s="585">
        <v>0</v>
      </c>
      <c r="I83" s="586">
        <v>0</v>
      </c>
      <c r="J83" s="586">
        <v>0</v>
      </c>
      <c r="K83" s="585"/>
      <c r="L83" s="585"/>
      <c r="M83" s="585"/>
      <c r="N83" s="587"/>
      <c r="O83" s="50"/>
    </row>
    <row r="84" spans="4:15">
      <c r="D84" s="403">
        <v>1077</v>
      </c>
      <c r="E84" s="51" t="s">
        <v>2928</v>
      </c>
      <c r="F84" s="50">
        <v>1</v>
      </c>
      <c r="G84" s="585">
        <v>0</v>
      </c>
      <c r="H84" s="585">
        <v>0</v>
      </c>
      <c r="I84" s="586">
        <v>0</v>
      </c>
      <c r="J84" s="586">
        <v>0</v>
      </c>
      <c r="K84" s="585"/>
      <c r="L84" s="585"/>
      <c r="M84" s="585"/>
      <c r="N84" s="587"/>
      <c r="O84" s="50"/>
    </row>
    <row r="85" spans="4:15">
      <c r="D85" s="403">
        <v>1078</v>
      </c>
      <c r="E85" s="50" t="s">
        <v>2929</v>
      </c>
      <c r="F85" s="50">
        <v>1</v>
      </c>
      <c r="G85" s="585">
        <v>0</v>
      </c>
      <c r="H85" s="585">
        <v>0</v>
      </c>
      <c r="I85" s="586">
        <v>0</v>
      </c>
      <c r="J85" s="586">
        <v>0</v>
      </c>
      <c r="K85" s="585"/>
      <c r="L85" s="585"/>
      <c r="M85" s="585"/>
      <c r="N85" s="587"/>
      <c r="O85" s="50"/>
    </row>
    <row r="86" spans="4:15">
      <c r="D86" s="403">
        <v>152385</v>
      </c>
      <c r="E86" s="50" t="s">
        <v>2930</v>
      </c>
      <c r="F86" s="50">
        <v>1</v>
      </c>
      <c r="G86" s="585">
        <v>-2</v>
      </c>
      <c r="H86" s="585">
        <v>-2</v>
      </c>
      <c r="I86" s="586">
        <v>-2</v>
      </c>
      <c r="J86" s="586">
        <v>-2</v>
      </c>
      <c r="K86" s="585"/>
      <c r="L86" s="585"/>
      <c r="M86" s="585"/>
      <c r="N86" s="587"/>
    </row>
    <row r="87" spans="4:15">
      <c r="D87" s="403">
        <v>152386</v>
      </c>
      <c r="E87" s="50" t="s">
        <v>2931</v>
      </c>
      <c r="F87" s="50">
        <v>1</v>
      </c>
      <c r="G87" s="585">
        <v>-2</v>
      </c>
      <c r="H87" s="585">
        <v>-2</v>
      </c>
      <c r="I87" s="586">
        <v>-2</v>
      </c>
      <c r="J87" s="586">
        <v>-2</v>
      </c>
      <c r="K87" s="585"/>
      <c r="L87" s="585"/>
      <c r="M87" s="585"/>
      <c r="N87" s="587"/>
    </row>
    <row r="88" spans="4:15">
      <c r="D88" s="403">
        <v>152387</v>
      </c>
      <c r="E88" s="50" t="s">
        <v>2932</v>
      </c>
      <c r="F88" s="50">
        <v>1</v>
      </c>
      <c r="G88" s="585">
        <v>-2</v>
      </c>
      <c r="H88" s="585">
        <v>-2</v>
      </c>
      <c r="I88" s="586">
        <v>-2</v>
      </c>
      <c r="J88" s="586">
        <v>-2</v>
      </c>
      <c r="K88" s="585"/>
      <c r="L88" s="585"/>
      <c r="M88" s="585"/>
      <c r="N88" s="587"/>
    </row>
    <row r="89" spans="4:15">
      <c r="D89" s="403">
        <v>152388</v>
      </c>
      <c r="E89" s="50" t="s">
        <v>2933</v>
      </c>
      <c r="F89" s="50">
        <v>1</v>
      </c>
      <c r="G89" s="585">
        <v>0</v>
      </c>
      <c r="H89" s="585">
        <v>0</v>
      </c>
      <c r="I89" s="586">
        <v>0</v>
      </c>
      <c r="J89" s="586">
        <v>0</v>
      </c>
      <c r="K89" s="585"/>
      <c r="L89" s="585"/>
      <c r="M89" s="585"/>
      <c r="N89" s="587"/>
    </row>
    <row r="90" spans="4:15">
      <c r="D90" s="403">
        <v>152389</v>
      </c>
      <c r="E90" s="50" t="s">
        <v>2934</v>
      </c>
      <c r="F90" s="50">
        <v>1</v>
      </c>
      <c r="G90" s="585">
        <v>3</v>
      </c>
      <c r="H90" s="585">
        <v>3</v>
      </c>
      <c r="I90" s="586">
        <v>3</v>
      </c>
      <c r="J90" s="586">
        <v>3</v>
      </c>
      <c r="K90" s="585"/>
      <c r="L90" s="585"/>
      <c r="M90" s="585"/>
      <c r="N90" s="587"/>
    </row>
    <row r="91" spans="4:15">
      <c r="D91" s="403">
        <v>152390</v>
      </c>
      <c r="E91" s="50" t="s">
        <v>2935</v>
      </c>
      <c r="F91" s="50">
        <v>1</v>
      </c>
      <c r="G91" s="585">
        <v>0</v>
      </c>
      <c r="H91" s="585">
        <v>0</v>
      </c>
      <c r="I91" s="586">
        <v>0</v>
      </c>
      <c r="J91" s="586">
        <v>0</v>
      </c>
      <c r="K91" s="585"/>
      <c r="L91" s="585"/>
      <c r="M91" s="585"/>
      <c r="N91" s="587"/>
    </row>
    <row r="92" spans="4:15">
      <c r="D92" s="403">
        <v>152391</v>
      </c>
      <c r="E92" s="50" t="s">
        <v>2936</v>
      </c>
      <c r="F92" s="50">
        <v>1</v>
      </c>
      <c r="G92" s="585">
        <v>2</v>
      </c>
      <c r="H92" s="585">
        <v>2</v>
      </c>
      <c r="I92" s="586">
        <v>2</v>
      </c>
      <c r="J92" s="586">
        <v>2</v>
      </c>
      <c r="K92" s="585"/>
      <c r="L92" s="585"/>
      <c r="M92" s="585"/>
      <c r="N92" s="587"/>
    </row>
    <row r="93" spans="4:15">
      <c r="D93" s="403">
        <v>152392</v>
      </c>
      <c r="E93" s="50" t="s">
        <v>2937</v>
      </c>
      <c r="F93" s="50">
        <v>3</v>
      </c>
      <c r="G93" s="585">
        <v>999</v>
      </c>
      <c r="H93" s="585">
        <v>999</v>
      </c>
      <c r="I93" s="586">
        <v>999</v>
      </c>
      <c r="J93" s="586">
        <v>999</v>
      </c>
      <c r="K93" s="585"/>
      <c r="L93" s="585"/>
      <c r="M93" s="585"/>
      <c r="N93" s="587"/>
    </row>
    <row r="94" spans="4:15">
      <c r="D94" s="403">
        <v>152393</v>
      </c>
      <c r="E94" s="50" t="s">
        <v>2938</v>
      </c>
      <c r="F94" s="50">
        <v>3</v>
      </c>
      <c r="G94" s="585">
        <v>999</v>
      </c>
      <c r="H94" s="585">
        <v>999</v>
      </c>
      <c r="I94" s="586">
        <v>999</v>
      </c>
      <c r="J94" s="586">
        <v>999</v>
      </c>
      <c r="K94" s="585"/>
      <c r="L94" s="585"/>
      <c r="M94" s="585"/>
      <c r="N94" s="587"/>
    </row>
    <row r="95" spans="4:15">
      <c r="D95" s="403">
        <v>152394</v>
      </c>
      <c r="E95" s="50" t="s">
        <v>2939</v>
      </c>
      <c r="F95" s="50">
        <v>3</v>
      </c>
      <c r="G95" s="585">
        <v>999</v>
      </c>
      <c r="H95" s="585">
        <v>999</v>
      </c>
      <c r="I95" s="586">
        <v>999</v>
      </c>
      <c r="J95" s="586">
        <v>999</v>
      </c>
      <c r="K95" s="585"/>
      <c r="L95" s="585"/>
      <c r="M95" s="585"/>
      <c r="N95" s="587"/>
    </row>
    <row r="96" spans="4:15">
      <c r="D96" s="403">
        <v>152395</v>
      </c>
      <c r="E96" s="50" t="s">
        <v>2940</v>
      </c>
      <c r="F96" s="50">
        <v>3</v>
      </c>
      <c r="G96" s="585">
        <v>999</v>
      </c>
      <c r="H96" s="585">
        <v>999</v>
      </c>
      <c r="I96" s="586">
        <v>999</v>
      </c>
      <c r="J96" s="586">
        <v>999</v>
      </c>
      <c r="K96" s="585"/>
      <c r="L96" s="585"/>
      <c r="M96" s="585"/>
      <c r="N96" s="587"/>
    </row>
    <row r="97" spans="4:14">
      <c r="D97" s="403">
        <v>152396</v>
      </c>
      <c r="E97" s="50" t="s">
        <v>2941</v>
      </c>
      <c r="F97" s="50">
        <v>1</v>
      </c>
      <c r="G97" s="585">
        <v>2</v>
      </c>
      <c r="H97" s="585">
        <v>2</v>
      </c>
      <c r="I97" s="586">
        <v>2</v>
      </c>
      <c r="J97" s="586">
        <v>2</v>
      </c>
      <c r="K97" s="585"/>
      <c r="L97" s="585"/>
      <c r="M97" s="585"/>
      <c r="N97" s="587"/>
    </row>
    <row r="98" spans="4:14">
      <c r="D98" s="403">
        <v>152397</v>
      </c>
      <c r="E98" s="50" t="s">
        <v>2942</v>
      </c>
      <c r="F98" s="50">
        <v>1</v>
      </c>
      <c r="G98" s="585">
        <v>0</v>
      </c>
      <c r="H98" s="585">
        <v>0</v>
      </c>
      <c r="I98" s="586">
        <v>0</v>
      </c>
      <c r="J98" s="586">
        <v>0</v>
      </c>
      <c r="K98" s="585"/>
      <c r="L98" s="585"/>
      <c r="M98" s="585"/>
      <c r="N98" s="587"/>
    </row>
    <row r="99" spans="4:14">
      <c r="D99" s="403">
        <v>152398</v>
      </c>
      <c r="E99" s="50" t="s">
        <v>2943</v>
      </c>
      <c r="F99" s="50">
        <v>3</v>
      </c>
      <c r="G99" s="585">
        <v>999</v>
      </c>
      <c r="H99" s="585">
        <v>999</v>
      </c>
      <c r="I99" s="586">
        <v>999</v>
      </c>
      <c r="J99" s="586">
        <v>999</v>
      </c>
      <c r="K99" s="585"/>
      <c r="L99" s="585"/>
      <c r="M99" s="585"/>
      <c r="N99" s="587"/>
    </row>
    <row r="100" spans="4:14">
      <c r="D100" s="403">
        <v>152399</v>
      </c>
      <c r="E100" s="50" t="s">
        <v>2944</v>
      </c>
      <c r="F100" s="50">
        <v>3</v>
      </c>
      <c r="G100" s="585">
        <v>999</v>
      </c>
      <c r="H100" s="585">
        <v>999</v>
      </c>
      <c r="I100" s="586">
        <v>999</v>
      </c>
      <c r="J100" s="586">
        <v>999</v>
      </c>
      <c r="K100" s="585"/>
      <c r="L100" s="585"/>
      <c r="M100" s="585"/>
      <c r="N100" s="587"/>
    </row>
    <row r="101" spans="4:14">
      <c r="D101" s="589">
        <v>200000</v>
      </c>
      <c r="E101" s="590" t="s">
        <v>2945</v>
      </c>
      <c r="F101" s="590">
        <v>3</v>
      </c>
      <c r="G101" s="591">
        <v>0</v>
      </c>
      <c r="H101" s="591">
        <v>0</v>
      </c>
      <c r="I101" s="591">
        <v>0</v>
      </c>
      <c r="J101" s="591">
        <v>0</v>
      </c>
      <c r="K101" s="585"/>
      <c r="L101" s="585"/>
      <c r="M101" s="585"/>
      <c r="N101" s="587"/>
    </row>
    <row r="102" spans="4:14">
      <c r="D102" s="589">
        <v>200001</v>
      </c>
      <c r="E102" s="590" t="s">
        <v>2946</v>
      </c>
      <c r="F102" s="590">
        <v>3</v>
      </c>
      <c r="G102" s="591">
        <v>999</v>
      </c>
      <c r="H102" s="591">
        <v>999</v>
      </c>
      <c r="I102" s="591">
        <v>999</v>
      </c>
      <c r="J102" s="591">
        <v>999</v>
      </c>
      <c r="K102" s="585"/>
      <c r="L102" s="585"/>
      <c r="M102" s="585"/>
      <c r="N102" s="587"/>
    </row>
    <row r="103" spans="4:14">
      <c r="D103" s="589">
        <v>200002</v>
      </c>
      <c r="E103" s="590" t="s">
        <v>2947</v>
      </c>
      <c r="F103" s="590">
        <v>3</v>
      </c>
      <c r="G103" s="591">
        <v>999</v>
      </c>
      <c r="H103" s="591">
        <v>999</v>
      </c>
      <c r="I103" s="591">
        <v>999</v>
      </c>
      <c r="J103" s="591">
        <v>999</v>
      </c>
      <c r="K103" s="585"/>
      <c r="L103" s="585"/>
      <c r="M103" s="585"/>
      <c r="N103" s="587"/>
    </row>
    <row r="104" spans="4:14">
      <c r="D104" s="589">
        <v>200003</v>
      </c>
      <c r="E104" s="590" t="s">
        <v>2948</v>
      </c>
      <c r="F104" s="590">
        <v>3</v>
      </c>
      <c r="G104" s="591">
        <v>999</v>
      </c>
      <c r="H104" s="591">
        <v>999</v>
      </c>
      <c r="I104" s="591">
        <v>999</v>
      </c>
      <c r="J104" s="591">
        <v>999</v>
      </c>
      <c r="K104" s="585"/>
      <c r="L104" s="585"/>
      <c r="M104" s="585"/>
      <c r="N104" s="587"/>
    </row>
    <row r="105" spans="4:14">
      <c r="D105" s="589">
        <v>200004</v>
      </c>
      <c r="E105" s="590" t="s">
        <v>2938</v>
      </c>
      <c r="F105" s="590">
        <v>3</v>
      </c>
      <c r="G105" s="591">
        <v>999</v>
      </c>
      <c r="H105" s="591">
        <v>999</v>
      </c>
      <c r="I105" s="591">
        <v>999</v>
      </c>
      <c r="J105" s="591">
        <v>999</v>
      </c>
      <c r="K105" s="585"/>
      <c r="L105" s="585"/>
      <c r="M105" s="585"/>
      <c r="N105" s="587"/>
    </row>
    <row r="106" spans="4:14">
      <c r="D106" s="589">
        <v>200005</v>
      </c>
      <c r="E106" s="590" t="s">
        <v>2949</v>
      </c>
      <c r="F106" s="590">
        <v>3</v>
      </c>
      <c r="G106" s="591">
        <v>999</v>
      </c>
      <c r="H106" s="591">
        <v>999</v>
      </c>
      <c r="I106" s="591">
        <v>999</v>
      </c>
      <c r="J106" s="591">
        <v>999</v>
      </c>
      <c r="K106" s="585"/>
      <c r="L106" s="585"/>
      <c r="M106" s="585"/>
      <c r="N106" s="587"/>
    </row>
    <row r="107" spans="4:14">
      <c r="D107" s="589">
        <v>200006</v>
      </c>
      <c r="E107" s="590" t="s">
        <v>2944</v>
      </c>
      <c r="F107" s="590">
        <v>3</v>
      </c>
      <c r="G107" s="591">
        <v>999</v>
      </c>
      <c r="H107" s="591">
        <v>999</v>
      </c>
      <c r="I107" s="591">
        <v>999</v>
      </c>
      <c r="J107" s="591">
        <v>999</v>
      </c>
      <c r="K107" s="585"/>
      <c r="L107" s="585"/>
      <c r="M107" s="585"/>
      <c r="N107" s="587"/>
    </row>
    <row r="108" spans="4:14">
      <c r="D108" s="589">
        <v>200007</v>
      </c>
      <c r="E108" s="590" t="s">
        <v>2950</v>
      </c>
      <c r="F108" s="590">
        <v>3</v>
      </c>
      <c r="G108" s="591">
        <v>999</v>
      </c>
      <c r="H108" s="591">
        <v>999</v>
      </c>
      <c r="I108" s="591">
        <v>999</v>
      </c>
      <c r="J108" s="591">
        <v>999</v>
      </c>
      <c r="K108" s="585"/>
      <c r="L108" s="585"/>
      <c r="M108" s="585"/>
      <c r="N108" s="587"/>
    </row>
    <row r="109" spans="4:14">
      <c r="D109" s="589">
        <v>200008</v>
      </c>
      <c r="E109" s="590" t="s">
        <v>2951</v>
      </c>
      <c r="F109" s="590">
        <v>3</v>
      </c>
      <c r="G109" s="591">
        <v>999</v>
      </c>
      <c r="H109" s="591">
        <v>999</v>
      </c>
      <c r="I109" s="591">
        <v>999</v>
      </c>
      <c r="J109" s="591">
        <v>999</v>
      </c>
      <c r="K109" s="585"/>
      <c r="L109" s="585"/>
      <c r="M109" s="585"/>
      <c r="N109" s="587"/>
    </row>
    <row r="110" spans="4:14">
      <c r="D110" s="589">
        <v>200009</v>
      </c>
      <c r="E110" s="590" t="s">
        <v>2952</v>
      </c>
      <c r="F110" s="590">
        <v>3</v>
      </c>
      <c r="G110" s="591">
        <v>999</v>
      </c>
      <c r="H110" s="591">
        <v>999</v>
      </c>
      <c r="I110" s="591">
        <v>999</v>
      </c>
      <c r="J110" s="591">
        <v>999</v>
      </c>
      <c r="K110" s="585"/>
      <c r="L110" s="585"/>
      <c r="M110" s="585"/>
      <c r="N110" s="587"/>
    </row>
    <row r="111" spans="4:14">
      <c r="D111" s="589">
        <v>200010</v>
      </c>
      <c r="E111" s="590" t="s">
        <v>2953</v>
      </c>
      <c r="F111" s="590">
        <v>3</v>
      </c>
      <c r="G111" s="591">
        <v>60</v>
      </c>
      <c r="H111" s="591">
        <v>60</v>
      </c>
      <c r="I111" s="591">
        <v>60</v>
      </c>
      <c r="J111" s="591">
        <v>60</v>
      </c>
      <c r="K111" s="585"/>
      <c r="L111" s="585"/>
      <c r="M111" s="585"/>
      <c r="N111" s="587"/>
    </row>
    <row r="112" spans="4:14">
      <c r="D112" s="589">
        <v>200011</v>
      </c>
      <c r="E112" s="590" t="s">
        <v>2954</v>
      </c>
      <c r="F112" s="590">
        <v>3</v>
      </c>
      <c r="G112" s="591">
        <v>3</v>
      </c>
      <c r="H112" s="591">
        <v>3</v>
      </c>
      <c r="I112" s="591">
        <v>3</v>
      </c>
      <c r="J112" s="591">
        <v>3</v>
      </c>
      <c r="K112" s="585"/>
      <c r="L112" s="585"/>
      <c r="M112" s="585"/>
      <c r="N112" s="587"/>
    </row>
    <row r="113" spans="4:14">
      <c r="D113" s="589">
        <v>200012</v>
      </c>
      <c r="E113" s="590" t="s">
        <v>2955</v>
      </c>
      <c r="F113" s="590">
        <v>3</v>
      </c>
      <c r="G113" s="591">
        <v>0</v>
      </c>
      <c r="H113" s="591">
        <v>0</v>
      </c>
      <c r="I113" s="591">
        <v>0</v>
      </c>
      <c r="J113" s="591">
        <v>0</v>
      </c>
      <c r="K113" s="585"/>
      <c r="L113" s="585"/>
      <c r="M113" s="585"/>
      <c r="N113" s="587"/>
    </row>
    <row r="114" spans="4:14">
      <c r="D114" s="589">
        <v>200013</v>
      </c>
      <c r="E114" s="590" t="s">
        <v>2956</v>
      </c>
      <c r="F114" s="590">
        <v>3</v>
      </c>
      <c r="G114" s="591">
        <v>999</v>
      </c>
      <c r="H114" s="591">
        <v>999</v>
      </c>
      <c r="I114" s="591">
        <v>999</v>
      </c>
      <c r="J114" s="591">
        <v>999</v>
      </c>
      <c r="K114" s="585"/>
      <c r="L114" s="585"/>
      <c r="M114" s="585"/>
      <c r="N114" s="587"/>
    </row>
    <row r="115" spans="4:14">
      <c r="D115" s="589">
        <v>200014</v>
      </c>
      <c r="E115" s="590" t="s">
        <v>2957</v>
      </c>
      <c r="F115" s="590">
        <v>3</v>
      </c>
      <c r="G115" s="591">
        <v>0</v>
      </c>
      <c r="H115" s="591">
        <v>0</v>
      </c>
      <c r="I115" s="591">
        <v>0</v>
      </c>
      <c r="J115" s="591">
        <v>0</v>
      </c>
      <c r="K115" s="585"/>
      <c r="L115" s="585"/>
      <c r="M115" s="585"/>
      <c r="N115" s="587"/>
    </row>
    <row r="116" spans="4:14">
      <c r="D116" s="589">
        <v>200015</v>
      </c>
      <c r="E116" s="590" t="s">
        <v>2958</v>
      </c>
      <c r="F116" s="590">
        <v>1</v>
      </c>
      <c r="G116" s="591">
        <v>0</v>
      </c>
      <c r="H116" s="591">
        <v>0</v>
      </c>
      <c r="I116" s="591">
        <v>0</v>
      </c>
      <c r="J116" s="591">
        <v>0</v>
      </c>
      <c r="K116" s="585"/>
      <c r="L116" s="585"/>
      <c r="M116" s="585"/>
      <c r="N116" s="587"/>
    </row>
    <row r="117" spans="4:14">
      <c r="D117" s="589">
        <v>200016</v>
      </c>
      <c r="E117" s="590" t="s">
        <v>2959</v>
      </c>
      <c r="F117" s="590">
        <v>3</v>
      </c>
      <c r="G117" s="591">
        <v>999</v>
      </c>
      <c r="H117" s="591">
        <v>999</v>
      </c>
      <c r="I117" s="591">
        <v>999</v>
      </c>
      <c r="J117" s="591">
        <v>999</v>
      </c>
      <c r="K117" s="585"/>
      <c r="L117" s="585"/>
      <c r="M117" s="585"/>
      <c r="N117" s="587"/>
    </row>
    <row r="118" spans="4:14">
      <c r="D118" s="589">
        <v>200017</v>
      </c>
      <c r="E118" s="590" t="s">
        <v>2960</v>
      </c>
      <c r="F118" s="590">
        <v>3</v>
      </c>
      <c r="G118" s="591">
        <v>0</v>
      </c>
      <c r="H118" s="591">
        <v>0</v>
      </c>
      <c r="I118" s="591">
        <v>0</v>
      </c>
      <c r="J118" s="591">
        <v>0</v>
      </c>
      <c r="K118" s="585"/>
      <c r="L118" s="585"/>
      <c r="M118" s="585"/>
      <c r="N118" s="587"/>
    </row>
    <row r="119" spans="4:14">
      <c r="D119" s="589">
        <v>200018</v>
      </c>
      <c r="E119" s="590" t="s">
        <v>2961</v>
      </c>
      <c r="F119" s="590">
        <v>3</v>
      </c>
      <c r="G119" s="591">
        <v>0</v>
      </c>
      <c r="H119" s="591">
        <v>0</v>
      </c>
      <c r="I119" s="591">
        <v>0</v>
      </c>
      <c r="J119" s="591">
        <v>0</v>
      </c>
      <c r="K119" s="585"/>
      <c r="L119" s="585"/>
      <c r="M119" s="585"/>
      <c r="N119" s="587"/>
    </row>
    <row r="120" spans="4:14">
      <c r="D120" s="589">
        <v>200019</v>
      </c>
      <c r="E120" s="590" t="s">
        <v>2962</v>
      </c>
      <c r="F120" s="590">
        <v>3</v>
      </c>
      <c r="G120" s="591">
        <v>999</v>
      </c>
      <c r="H120" s="591">
        <v>999</v>
      </c>
      <c r="I120" s="591">
        <v>999</v>
      </c>
      <c r="J120" s="591">
        <v>999</v>
      </c>
      <c r="K120" s="585"/>
      <c r="L120" s="585"/>
      <c r="M120" s="585"/>
      <c r="N120" s="587"/>
    </row>
    <row r="121" spans="4:14">
      <c r="D121" s="589">
        <v>200020</v>
      </c>
      <c r="E121" s="590" t="s">
        <v>2963</v>
      </c>
      <c r="F121" s="590">
        <v>3</v>
      </c>
      <c r="G121" s="591">
        <v>0</v>
      </c>
      <c r="H121" s="591">
        <v>0</v>
      </c>
      <c r="I121" s="591">
        <v>0</v>
      </c>
      <c r="J121" s="591">
        <v>0</v>
      </c>
      <c r="K121" s="585"/>
      <c r="L121" s="585"/>
      <c r="M121" s="585"/>
      <c r="N121" s="587"/>
    </row>
    <row r="122" spans="4:14">
      <c r="D122" s="589">
        <v>200021</v>
      </c>
      <c r="E122" s="590" t="s">
        <v>2964</v>
      </c>
      <c r="F122" s="590">
        <v>3</v>
      </c>
      <c r="G122" s="591">
        <v>999</v>
      </c>
      <c r="H122" s="591">
        <v>999</v>
      </c>
      <c r="I122" s="591">
        <v>999</v>
      </c>
      <c r="J122" s="591">
        <v>999</v>
      </c>
      <c r="K122" s="585"/>
      <c r="L122" s="585"/>
      <c r="M122" s="585"/>
      <c r="N122" s="587"/>
    </row>
    <row r="123" spans="4:14">
      <c r="D123" s="589">
        <v>300000</v>
      </c>
      <c r="E123" s="590" t="s">
        <v>2965</v>
      </c>
      <c r="F123" s="590">
        <v>1</v>
      </c>
      <c r="G123" s="591">
        <v>0</v>
      </c>
      <c r="H123" s="591">
        <v>0</v>
      </c>
      <c r="I123" s="591">
        <v>0</v>
      </c>
      <c r="J123" s="591">
        <v>0</v>
      </c>
      <c r="K123" s="585"/>
      <c r="L123" s="585"/>
      <c r="M123" s="585"/>
      <c r="N123" s="587"/>
    </row>
    <row r="124" spans="4:14">
      <c r="D124" s="589">
        <v>300001</v>
      </c>
      <c r="E124" s="590" t="s">
        <v>2966</v>
      </c>
      <c r="F124" s="590">
        <v>1</v>
      </c>
      <c r="G124" s="591">
        <v>-3</v>
      </c>
      <c r="H124" s="591">
        <v>-3</v>
      </c>
      <c r="I124" s="591">
        <v>-3</v>
      </c>
      <c r="J124" s="591">
        <v>-3</v>
      </c>
      <c r="K124" s="585"/>
      <c r="L124" s="585"/>
      <c r="M124" s="585"/>
      <c r="N124" s="587"/>
    </row>
    <row r="125" spans="4:14">
      <c r="D125" s="589">
        <v>300002</v>
      </c>
      <c r="E125" s="590" t="s">
        <v>2851</v>
      </c>
      <c r="F125" s="590">
        <v>1</v>
      </c>
      <c r="G125" s="591">
        <v>-3</v>
      </c>
      <c r="H125" s="591">
        <v>-3</v>
      </c>
      <c r="I125" s="591">
        <v>-3</v>
      </c>
      <c r="J125" s="591">
        <v>-3</v>
      </c>
      <c r="K125" s="585"/>
      <c r="L125" s="585"/>
      <c r="M125" s="585"/>
      <c r="N125" s="587"/>
    </row>
    <row r="126" spans="4:14">
      <c r="D126" s="589">
        <v>300003</v>
      </c>
      <c r="E126" s="590" t="s">
        <v>2852</v>
      </c>
      <c r="F126" s="590">
        <v>1</v>
      </c>
      <c r="G126" s="591">
        <v>-10</v>
      </c>
      <c r="H126" s="591">
        <v>-10</v>
      </c>
      <c r="I126" s="591">
        <v>-10</v>
      </c>
      <c r="J126" s="591">
        <v>-10</v>
      </c>
      <c r="K126" s="585"/>
      <c r="L126" s="585"/>
      <c r="M126" s="585"/>
      <c r="N126" s="587"/>
    </row>
    <row r="127" spans="4:14">
      <c r="D127" s="589">
        <v>300004</v>
      </c>
      <c r="E127" s="590" t="s">
        <v>2853</v>
      </c>
      <c r="F127" s="590">
        <v>1</v>
      </c>
      <c r="G127" s="591">
        <v>0</v>
      </c>
      <c r="H127" s="591">
        <v>0</v>
      </c>
      <c r="I127" s="591">
        <v>0</v>
      </c>
      <c r="J127" s="591">
        <v>0</v>
      </c>
      <c r="K127" s="585"/>
      <c r="L127" s="585"/>
      <c r="M127" s="585"/>
      <c r="N127" s="587"/>
    </row>
    <row r="128" spans="4:14">
      <c r="D128" s="589">
        <v>300005</v>
      </c>
      <c r="E128" s="590" t="s">
        <v>2855</v>
      </c>
      <c r="F128" s="590">
        <v>1</v>
      </c>
      <c r="G128" s="591">
        <v>3</v>
      </c>
      <c r="H128" s="591">
        <v>3</v>
      </c>
      <c r="I128" s="591">
        <v>3</v>
      </c>
      <c r="J128" s="591">
        <v>3</v>
      </c>
      <c r="K128" s="585"/>
      <c r="L128" s="585"/>
      <c r="M128" s="585"/>
      <c r="N128" s="587"/>
    </row>
    <row r="129" spans="4:14">
      <c r="D129" s="589">
        <v>300006</v>
      </c>
      <c r="E129" s="590" t="s">
        <v>2859</v>
      </c>
      <c r="F129" s="590">
        <v>1</v>
      </c>
      <c r="G129" s="591">
        <v>3</v>
      </c>
      <c r="H129" s="591">
        <v>3</v>
      </c>
      <c r="I129" s="591">
        <v>3</v>
      </c>
      <c r="J129" s="591">
        <v>3</v>
      </c>
      <c r="K129" s="585"/>
      <c r="L129" s="585"/>
      <c r="M129" s="585"/>
      <c r="N129" s="587"/>
    </row>
    <row r="130" spans="4:14">
      <c r="D130" s="589">
        <v>300007</v>
      </c>
      <c r="E130" s="590" t="s">
        <v>2967</v>
      </c>
      <c r="F130" s="590">
        <v>1</v>
      </c>
      <c r="G130" s="591">
        <v>-10</v>
      </c>
      <c r="H130" s="591">
        <v>-10</v>
      </c>
      <c r="I130" s="591">
        <v>-10</v>
      </c>
      <c r="J130" s="591">
        <v>-10</v>
      </c>
      <c r="K130" s="585"/>
      <c r="L130" s="585"/>
      <c r="M130" s="585"/>
      <c r="N130" s="587"/>
    </row>
    <row r="131" spans="4:14">
      <c r="D131" s="589">
        <v>300008</v>
      </c>
      <c r="E131" s="590" t="s">
        <v>2861</v>
      </c>
      <c r="F131" s="590">
        <v>1</v>
      </c>
      <c r="G131" s="591">
        <v>-10</v>
      </c>
      <c r="H131" s="591">
        <v>-10</v>
      </c>
      <c r="I131" s="591">
        <v>-10</v>
      </c>
      <c r="J131" s="591">
        <v>-10</v>
      </c>
      <c r="K131" s="585"/>
      <c r="L131" s="585"/>
      <c r="M131" s="585"/>
      <c r="N131" s="587"/>
    </row>
    <row r="132" spans="4:14">
      <c r="D132" s="589">
        <v>300009</v>
      </c>
      <c r="E132" s="590" t="s">
        <v>2863</v>
      </c>
      <c r="F132" s="590">
        <v>1</v>
      </c>
      <c r="G132" s="591">
        <v>999</v>
      </c>
      <c r="H132" s="591">
        <v>999</v>
      </c>
      <c r="I132" s="591">
        <v>999</v>
      </c>
      <c r="J132" s="591">
        <v>999</v>
      </c>
      <c r="K132" s="585"/>
      <c r="L132" s="585"/>
      <c r="M132" s="585"/>
      <c r="N132" s="587"/>
    </row>
    <row r="133" spans="4:14">
      <c r="D133" s="589">
        <v>300010</v>
      </c>
      <c r="E133" s="590" t="s">
        <v>2864</v>
      </c>
      <c r="F133" s="590">
        <v>1</v>
      </c>
      <c r="G133" s="591">
        <v>0</v>
      </c>
      <c r="H133" s="591">
        <v>0</v>
      </c>
      <c r="I133" s="591">
        <v>0</v>
      </c>
      <c r="J133" s="591">
        <v>0</v>
      </c>
      <c r="K133" s="585"/>
      <c r="L133" s="585"/>
      <c r="M133" s="585"/>
      <c r="N133" s="587"/>
    </row>
    <row r="134" spans="4:14">
      <c r="D134" s="589">
        <v>300011</v>
      </c>
      <c r="E134" s="590" t="s">
        <v>2866</v>
      </c>
      <c r="F134" s="590">
        <v>1</v>
      </c>
      <c r="G134" s="591">
        <v>0</v>
      </c>
      <c r="H134" s="591">
        <v>0</v>
      </c>
      <c r="I134" s="591">
        <v>0</v>
      </c>
      <c r="J134" s="591">
        <v>0</v>
      </c>
      <c r="K134" s="585"/>
      <c r="L134" s="585"/>
      <c r="M134" s="585"/>
      <c r="N134" s="587"/>
    </row>
    <row r="135" spans="4:14">
      <c r="D135" s="589">
        <v>300012</v>
      </c>
      <c r="E135" s="590" t="s">
        <v>2968</v>
      </c>
      <c r="F135" s="590">
        <v>1</v>
      </c>
      <c r="G135" s="591">
        <v>0</v>
      </c>
      <c r="H135" s="591">
        <v>0</v>
      </c>
      <c r="I135" s="591">
        <v>0</v>
      </c>
      <c r="J135" s="591">
        <v>0</v>
      </c>
      <c r="K135" s="585"/>
      <c r="L135" s="585"/>
      <c r="M135" s="585"/>
      <c r="N135" s="587"/>
    </row>
    <row r="136" spans="4:14">
      <c r="D136" s="589">
        <v>300013</v>
      </c>
      <c r="E136" s="590" t="s">
        <v>2969</v>
      </c>
      <c r="F136" s="590">
        <v>1</v>
      </c>
      <c r="G136" s="591">
        <v>0</v>
      </c>
      <c r="H136" s="591">
        <v>0</v>
      </c>
      <c r="I136" s="591">
        <v>0</v>
      </c>
      <c r="J136" s="591">
        <v>0</v>
      </c>
      <c r="K136" s="585"/>
      <c r="L136" s="585"/>
      <c r="M136" s="585"/>
      <c r="N136" s="587"/>
    </row>
    <row r="137" spans="4:14">
      <c r="D137" s="589">
        <v>300014</v>
      </c>
      <c r="E137" s="590" t="s">
        <v>2970</v>
      </c>
      <c r="F137" s="590">
        <v>1</v>
      </c>
      <c r="G137" s="591">
        <v>-3</v>
      </c>
      <c r="H137" s="591">
        <v>-3</v>
      </c>
      <c r="I137" s="591">
        <v>-3</v>
      </c>
      <c r="J137" s="591">
        <v>-3</v>
      </c>
      <c r="K137" s="585"/>
      <c r="L137" s="585"/>
      <c r="M137" s="585"/>
      <c r="N137" s="587"/>
    </row>
    <row r="138" spans="4:14">
      <c r="D138" s="589">
        <v>300015</v>
      </c>
      <c r="E138" s="590" t="s">
        <v>2870</v>
      </c>
      <c r="F138" s="590">
        <v>1</v>
      </c>
      <c r="G138" s="591">
        <v>-15</v>
      </c>
      <c r="H138" s="591">
        <v>-15</v>
      </c>
      <c r="I138" s="591">
        <v>-15</v>
      </c>
      <c r="J138" s="591">
        <v>-15</v>
      </c>
      <c r="K138" s="585"/>
      <c r="L138" s="585"/>
      <c r="M138" s="585"/>
      <c r="N138" s="587"/>
    </row>
    <row r="139" spans="4:14">
      <c r="D139" s="589">
        <v>300016</v>
      </c>
      <c r="E139" s="590" t="s">
        <v>2872</v>
      </c>
      <c r="F139" s="590">
        <v>1</v>
      </c>
      <c r="G139" s="591">
        <v>-5</v>
      </c>
      <c r="H139" s="591">
        <v>-5</v>
      </c>
      <c r="I139" s="591">
        <v>-5</v>
      </c>
      <c r="J139" s="591">
        <v>-5</v>
      </c>
      <c r="K139" s="585"/>
      <c r="L139" s="585"/>
      <c r="M139" s="585"/>
      <c r="N139" s="587"/>
    </row>
    <row r="140" spans="4:14">
      <c r="D140" s="589">
        <v>300017</v>
      </c>
      <c r="E140" s="590" t="s">
        <v>2875</v>
      </c>
      <c r="F140" s="590">
        <v>1</v>
      </c>
      <c r="G140" s="591">
        <v>0</v>
      </c>
      <c r="H140" s="591">
        <v>0</v>
      </c>
      <c r="I140" s="591">
        <v>0</v>
      </c>
      <c r="J140" s="591">
        <v>0</v>
      </c>
      <c r="K140" s="585"/>
      <c r="L140" s="585"/>
      <c r="M140" s="585"/>
      <c r="N140" s="587"/>
    </row>
    <row r="141" spans="4:14">
      <c r="D141" s="589">
        <v>300018</v>
      </c>
      <c r="E141" s="590" t="s">
        <v>2971</v>
      </c>
      <c r="F141" s="590">
        <v>1</v>
      </c>
      <c r="G141" s="591">
        <v>0</v>
      </c>
      <c r="H141" s="591">
        <v>0</v>
      </c>
      <c r="I141" s="591">
        <v>0</v>
      </c>
      <c r="J141" s="591">
        <v>0</v>
      </c>
      <c r="K141" s="585"/>
      <c r="L141" s="585"/>
      <c r="M141" s="585"/>
      <c r="N141" s="587"/>
    </row>
    <row r="142" spans="4:14">
      <c r="D142" s="589">
        <v>300019</v>
      </c>
      <c r="E142" s="590" t="s">
        <v>2876</v>
      </c>
      <c r="F142" s="590">
        <v>1</v>
      </c>
      <c r="G142" s="591">
        <v>6.7996380700000003</v>
      </c>
      <c r="H142" s="591">
        <v>6.7996380700000003</v>
      </c>
      <c r="I142" s="591">
        <v>6.7996380700000003</v>
      </c>
      <c r="J142" s="591">
        <v>6.7996380700000003</v>
      </c>
      <c r="K142" s="585"/>
      <c r="L142" s="585"/>
      <c r="M142" s="585"/>
      <c r="N142" s="587"/>
    </row>
    <row r="143" spans="4:14">
      <c r="D143" s="589">
        <v>300020</v>
      </c>
      <c r="E143" s="590" t="s">
        <v>2877</v>
      </c>
      <c r="F143" s="590">
        <v>1</v>
      </c>
      <c r="G143" s="591">
        <v>0</v>
      </c>
      <c r="H143" s="591">
        <v>0</v>
      </c>
      <c r="I143" s="591">
        <v>0</v>
      </c>
      <c r="J143" s="591">
        <v>0</v>
      </c>
      <c r="K143" s="585"/>
      <c r="L143" s="585"/>
      <c r="M143" s="585"/>
      <c r="N143" s="587"/>
    </row>
    <row r="144" spans="4:14">
      <c r="D144" s="589">
        <v>300021</v>
      </c>
      <c r="E144" s="590" t="s">
        <v>2972</v>
      </c>
      <c r="F144" s="590">
        <v>1</v>
      </c>
      <c r="G144" s="591">
        <v>0</v>
      </c>
      <c r="H144" s="591">
        <v>0</v>
      </c>
      <c r="I144" s="591">
        <v>0</v>
      </c>
      <c r="J144" s="591">
        <v>0</v>
      </c>
      <c r="K144" s="585"/>
      <c r="L144" s="585"/>
      <c r="M144" s="585"/>
      <c r="N144" s="587"/>
    </row>
    <row r="145" spans="4:14">
      <c r="D145" s="589">
        <v>300022</v>
      </c>
      <c r="E145" s="590" t="s">
        <v>2880</v>
      </c>
      <c r="F145" s="590">
        <v>1</v>
      </c>
      <c r="G145" s="591">
        <v>0</v>
      </c>
      <c r="H145" s="591">
        <v>0</v>
      </c>
      <c r="I145" s="591">
        <v>0</v>
      </c>
      <c r="J145" s="591">
        <v>0</v>
      </c>
      <c r="K145" s="585"/>
      <c r="L145" s="585"/>
      <c r="M145" s="585"/>
      <c r="N145" s="587"/>
    </row>
    <row r="146" spans="4:14">
      <c r="D146" s="589">
        <v>300023</v>
      </c>
      <c r="E146" s="590" t="s">
        <v>2881</v>
      </c>
      <c r="F146" s="590">
        <v>1</v>
      </c>
      <c r="G146" s="591">
        <v>-3</v>
      </c>
      <c r="H146" s="591">
        <v>-3</v>
      </c>
      <c r="I146" s="591">
        <v>-3</v>
      </c>
      <c r="J146" s="591">
        <v>-3</v>
      </c>
      <c r="K146" s="585"/>
      <c r="L146" s="585"/>
      <c r="M146" s="585"/>
      <c r="N146" s="587"/>
    </row>
    <row r="147" spans="4:14">
      <c r="D147" s="589">
        <v>300024</v>
      </c>
      <c r="E147" s="590" t="s">
        <v>2882</v>
      </c>
      <c r="F147" s="590">
        <v>1</v>
      </c>
      <c r="G147" s="591">
        <v>10</v>
      </c>
      <c r="H147" s="591">
        <v>10</v>
      </c>
      <c r="I147" s="591">
        <v>10</v>
      </c>
      <c r="J147" s="591">
        <v>10</v>
      </c>
      <c r="K147" s="585"/>
      <c r="L147" s="585"/>
      <c r="M147" s="585"/>
      <c r="N147" s="587"/>
    </row>
    <row r="148" spans="4:14">
      <c r="D148" s="589">
        <v>300025</v>
      </c>
      <c r="E148" s="590" t="s">
        <v>2973</v>
      </c>
      <c r="F148" s="590">
        <v>1</v>
      </c>
      <c r="G148" s="591">
        <v>5</v>
      </c>
      <c r="H148" s="591">
        <v>5</v>
      </c>
      <c r="I148" s="591">
        <v>5</v>
      </c>
      <c r="J148" s="591">
        <v>5</v>
      </c>
      <c r="K148" s="585"/>
      <c r="L148" s="585"/>
      <c r="M148" s="585"/>
      <c r="N148" s="587"/>
    </row>
    <row r="149" spans="4:14">
      <c r="D149" s="589">
        <v>300026</v>
      </c>
      <c r="E149" s="590" t="s">
        <v>2885</v>
      </c>
      <c r="F149" s="590">
        <v>1</v>
      </c>
      <c r="G149" s="591">
        <v>0</v>
      </c>
      <c r="H149" s="591">
        <v>0</v>
      </c>
      <c r="I149" s="591">
        <v>0</v>
      </c>
      <c r="J149" s="591">
        <v>0</v>
      </c>
      <c r="K149" s="585"/>
      <c r="L149" s="585"/>
      <c r="M149" s="585"/>
      <c r="N149" s="587"/>
    </row>
    <row r="150" spans="4:14">
      <c r="D150" s="589">
        <v>300027</v>
      </c>
      <c r="E150" s="590" t="s">
        <v>2974</v>
      </c>
      <c r="F150" s="590">
        <v>1</v>
      </c>
      <c r="G150" s="591">
        <v>0</v>
      </c>
      <c r="H150" s="591">
        <v>0</v>
      </c>
      <c r="I150" s="591">
        <v>0</v>
      </c>
      <c r="J150" s="591">
        <v>0</v>
      </c>
      <c r="K150" s="585"/>
      <c r="L150" s="585"/>
      <c r="M150" s="585"/>
      <c r="N150" s="587"/>
    </row>
    <row r="151" spans="4:14">
      <c r="D151" s="589">
        <v>300028</v>
      </c>
      <c r="E151" s="590" t="s">
        <v>2887</v>
      </c>
      <c r="F151" s="590">
        <v>1</v>
      </c>
      <c r="G151" s="591">
        <v>-3</v>
      </c>
      <c r="H151" s="591">
        <v>-3</v>
      </c>
      <c r="I151" s="591">
        <v>-3</v>
      </c>
      <c r="J151" s="591">
        <v>-3</v>
      </c>
      <c r="K151" s="585"/>
      <c r="L151" s="585"/>
      <c r="M151" s="585"/>
      <c r="N151" s="587"/>
    </row>
    <row r="152" spans="4:14">
      <c r="D152" s="589">
        <v>300029</v>
      </c>
      <c r="E152" s="590" t="s">
        <v>2888</v>
      </c>
      <c r="F152" s="590">
        <v>1</v>
      </c>
      <c r="G152" s="591">
        <v>0</v>
      </c>
      <c r="H152" s="591">
        <v>0</v>
      </c>
      <c r="I152" s="591">
        <v>0</v>
      </c>
      <c r="J152" s="591">
        <v>0</v>
      </c>
      <c r="K152" s="585"/>
      <c r="L152" s="585"/>
      <c r="M152" s="585"/>
      <c r="N152" s="587"/>
    </row>
    <row r="153" spans="4:14">
      <c r="D153" s="589">
        <v>300030</v>
      </c>
      <c r="E153" s="590" t="s">
        <v>2889</v>
      </c>
      <c r="F153" s="590">
        <v>1</v>
      </c>
      <c r="G153" s="591">
        <v>0</v>
      </c>
      <c r="H153" s="591">
        <v>0</v>
      </c>
      <c r="I153" s="591">
        <v>0</v>
      </c>
      <c r="J153" s="591">
        <v>0</v>
      </c>
      <c r="K153" s="585"/>
      <c r="L153" s="585"/>
      <c r="M153" s="585"/>
      <c r="N153" s="587"/>
    </row>
    <row r="154" spans="4:14">
      <c r="D154" s="589">
        <v>300031</v>
      </c>
      <c r="E154" s="590" t="s">
        <v>2975</v>
      </c>
      <c r="F154" s="590">
        <v>1</v>
      </c>
      <c r="G154" s="591">
        <v>-3</v>
      </c>
      <c r="H154" s="591">
        <v>-3</v>
      </c>
      <c r="I154" s="591">
        <v>-3</v>
      </c>
      <c r="J154" s="591">
        <v>-3</v>
      </c>
      <c r="K154" s="585"/>
      <c r="L154" s="585"/>
      <c r="M154" s="585"/>
      <c r="N154" s="587"/>
    </row>
    <row r="155" spans="4:14">
      <c r="D155" s="589">
        <v>300032</v>
      </c>
      <c r="E155" s="590" t="s">
        <v>2892</v>
      </c>
      <c r="F155" s="590">
        <v>1</v>
      </c>
      <c r="G155" s="591">
        <v>2</v>
      </c>
      <c r="H155" s="591">
        <v>2</v>
      </c>
      <c r="I155" s="591">
        <v>2</v>
      </c>
      <c r="J155" s="591">
        <v>2</v>
      </c>
      <c r="K155" s="585"/>
      <c r="L155" s="585"/>
      <c r="M155" s="585"/>
      <c r="N155" s="587"/>
    </row>
    <row r="156" spans="4:14">
      <c r="D156" s="589">
        <v>300033</v>
      </c>
      <c r="E156" s="590" t="s">
        <v>2894</v>
      </c>
      <c r="F156" s="590">
        <v>1</v>
      </c>
      <c r="G156" s="591">
        <v>-7</v>
      </c>
      <c r="H156" s="591">
        <v>-7</v>
      </c>
      <c r="I156" s="591">
        <v>-7</v>
      </c>
      <c r="J156" s="591">
        <v>-7</v>
      </c>
      <c r="K156" s="585"/>
      <c r="L156" s="585"/>
      <c r="M156" s="585"/>
      <c r="N156" s="587"/>
    </row>
    <row r="157" spans="4:14">
      <c r="D157" s="589">
        <v>300034</v>
      </c>
      <c r="E157" s="590" t="s">
        <v>2895</v>
      </c>
      <c r="F157" s="590">
        <v>1</v>
      </c>
      <c r="G157" s="591">
        <v>-4</v>
      </c>
      <c r="H157" s="591">
        <v>-4</v>
      </c>
      <c r="I157" s="591">
        <v>-4</v>
      </c>
      <c r="J157" s="591">
        <v>-4</v>
      </c>
      <c r="K157" s="585"/>
      <c r="L157" s="585"/>
      <c r="M157" s="585"/>
      <c r="N157" s="587"/>
    </row>
    <row r="158" spans="4:14">
      <c r="D158" s="589">
        <v>300035</v>
      </c>
      <c r="E158" s="590" t="s">
        <v>2897</v>
      </c>
      <c r="F158" s="590">
        <v>1</v>
      </c>
      <c r="G158" s="591">
        <v>-2</v>
      </c>
      <c r="H158" s="591">
        <v>-2</v>
      </c>
      <c r="I158" s="591">
        <v>-2</v>
      </c>
      <c r="J158" s="591">
        <v>-2</v>
      </c>
      <c r="K158" s="585"/>
      <c r="L158" s="585"/>
      <c r="M158" s="585"/>
      <c r="N158" s="587"/>
    </row>
    <row r="159" spans="4:14">
      <c r="D159" s="589">
        <v>300036</v>
      </c>
      <c r="E159" s="590" t="s">
        <v>2898</v>
      </c>
      <c r="F159" s="590">
        <v>1</v>
      </c>
      <c r="G159" s="591">
        <v>2</v>
      </c>
      <c r="H159" s="591">
        <v>2</v>
      </c>
      <c r="I159" s="591">
        <v>2</v>
      </c>
      <c r="J159" s="591">
        <v>2</v>
      </c>
      <c r="K159" s="585"/>
      <c r="L159" s="585"/>
      <c r="M159" s="585"/>
      <c r="N159" s="587"/>
    </row>
    <row r="160" spans="4:14">
      <c r="D160" s="589">
        <v>300037</v>
      </c>
      <c r="E160" s="590" t="s">
        <v>2899</v>
      </c>
      <c r="F160" s="590">
        <v>1</v>
      </c>
      <c r="G160" s="591">
        <v>0</v>
      </c>
      <c r="H160" s="591">
        <v>0</v>
      </c>
      <c r="I160" s="591">
        <v>0</v>
      </c>
      <c r="J160" s="591">
        <v>0</v>
      </c>
      <c r="K160" s="585"/>
      <c r="L160" s="585"/>
      <c r="M160" s="585"/>
      <c r="N160" s="587"/>
    </row>
    <row r="161" spans="4:14">
      <c r="D161" s="589">
        <v>300038</v>
      </c>
      <c r="E161" s="590" t="s">
        <v>2900</v>
      </c>
      <c r="F161" s="590">
        <v>1</v>
      </c>
      <c r="G161" s="591">
        <v>0</v>
      </c>
      <c r="H161" s="591">
        <v>0</v>
      </c>
      <c r="I161" s="591">
        <v>0</v>
      </c>
      <c r="J161" s="591">
        <v>0</v>
      </c>
      <c r="K161" s="585"/>
      <c r="L161" s="585"/>
      <c r="M161" s="585"/>
      <c r="N161" s="587"/>
    </row>
    <row r="162" spans="4:14">
      <c r="D162" s="589">
        <v>300039</v>
      </c>
      <c r="E162" s="590" t="s">
        <v>2901</v>
      </c>
      <c r="F162" s="590">
        <v>1</v>
      </c>
      <c r="G162" s="591">
        <v>0</v>
      </c>
      <c r="H162" s="591">
        <v>0</v>
      </c>
      <c r="I162" s="591">
        <v>0</v>
      </c>
      <c r="J162" s="591">
        <v>0</v>
      </c>
      <c r="K162" s="585"/>
      <c r="L162" s="585"/>
      <c r="M162" s="585"/>
      <c r="N162" s="587"/>
    </row>
    <row r="163" spans="4:14">
      <c r="D163" s="589">
        <v>300040</v>
      </c>
      <c r="E163" s="590" t="s">
        <v>2902</v>
      </c>
      <c r="F163" s="590">
        <v>1</v>
      </c>
      <c r="G163" s="591">
        <v>0</v>
      </c>
      <c r="H163" s="591">
        <v>0</v>
      </c>
      <c r="I163" s="591">
        <v>0</v>
      </c>
      <c r="J163" s="591">
        <v>0</v>
      </c>
      <c r="K163" s="585"/>
      <c r="L163" s="585"/>
      <c r="M163" s="585"/>
      <c r="N163" s="587"/>
    </row>
    <row r="164" spans="4:14">
      <c r="D164" s="589">
        <v>300041</v>
      </c>
      <c r="E164" s="590" t="s">
        <v>2904</v>
      </c>
      <c r="F164" s="590">
        <v>1</v>
      </c>
      <c r="G164" s="591">
        <v>0</v>
      </c>
      <c r="H164" s="591">
        <v>0</v>
      </c>
      <c r="I164" s="591">
        <v>0</v>
      </c>
      <c r="J164" s="591">
        <v>0</v>
      </c>
      <c r="K164" s="585"/>
      <c r="L164" s="585"/>
      <c r="M164" s="585"/>
      <c r="N164" s="587"/>
    </row>
    <row r="165" spans="4:14">
      <c r="D165" s="589">
        <v>300042</v>
      </c>
      <c r="E165" s="590" t="s">
        <v>2905</v>
      </c>
      <c r="F165" s="590">
        <v>1</v>
      </c>
      <c r="G165" s="591">
        <v>5</v>
      </c>
      <c r="H165" s="591">
        <v>5</v>
      </c>
      <c r="I165" s="591">
        <v>5</v>
      </c>
      <c r="J165" s="591">
        <v>5</v>
      </c>
      <c r="K165" s="585"/>
      <c r="L165" s="585"/>
      <c r="M165" s="585"/>
      <c r="N165" s="587"/>
    </row>
    <row r="166" spans="4:14">
      <c r="D166" s="589">
        <v>300043</v>
      </c>
      <c r="E166" s="590" t="s">
        <v>2976</v>
      </c>
      <c r="F166" s="590">
        <v>1</v>
      </c>
      <c r="G166" s="591">
        <v>-6</v>
      </c>
      <c r="H166" s="591">
        <v>-6</v>
      </c>
      <c r="I166" s="591">
        <v>-6</v>
      </c>
      <c r="J166" s="591">
        <v>-6</v>
      </c>
      <c r="K166" s="585"/>
      <c r="L166" s="585"/>
      <c r="M166" s="585"/>
      <c r="N166" s="587"/>
    </row>
    <row r="167" spans="4:14">
      <c r="D167" s="589">
        <v>300044</v>
      </c>
      <c r="E167" s="590" t="s">
        <v>2909</v>
      </c>
      <c r="F167" s="590">
        <v>1</v>
      </c>
      <c r="G167" s="591">
        <v>0</v>
      </c>
      <c r="H167" s="591">
        <v>0</v>
      </c>
      <c r="I167" s="591">
        <v>0</v>
      </c>
      <c r="J167" s="591">
        <v>0</v>
      </c>
      <c r="K167" s="585"/>
      <c r="L167" s="585"/>
      <c r="M167" s="585"/>
      <c r="N167" s="587"/>
    </row>
    <row r="168" spans="4:14">
      <c r="D168" s="589">
        <v>300045</v>
      </c>
      <c r="E168" s="590" t="s">
        <v>2910</v>
      </c>
      <c r="F168" s="590">
        <v>1</v>
      </c>
      <c r="G168" s="591">
        <v>1</v>
      </c>
      <c r="H168" s="591">
        <v>1</v>
      </c>
      <c r="I168" s="591">
        <v>1</v>
      </c>
      <c r="J168" s="591">
        <v>1</v>
      </c>
      <c r="K168" s="585"/>
      <c r="L168" s="585"/>
      <c r="M168" s="585"/>
      <c r="N168" s="587"/>
    </row>
    <row r="169" spans="4:14">
      <c r="D169" s="589">
        <v>300046</v>
      </c>
      <c r="E169" s="590" t="s">
        <v>2911</v>
      </c>
      <c r="F169" s="590">
        <v>1</v>
      </c>
      <c r="G169" s="591">
        <v>0</v>
      </c>
      <c r="H169" s="591">
        <v>0</v>
      </c>
      <c r="I169" s="591">
        <v>0</v>
      </c>
      <c r="J169" s="591">
        <v>0</v>
      </c>
      <c r="K169" s="585"/>
      <c r="L169" s="585"/>
      <c r="M169" s="585"/>
      <c r="N169" s="587"/>
    </row>
    <row r="170" spans="4:14">
      <c r="D170" s="589">
        <v>300047</v>
      </c>
      <c r="E170" s="590" t="s">
        <v>2912</v>
      </c>
      <c r="F170" s="590">
        <v>1</v>
      </c>
      <c r="G170" s="591">
        <v>0</v>
      </c>
      <c r="H170" s="591">
        <v>0</v>
      </c>
      <c r="I170" s="591">
        <v>0</v>
      </c>
      <c r="J170" s="591">
        <v>0</v>
      </c>
      <c r="K170" s="585"/>
      <c r="L170" s="585"/>
      <c r="M170" s="585"/>
      <c r="N170" s="587"/>
    </row>
    <row r="171" spans="4:14">
      <c r="D171" s="589">
        <v>300048</v>
      </c>
      <c r="E171" s="590" t="s">
        <v>2977</v>
      </c>
      <c r="F171" s="590">
        <v>1</v>
      </c>
      <c r="G171" s="591">
        <v>0</v>
      </c>
      <c r="H171" s="591">
        <v>0</v>
      </c>
      <c r="I171" s="591">
        <v>0</v>
      </c>
      <c r="J171" s="591">
        <v>0</v>
      </c>
      <c r="K171" s="585"/>
      <c r="L171" s="585"/>
      <c r="M171" s="585"/>
      <c r="N171" s="587"/>
    </row>
    <row r="172" spans="4:14">
      <c r="D172" s="589">
        <v>300049</v>
      </c>
      <c r="E172" s="590" t="s">
        <v>2914</v>
      </c>
      <c r="F172" s="590">
        <v>1</v>
      </c>
      <c r="G172" s="591">
        <v>3</v>
      </c>
      <c r="H172" s="591">
        <v>3</v>
      </c>
      <c r="I172" s="591">
        <v>3</v>
      </c>
      <c r="J172" s="591">
        <v>3</v>
      </c>
      <c r="K172" s="585"/>
      <c r="L172" s="585"/>
      <c r="M172" s="585"/>
      <c r="N172" s="587"/>
    </row>
    <row r="173" spans="4:14">
      <c r="D173" s="589">
        <v>300050</v>
      </c>
      <c r="E173" s="590" t="s">
        <v>2978</v>
      </c>
      <c r="F173" s="590">
        <v>1</v>
      </c>
      <c r="G173" s="591">
        <v>-2</v>
      </c>
      <c r="H173" s="591">
        <v>-2</v>
      </c>
      <c r="I173" s="591">
        <v>-2</v>
      </c>
      <c r="J173" s="591">
        <v>-2</v>
      </c>
      <c r="K173" s="585"/>
      <c r="L173" s="585"/>
      <c r="M173" s="585"/>
      <c r="N173" s="587"/>
    </row>
    <row r="174" spans="4:14">
      <c r="D174" s="589">
        <v>300051</v>
      </c>
      <c r="E174" s="590" t="s">
        <v>2917</v>
      </c>
      <c r="F174" s="590">
        <v>3</v>
      </c>
      <c r="G174" s="591">
        <v>3</v>
      </c>
      <c r="H174" s="591">
        <v>3</v>
      </c>
      <c r="I174" s="591">
        <v>3</v>
      </c>
      <c r="J174" s="591">
        <v>3</v>
      </c>
      <c r="K174" s="585"/>
      <c r="L174" s="585"/>
      <c r="M174" s="585"/>
      <c r="N174" s="587"/>
    </row>
    <row r="175" spans="4:14">
      <c r="D175" s="589">
        <v>300052</v>
      </c>
      <c r="E175" s="590" t="s">
        <v>2918</v>
      </c>
      <c r="F175" s="590">
        <v>1</v>
      </c>
      <c r="G175" s="591">
        <v>0</v>
      </c>
      <c r="H175" s="591">
        <v>0</v>
      </c>
      <c r="I175" s="591">
        <v>0</v>
      </c>
      <c r="J175" s="591">
        <v>0</v>
      </c>
      <c r="K175" s="585"/>
      <c r="L175" s="585"/>
      <c r="M175" s="585"/>
      <c r="N175" s="587"/>
    </row>
    <row r="176" spans="4:14">
      <c r="D176" s="589">
        <v>300053</v>
      </c>
      <c r="E176" s="590" t="s">
        <v>2979</v>
      </c>
      <c r="F176" s="590">
        <v>1</v>
      </c>
      <c r="G176" s="591">
        <v>3</v>
      </c>
      <c r="H176" s="591">
        <v>3</v>
      </c>
      <c r="I176" s="591">
        <v>3</v>
      </c>
      <c r="J176" s="591">
        <v>3</v>
      </c>
      <c r="K176" s="585"/>
      <c r="L176" s="585"/>
      <c r="M176" s="585"/>
      <c r="N176" s="587"/>
    </row>
    <row r="177" spans="4:14">
      <c r="D177" s="589">
        <v>300054</v>
      </c>
      <c r="E177" s="590" t="s">
        <v>2919</v>
      </c>
      <c r="F177" s="590">
        <v>1</v>
      </c>
      <c r="G177" s="591">
        <v>0</v>
      </c>
      <c r="H177" s="591">
        <v>0</v>
      </c>
      <c r="I177" s="591">
        <v>0</v>
      </c>
      <c r="J177" s="591">
        <v>0</v>
      </c>
      <c r="K177" s="585"/>
      <c r="L177" s="585"/>
      <c r="M177" s="585"/>
      <c r="N177" s="587"/>
    </row>
    <row r="178" spans="4:14">
      <c r="D178" s="589">
        <v>300055</v>
      </c>
      <c r="E178" s="590" t="s">
        <v>2921</v>
      </c>
      <c r="F178" s="590">
        <v>1</v>
      </c>
      <c r="G178" s="591">
        <v>2</v>
      </c>
      <c r="H178" s="591">
        <v>2</v>
      </c>
      <c r="I178" s="591">
        <v>2</v>
      </c>
      <c r="J178" s="591">
        <v>2</v>
      </c>
      <c r="K178" s="585"/>
      <c r="L178" s="585"/>
      <c r="M178" s="585"/>
      <c r="N178" s="587"/>
    </row>
    <row r="179" spans="4:14">
      <c r="D179" s="589">
        <v>300056</v>
      </c>
      <c r="E179" s="590" t="s">
        <v>2980</v>
      </c>
      <c r="F179" s="590">
        <v>1</v>
      </c>
      <c r="G179" s="591">
        <v>0</v>
      </c>
      <c r="H179" s="591">
        <v>0</v>
      </c>
      <c r="I179" s="591">
        <v>0</v>
      </c>
      <c r="J179" s="591">
        <v>0</v>
      </c>
      <c r="K179" s="585"/>
      <c r="L179" s="585"/>
      <c r="M179" s="585"/>
      <c r="N179" s="587"/>
    </row>
    <row r="180" spans="4:14">
      <c r="D180" s="589">
        <v>300057</v>
      </c>
      <c r="E180" s="590" t="s">
        <v>2981</v>
      </c>
      <c r="F180" s="590">
        <v>1</v>
      </c>
      <c r="G180" s="591">
        <v>-3</v>
      </c>
      <c r="H180" s="591">
        <v>-3</v>
      </c>
      <c r="I180" s="591">
        <v>-3</v>
      </c>
      <c r="J180" s="591">
        <v>-3</v>
      </c>
      <c r="K180" s="585"/>
      <c r="L180" s="585"/>
      <c r="M180" s="585"/>
      <c r="N180" s="587"/>
    </row>
    <row r="181" spans="4:14">
      <c r="D181" s="589">
        <v>300058</v>
      </c>
      <c r="E181" s="590" t="s">
        <v>2924</v>
      </c>
      <c r="F181" s="590">
        <v>1</v>
      </c>
      <c r="G181" s="591">
        <v>0</v>
      </c>
      <c r="H181" s="591">
        <v>0</v>
      </c>
      <c r="I181" s="591">
        <v>0</v>
      </c>
      <c r="J181" s="591">
        <v>0</v>
      </c>
      <c r="K181" s="585"/>
      <c r="L181" s="585"/>
      <c r="M181" s="585"/>
      <c r="N181" s="587"/>
    </row>
    <row r="182" spans="4:14">
      <c r="D182" s="589">
        <v>300059</v>
      </c>
      <c r="E182" s="590" t="s">
        <v>2925</v>
      </c>
      <c r="F182" s="590">
        <v>1</v>
      </c>
      <c r="G182" s="591">
        <v>0</v>
      </c>
      <c r="H182" s="591">
        <v>0</v>
      </c>
      <c r="I182" s="591">
        <v>0</v>
      </c>
      <c r="J182" s="591">
        <v>0</v>
      </c>
      <c r="K182" s="585"/>
      <c r="L182" s="585"/>
      <c r="M182" s="585"/>
      <c r="N182" s="587"/>
    </row>
    <row r="183" spans="4:14">
      <c r="D183" s="589">
        <v>300060</v>
      </c>
      <c r="E183" s="590" t="s">
        <v>2927</v>
      </c>
      <c r="F183" s="590">
        <v>1</v>
      </c>
      <c r="G183" s="591">
        <v>0</v>
      </c>
      <c r="H183" s="591">
        <v>0</v>
      </c>
      <c r="I183" s="591">
        <v>0</v>
      </c>
      <c r="J183" s="591">
        <v>0</v>
      </c>
      <c r="K183" s="585"/>
      <c r="L183" s="585"/>
      <c r="M183" s="585"/>
      <c r="N183" s="587"/>
    </row>
    <row r="184" spans="4:14">
      <c r="D184" s="589">
        <v>300061</v>
      </c>
      <c r="E184" s="590" t="s">
        <v>2928</v>
      </c>
      <c r="F184" s="590">
        <v>1</v>
      </c>
      <c r="G184" s="591">
        <v>0</v>
      </c>
      <c r="H184" s="591">
        <v>0</v>
      </c>
      <c r="I184" s="591">
        <v>0</v>
      </c>
      <c r="J184" s="591">
        <v>0</v>
      </c>
      <c r="K184" s="585"/>
      <c r="L184" s="585"/>
      <c r="M184" s="585"/>
      <c r="N184" s="587"/>
    </row>
    <row r="185" spans="4:14" ht="15.75" thickBot="1">
      <c r="D185" s="592">
        <v>300062</v>
      </c>
      <c r="E185" s="593" t="s">
        <v>2929</v>
      </c>
      <c r="F185" s="593">
        <v>1</v>
      </c>
      <c r="G185" s="594">
        <v>0</v>
      </c>
      <c r="H185" s="594">
        <v>0</v>
      </c>
      <c r="I185" s="594">
        <v>0</v>
      </c>
      <c r="J185" s="594">
        <v>0</v>
      </c>
      <c r="K185" s="595"/>
      <c r="L185" s="595"/>
      <c r="M185" s="595"/>
      <c r="N185" s="596"/>
    </row>
  </sheetData>
  <mergeCells count="2">
    <mergeCell ref="D3:N3"/>
    <mergeCell ref="D4:N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tabColor theme="2" tint="-0.499984740745262"/>
  </sheetPr>
  <dimension ref="D2:L13"/>
  <sheetViews>
    <sheetView showGridLines="0" zoomScale="70" zoomScaleNormal="70" workbookViewId="0">
      <selection activeCell="G7" sqref="G7"/>
    </sheetView>
  </sheetViews>
  <sheetFormatPr defaultColWidth="8.85546875" defaultRowHeight="15"/>
  <cols>
    <col min="1" max="2" width="8.85546875" style="1"/>
    <col min="3" max="3" width="7.28515625" style="1" customWidth="1"/>
    <col min="4" max="4" width="8.85546875" style="1"/>
    <col min="5" max="5" width="8" style="1" customWidth="1"/>
    <col min="6" max="6" width="11.42578125" style="1" customWidth="1"/>
    <col min="7" max="16384" width="8.85546875" style="1"/>
  </cols>
  <sheetData>
    <row r="2" spans="4:12" ht="15.75" thickBot="1"/>
    <row r="3" spans="4:12">
      <c r="D3" s="949" t="s">
        <v>3043</v>
      </c>
      <c r="E3" s="950"/>
      <c r="F3" s="950"/>
      <c r="G3" s="950"/>
      <c r="H3" s="951"/>
    </row>
    <row r="4" spans="4:12" ht="70.5" customHeight="1">
      <c r="D4" s="952" t="str">
        <f>LE_DECLARE_TABLE("TaxesLE","",D5:H13)</f>
        <v>Declared table TAXESLE</v>
      </c>
      <c r="E4" s="953"/>
      <c r="F4" s="953"/>
      <c r="G4" s="953"/>
      <c r="H4" s="954"/>
    </row>
    <row r="5" spans="4:12">
      <c r="D5" s="759"/>
      <c r="E5" s="760" t="s">
        <v>3044</v>
      </c>
      <c r="F5" s="760" t="s">
        <v>3045</v>
      </c>
      <c r="G5" s="760" t="s">
        <v>3046</v>
      </c>
      <c r="H5" s="761" t="s">
        <v>3047</v>
      </c>
      <c r="K5" s="760" t="s">
        <v>354</v>
      </c>
    </row>
    <row r="6" spans="4:12">
      <c r="D6" s="762" t="s">
        <v>3048</v>
      </c>
      <c r="E6" s="763">
        <v>0</v>
      </c>
      <c r="F6" s="763">
        <v>0.1</v>
      </c>
      <c r="G6" s="763">
        <v>0.1</v>
      </c>
      <c r="H6" s="764">
        <f>(1+E6)*(1+F6)*(1+G6)-1</f>
        <v>0.21000000000000019</v>
      </c>
      <c r="K6" s="765" t="s">
        <v>3049</v>
      </c>
      <c r="L6" s="955">
        <f>TAXESLE(K6,K7)</f>
        <v>0.1</v>
      </c>
    </row>
    <row r="7" spans="4:12">
      <c r="D7" s="762" t="s">
        <v>3049</v>
      </c>
      <c r="E7" s="763">
        <v>0.01</v>
      </c>
      <c r="F7" s="763">
        <v>0.05</v>
      </c>
      <c r="G7" s="763">
        <v>0.1</v>
      </c>
      <c r="H7" s="764">
        <f t="shared" ref="H7:H13" si="0">(1+E7)*(1+F7)*(1+G7)-1</f>
        <v>0.1665500000000002</v>
      </c>
      <c r="K7" s="766" t="s">
        <v>3046</v>
      </c>
      <c r="L7" s="955"/>
    </row>
    <row r="8" spans="4:12">
      <c r="D8" s="762" t="s">
        <v>3050</v>
      </c>
      <c r="E8" s="763">
        <v>0</v>
      </c>
      <c r="F8" s="763">
        <v>0.1</v>
      </c>
      <c r="G8" s="763">
        <v>0.1</v>
      </c>
      <c r="H8" s="764">
        <f t="shared" si="0"/>
        <v>0.21000000000000019</v>
      </c>
    </row>
    <row r="9" spans="4:12">
      <c r="D9" s="762" t="s">
        <v>3051</v>
      </c>
      <c r="E9" s="763">
        <v>0</v>
      </c>
      <c r="F9" s="763">
        <v>0.05</v>
      </c>
      <c r="G9" s="763">
        <v>0.1</v>
      </c>
      <c r="H9" s="764">
        <f t="shared" si="0"/>
        <v>0.15500000000000025</v>
      </c>
    </row>
    <row r="10" spans="4:12">
      <c r="D10" s="762" t="s">
        <v>3052</v>
      </c>
      <c r="E10" s="763">
        <v>0</v>
      </c>
      <c r="F10" s="763">
        <v>0.11</v>
      </c>
      <c r="G10" s="763">
        <v>0.1</v>
      </c>
      <c r="H10" s="764">
        <f t="shared" si="0"/>
        <v>0.22100000000000031</v>
      </c>
    </row>
    <row r="11" spans="4:12">
      <c r="D11" s="762" t="s">
        <v>3053</v>
      </c>
      <c r="E11" s="763">
        <v>0</v>
      </c>
      <c r="F11" s="763">
        <v>0.08</v>
      </c>
      <c r="G11" s="763">
        <v>0.1</v>
      </c>
      <c r="H11" s="764">
        <f t="shared" si="0"/>
        <v>0.18800000000000017</v>
      </c>
    </row>
    <row r="12" spans="4:12">
      <c r="D12" s="762" t="s">
        <v>3054</v>
      </c>
      <c r="E12" s="763">
        <v>0</v>
      </c>
      <c r="F12" s="763">
        <v>0.1</v>
      </c>
      <c r="G12" s="763">
        <v>0.1</v>
      </c>
      <c r="H12" s="764">
        <f t="shared" si="0"/>
        <v>0.21000000000000019</v>
      </c>
    </row>
    <row r="13" spans="4:12" ht="15.75" thickBot="1">
      <c r="D13" s="767" t="s">
        <v>3055</v>
      </c>
      <c r="E13" s="768">
        <v>0</v>
      </c>
      <c r="F13" s="768">
        <v>0.1</v>
      </c>
      <c r="G13" s="768">
        <v>0.1</v>
      </c>
      <c r="H13" s="769">
        <f t="shared" si="0"/>
        <v>0.21000000000000019</v>
      </c>
    </row>
  </sheetData>
  <mergeCells count="3">
    <mergeCell ref="D3:H3"/>
    <mergeCell ref="D4:H4"/>
    <mergeCell ref="L6:L7"/>
  </mergeCells>
  <dataValidations count="2">
    <dataValidation type="list" allowBlank="1" showInputMessage="1" showErrorMessage="1" sqref="K7">
      <formula1>$E$5:$H$5</formula1>
    </dataValidation>
    <dataValidation type="list" allowBlank="1" showInputMessage="1" showErrorMessage="1" sqref="K6">
      <formula1>$D$6:$D$13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D5:E5"/>
  <sheetViews>
    <sheetView showGridLines="0" workbookViewId="0">
      <selection activeCell="L34" sqref="L34"/>
    </sheetView>
  </sheetViews>
  <sheetFormatPr defaultRowHeight="15"/>
  <cols>
    <col min="5" max="5" width="18" customWidth="1"/>
  </cols>
  <sheetData>
    <row r="5" spans="4:5">
      <c r="D5" t="s">
        <v>3056</v>
      </c>
      <c r="E5" s="770">
        <v>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24</vt:i4>
      </vt:variant>
    </vt:vector>
  </HeadingPairs>
  <TitlesOfParts>
    <vt:vector size="38" baseType="lpstr">
      <vt:lpstr>tOther</vt:lpstr>
      <vt:lpstr>Test Sheet</vt:lpstr>
      <vt:lpstr>Rate Calculator</vt:lpstr>
      <vt:lpstr>iQuote Version</vt:lpstr>
      <vt:lpstr>Data Model</vt:lpstr>
      <vt:lpstr>Data Sample</vt:lpstr>
      <vt:lpstr>tMileage</vt:lpstr>
      <vt:lpstr>tSplit</vt:lpstr>
      <vt:lpstr>tBase</vt:lpstr>
      <vt:lpstr>tAge 1</vt:lpstr>
      <vt:lpstr>tAge 2</vt:lpstr>
      <vt:lpstr>tExtras</vt:lpstr>
      <vt:lpstr>Taxes</vt:lpstr>
      <vt:lpstr>Run Time Parameters</vt:lpstr>
      <vt:lpstr>iQuote_Version</vt:lpstr>
      <vt:lpstr>OLdatabase_</vt:lpstr>
      <vt:lpstr>OLfunction_PYDPremiumCalculator</vt:lpstr>
      <vt:lpstr>OLloader_</vt:lpstr>
      <vt:lpstr>tOther!OLMtable_AgeRestrictionLE</vt:lpstr>
      <vt:lpstr>tMileage!OLMtable_ExpectedMileage</vt:lpstr>
      <vt:lpstr>tOther!OLMtable_pArameterQuestionLE</vt:lpstr>
      <vt:lpstr>'tAge 1'!OLMtable_tAgeLE</vt:lpstr>
      <vt:lpstr>'tAge 2'!OLMtable_tAgeLE</vt:lpstr>
      <vt:lpstr>Taxes!OLMtable_TaxesLE</vt:lpstr>
      <vt:lpstr>tBase!OLMtable_tBaseLE</vt:lpstr>
      <vt:lpstr>tExtras!OLMtable_tExtrasLE</vt:lpstr>
      <vt:lpstr>tOther!OLMtable_tHire_SevLE</vt:lpstr>
      <vt:lpstr>tOther!OLMtable_tMaritalLE</vt:lpstr>
      <vt:lpstr>tSplit!OLMtable_tMile_HighLow</vt:lpstr>
      <vt:lpstr>tOther!OLMtable_tMV_VehicleYearLE</vt:lpstr>
      <vt:lpstr>tOther!OLMtable_tOldClmsLE</vt:lpstr>
      <vt:lpstr>tOther!OLMtable_tRef_CommLE</vt:lpstr>
      <vt:lpstr>tSplit!OLMtable_tSplitLE</vt:lpstr>
      <vt:lpstr>tOther!OLMtable_tSuspensionLE</vt:lpstr>
      <vt:lpstr>tOther!OLMtable_tVeh_KM_LE</vt:lpstr>
      <vt:lpstr>tOther!OLMtable_tVehicleColorLE</vt:lpstr>
      <vt:lpstr>tOther!OLMtable_tVehicleUseLE</vt:lpstr>
      <vt:lpstr>tOther!OLMtable_tVehParkLE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Employee</cp:lastModifiedBy>
  <dcterms:created xsi:type="dcterms:W3CDTF">2006-09-16T00:00:00Z</dcterms:created>
  <dcterms:modified xsi:type="dcterms:W3CDTF">2010-08-04T07:08:47Z</dcterms:modified>
</cp:coreProperties>
</file>