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-105" yWindow="-105" windowWidth="19425" windowHeight="10425" tabRatio="860"/>
  </bookViews>
  <sheets>
    <sheet name="GLOBAL" sheetId="90" r:id="rId1"/>
    <sheet name="Indexation" sheetId="19" r:id="rId2"/>
    <sheet name="Aménagement" sheetId="8" r:id="rId3"/>
    <sheet name="Bibliothèques" sheetId="20" r:id="rId4"/>
    <sheet name="Sport" sheetId="6" r:id="rId5"/>
    <sheet name="Culture" sheetId="4" r:id="rId6"/>
    <sheet name="Santé" sheetId="7" r:id="rId7"/>
    <sheet name="Parcs" sheetId="9" r:id="rId8"/>
    <sheet name="Voirie" sheetId="10" r:id="rId9"/>
    <sheet name="Ajust. post transferts" sheetId="27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SOR2" localSheetId="0">#REF!</definedName>
    <definedName name="_SOR2">#REF!</definedName>
    <definedName name="_SOR3" localSheetId="0">#REF!</definedName>
    <definedName name="_SOR3">#REF!</definedName>
    <definedName name="_T1">[1]Source_tranches!$B$6:$H$34</definedName>
    <definedName name="_Tab1" localSheetId="0">#REF!</definedName>
    <definedName name="_Tab1">#REF!</definedName>
    <definedName name="_tab2" localSheetId="0">#REF!</definedName>
    <definedName name="_tab2">#REF!</definedName>
    <definedName name="arr_mtl_1" localSheetId="0">#REF!</definedName>
    <definedName name="arr_mtl_1">#REF!</definedName>
    <definedName name="Arr_mtl_2" localSheetId="0">#REF!</definedName>
    <definedName name="Arr_mtl_2">#REF!</definedName>
    <definedName name="arrond_total">'[2]Cprez cumulé arr'!$AF$1:$AK$41</definedName>
    <definedName name="Compl_cumul_NR" localSheetId="0">#REF!</definedName>
    <definedName name="Compl_cumul_NR">#REF!</definedName>
    <definedName name="Cumul_non_resid_arr" localSheetId="0">#REF!</definedName>
    <definedName name="Cumul_non_resid_arr">#REF!</definedName>
    <definedName name="Cumul_résid_arr" localSheetId="0">#REF!</definedName>
    <definedName name="Cumul_résid_arr">#REF!</definedName>
    <definedName name="Cumulé_non_résid" localSheetId="0">'[2]Cprez cumulé secteurs'!#REF!</definedName>
    <definedName name="Cumulé_non_résid">'[2]Cprez cumulé secteurs'!#REF!</definedName>
    <definedName name="Cumulé_non_résid_complément" localSheetId="0">'[2]Cprez cumulé secteurs'!#REF!</definedName>
    <definedName name="Cumulé_non_résid_complément">'[2]Cprez cumulé secteurs'!#REF!</definedName>
    <definedName name="Cumulé_résid" localSheetId="0">#REF!</definedName>
    <definedName name="Cumulé_résid">#REF!</definedName>
    <definedName name="EXCLU" localSheetId="0">#REF!</definedName>
    <definedName name="EXCLU">#REF!</definedName>
    <definedName name="_xlnm.Print_Titles" localSheetId="8">Voirie!$A:$A</definedName>
    <definedName name="Non_resid" localSheetId="0">#REF!</definedName>
    <definedName name="Non_resid">#REF!</definedName>
    <definedName name="non_residentiel" localSheetId="0">#REF!</definedName>
    <definedName name="non_residentiel">#REF!</definedName>
    <definedName name="NONRÉSID" localSheetId="0">#REF!</definedName>
    <definedName name="NONRÉSID">#REF!</definedName>
    <definedName name="nonrésidsect" localSheetId="0">#REF!</definedName>
    <definedName name="nonrésidsect">#REF!</definedName>
    <definedName name="NRESIT">[3]nresit!$A$2:$W$66</definedName>
    <definedName name="Pourc_Août_Car2GO_CDN">'[4]Occupation_%'!$M$29</definedName>
    <definedName name="Pourc_Août_Car2GO_Merc">'[4]Occupation_%'!$M$35</definedName>
    <definedName name="Pourc_Août_Car2GO_PMR">'[4]Occupation_%'!$M$25</definedName>
    <definedName name="Pourc_Août_Car2GO_Rosem">'[4]Occupation_%'!$M$27</definedName>
    <definedName name="Pourc_Août_Car2GO_SO">'[4]Occupation_%'!$M$31</definedName>
    <definedName name="Pourc_Août_Car2GO_Viler">'[4]Occupation_%'!$M$33</definedName>
    <definedName name="Pourc_Août_CommunAuto_CDN">'[4]Occupation_%'!$M$14</definedName>
    <definedName name="Pourc_Août_CommunAuto_Merc">'[4]Occupation_%'!$M$20</definedName>
    <definedName name="Pourc_Août_CommunAuto_PMR">'[4]Occupation_%'!$M$10</definedName>
    <definedName name="Pourc_Août_CommunAuto_Rosem">'[4]Occupation_%'!$M$12</definedName>
    <definedName name="Pourc_Août_CommunAuto_SO">'[4]Occupation_%'!$M$16</definedName>
    <definedName name="Pourc_Août_CommunAuto_Viler">'[4]Occupation_%'!$M$18</definedName>
    <definedName name="Pourc_Avril_Car2GO_CDN">'[4]Occupation_%'!$I$29</definedName>
    <definedName name="Pourc_Avril_Car2GO_Merc">'[4]Occupation_%'!$I$35</definedName>
    <definedName name="Pourc_Avril_Car2GO_PMR">'[4]Occupation_%'!$I$25</definedName>
    <definedName name="Pourc_Avril_Car2GO_Rosem">'[4]Occupation_%'!$I$27</definedName>
    <definedName name="Pourc_Avril_Car2GO_SO">'[4]Occupation_%'!$I$31</definedName>
    <definedName name="Pourc_Avril_Car2GO_Viler">'[4]Occupation_%'!$I$33</definedName>
    <definedName name="Pourc_Avril_CommunAuto_CDN">'[4]Occupation_%'!$I$14</definedName>
    <definedName name="Pourc_Avril_CommunAuto_Merc">'[4]Occupation_%'!$I$20</definedName>
    <definedName name="Pourc_Avril_CommunAuto_PMR">'[4]Occupation_%'!$I$10</definedName>
    <definedName name="Pourc_Avril_CommunAuto_Rosem">'[4]Occupation_%'!$I$12</definedName>
    <definedName name="Pourc_Avril_CommunAuto_SO">'[4]Occupation_%'!$I$16</definedName>
    <definedName name="Pourc_Avril_CommunAuto_Viler">'[4]Occupation_%'!$I$18</definedName>
    <definedName name="Pourc_Déc_Car2GO_CDN">'[4]Occupation_%'!$E$29</definedName>
    <definedName name="Pourc_Déc_Car2GO_Merc">'[4]Occupation_%'!$E$35</definedName>
    <definedName name="Pourc_Déc_Car2GO_PMR">'[4]Occupation_%'!$E$25</definedName>
    <definedName name="Pourc_Déc_Car2GO_Rosem">'[4]Occupation_%'!$E$27</definedName>
    <definedName name="Pourc_Déc_Car2GO_SO">'[4]Occupation_%'!$E$31</definedName>
    <definedName name="Pourc_Déc_Car2GO_Viler">'[4]Occupation_%'!$E$33</definedName>
    <definedName name="Pourc_Déc_CommunAuto_CDN">'[4]Occupation_%'!$E$14</definedName>
    <definedName name="Pourc_Déc_CommunAuto_Merc">'[4]Occupation_%'!$E$20</definedName>
    <definedName name="Pourc_Déc_CommunAuto_PMR">'[4]Occupation_%'!$E$10</definedName>
    <definedName name="Pourc_Déc_CommunAuto_Rosem">'[4]Occupation_%'!$E$12</definedName>
    <definedName name="Pourc_Déc_CommunAuto_SO">'[4]Occupation_%'!$E$16</definedName>
    <definedName name="Pourc_Déc_CommunAuto_Viler">'[4]Occupation_%'!$E$18</definedName>
    <definedName name="Pourc_Févr_Car2GO_CDN">'[4]Occupation_%'!$G$29</definedName>
    <definedName name="Pourc_Févr_Car2GO_Merc">'[4]Occupation_%'!$G$35</definedName>
    <definedName name="Pourc_Févr_Car2GO_PMR">'[4]Occupation_%'!$G$25</definedName>
    <definedName name="Pourc_Févr_Car2GO_Rosem">'[4]Occupation_%'!$G$27</definedName>
    <definedName name="Pourc_Févr_Car2GO_SO">'[4]Occupation_%'!$G$31</definedName>
    <definedName name="Pourc_Févr_Car2GO_Viler">'[4]Occupation_%'!$G$33</definedName>
    <definedName name="Pourc_Févr_CommunAuto_CDN">'[4]Occupation_%'!$G$14</definedName>
    <definedName name="Pourc_Févr_CommunAuto_Merc">'[4]Occupation_%'!$G$20</definedName>
    <definedName name="Pourc_Févr_CommunAuto_PMR">'[4]Occupation_%'!$G$10</definedName>
    <definedName name="Pourc_Févr_CommunAuto_Rosem">'[4]Occupation_%'!$G$12</definedName>
    <definedName name="Pourc_Févr_CommunAuto_SO">'[4]Occupation_%'!$G$16</definedName>
    <definedName name="Pourc_Févr_CommunAuto_Viler">'[4]Occupation_%'!$G$18</definedName>
    <definedName name="Pourc_Janv_Car2GO_CDN">'[4]Occupation_%'!$F$29</definedName>
    <definedName name="Pourc_Janv_Car2GO_Merc">'[4]Occupation_%'!$F$35</definedName>
    <definedName name="Pourc_Janv_Car2GO_PMR">'[4]Occupation_%'!$F$25</definedName>
    <definedName name="Pourc_Janv_Car2GO_Rosem">'[4]Occupation_%'!$F$27</definedName>
    <definedName name="Pourc_Janv_Car2GO_SO">'[4]Occupation_%'!$F$31</definedName>
    <definedName name="Pourc_Janv_Car2GO_Viler">'[4]Occupation_%'!$F$33</definedName>
    <definedName name="Pourc_Janv_CommunAuto_CDN">'[4]Occupation_%'!$F$14</definedName>
    <definedName name="Pourc_Janv_CommunAuto_Merc">'[4]Occupation_%'!$F$20</definedName>
    <definedName name="Pourc_Janv_CommunAuto_PMR">'[4]Occupation_%'!$F$10</definedName>
    <definedName name="Pourc_Janv_CommunAuto_Rosem">'[4]Occupation_%'!$F$12</definedName>
    <definedName name="Pourc_Janv_CommunAuto_SO">'[4]Occupation_%'!$F$16</definedName>
    <definedName name="Pourc_Janv_CommunAuto_Viler">'[4]Occupation_%'!$F$18</definedName>
    <definedName name="Pourc_Juill_Car2GO_CDN">'[4]Occupation_%'!$L$29</definedName>
    <definedName name="Pourc_Juill_Car2GO_Merc">'[4]Occupation_%'!$L$35</definedName>
    <definedName name="Pourc_Juill_Car2GO_PMR">'[4]Occupation_%'!$L$25</definedName>
    <definedName name="Pourc_Juill_Car2GO_Rosem">'[4]Occupation_%'!$L$27</definedName>
    <definedName name="Pourc_Juill_Car2GO_SO">'[4]Occupation_%'!$L$31</definedName>
    <definedName name="Pourc_Juill_Car2GO_Viler">'[4]Occupation_%'!$L$33</definedName>
    <definedName name="Pourc_Juill_CommunAuto_CDN">'[4]Occupation_%'!$L$14</definedName>
    <definedName name="Pourc_Juill_CommunAuto_Merc">'[4]Occupation_%'!$L$20</definedName>
    <definedName name="Pourc_Juill_CommunAuto_PMR">'[4]Occupation_%'!$L$10</definedName>
    <definedName name="Pourc_Juill_CommunAuto_Rosem">'[4]Occupation_%'!$L$12</definedName>
    <definedName name="Pourc_Juill_CommunAuto_SO">'[4]Occupation_%'!$L$16</definedName>
    <definedName name="Pourc_Juill_CommunAuto_Viler">'[4]Occupation_%'!$L$18</definedName>
    <definedName name="Pourc_Juin_Car2GO_CDN">'[4]Occupation_%'!$K$29</definedName>
    <definedName name="Pourc_Juin_Car2GO_Merc">'[4]Occupation_%'!$K$35</definedName>
    <definedName name="Pourc_Juin_Car2GO_PMR">'[4]Occupation_%'!$K$25</definedName>
    <definedName name="Pourc_Juin_Car2GO_Rosem">'[4]Occupation_%'!$K$27</definedName>
    <definedName name="Pourc_Juin_Car2GO_SO">'[4]Occupation_%'!$K$31</definedName>
    <definedName name="Pourc_Juin_Car2GO_Viler">'[4]Occupation_%'!$K$33</definedName>
    <definedName name="Pourc_Juin_CommunAuto_CDN">'[4]Occupation_%'!$K$14</definedName>
    <definedName name="Pourc_Juin_CommunAuto_Merc">'[4]Occupation_%'!$K$20</definedName>
    <definedName name="Pourc_Juin_CommunAuto_PMR">'[4]Occupation_%'!$K$10</definedName>
    <definedName name="Pourc_Juin_CommunAuto_Rosem">'[4]Occupation_%'!$K$12</definedName>
    <definedName name="Pourc_Juin_CommunAuto_SO">'[4]Occupation_%'!$K$16</definedName>
    <definedName name="Pourc_Juin_CommunAuto_Viler">'[4]Occupation_%'!$K$18</definedName>
    <definedName name="Pourc_Mai_Car2GO_CDN">'[4]Occupation_%'!$J$29</definedName>
    <definedName name="Pourc_Mai_Car2GO_Merc">'[4]Occupation_%'!$J$35</definedName>
    <definedName name="Pourc_Mai_Car2GO_PMR">'[4]Occupation_%'!$J$25</definedName>
    <definedName name="Pourc_Mai_Car2GO_Rosem">'[4]Occupation_%'!$J$27</definedName>
    <definedName name="Pourc_Mai_Car2GO_SO">'[4]Occupation_%'!$J$31</definedName>
    <definedName name="Pourc_Mai_Car2GO_Viler">'[4]Occupation_%'!$J$33</definedName>
    <definedName name="Pourc_Mai_CommunAuto_CDN">'[4]Occupation_%'!$J$14</definedName>
    <definedName name="Pourc_Mai_CommunAuto_Merc">'[4]Occupation_%'!$J$20</definedName>
    <definedName name="Pourc_Mai_CommunAuto_PMR">'[4]Occupation_%'!$J$10</definedName>
    <definedName name="Pourc_Mai_CommunAuto_Rosem">'[4]Occupation_%'!$J$12</definedName>
    <definedName name="Pourc_Mai_CommunAuto_SO">'[4]Occupation_%'!$J$16</definedName>
    <definedName name="Pourc_Mai_CommunAuto_Viler">'[4]Occupation_%'!$J$18</definedName>
    <definedName name="Pourc_Mars_Car2GO_CDN">'[4]Occupation_%'!$H$29</definedName>
    <definedName name="Pourc_Mars_Car2GO_Merc">'[4]Occupation_%'!$H$35</definedName>
    <definedName name="Pourc_Mars_Car2GO_PMR">'[4]Occupation_%'!$H$25</definedName>
    <definedName name="Pourc_Mars_Car2GO_Rosem">'[4]Occupation_%'!$H$27</definedName>
    <definedName name="Pourc_Mars_Car2GO_SO">'[4]Occupation_%'!$H$31</definedName>
    <definedName name="Pourc_Mars_Car2GO_Viler">'[4]Occupation_%'!$H$33</definedName>
    <definedName name="Pourc_Mars_CommunAuto_CDN">'[4]Occupation_%'!$H$14</definedName>
    <definedName name="Pourc_Mars_CommunAuto_Merc">'[4]Occupation_%'!$H$20</definedName>
    <definedName name="Pourc_Mars_CommunAuto_PMR">'[4]Occupation_%'!$H$10</definedName>
    <definedName name="Pourc_Mars_CommunAuto_Rosem">'[4]Occupation_%'!$H$12</definedName>
    <definedName name="Pourc_Mars_CommunAuto_SO">'[4]Occupation_%'!$H$16</definedName>
    <definedName name="Pourc_Mars_CommunAuto_Viler">'[4]Occupation_%'!$H$18</definedName>
    <definedName name="Pourc_Nov_Car2GO_CDN">'[4]Occupation_%'!$D$29</definedName>
    <definedName name="Pourc_Nov_Car2GO_Merc">'[4]Occupation_%'!$D$35</definedName>
    <definedName name="Pourc_Nov_Car2GO_PMR">'[4]Occupation_%'!$D$25</definedName>
    <definedName name="Pourc_Nov_Car2GO_Rosem">'[4]Occupation_%'!$D$27</definedName>
    <definedName name="Pourc_Nov_Car2GO_SO">'[4]Occupation_%'!$D$31</definedName>
    <definedName name="Pourc_Nov_Car2GO_Viler">'[4]Occupation_%'!$D$33</definedName>
    <definedName name="Pourc_Nov_CommunAuto_CDN">'[4]Occupation_%'!$D$14</definedName>
    <definedName name="Pourc_Nov_CommunAuto_Merc">'[4]Occupation_%'!$D$20</definedName>
    <definedName name="Pourc_Nov_CommunAuto_PMR">'[4]Occupation_%'!$D$10</definedName>
    <definedName name="Pourc_Nov_CommunAuto_Rosem">'[4]Occupation_%'!$D$12</definedName>
    <definedName name="Pourc_Nov_CommunAuto_SO">'[4]Occupation_%'!$D$16</definedName>
    <definedName name="Pourc_Nov_CommunAuto_Viler">'[4]Occupation_%'!$D$18</definedName>
    <definedName name="Pourc_Oct_Car2GO_CDN">'[4]Occupation_%'!$C$29</definedName>
    <definedName name="Pourc_Oct_Car2GO_Merc">'[4]Occupation_%'!$C$35</definedName>
    <definedName name="Pourc_Oct_Car2GO_PMR">'[4]Occupation_%'!$C$25</definedName>
    <definedName name="Pourc_Oct_Car2GO_Rosem">'[4]Occupation_%'!$C$27</definedName>
    <definedName name="Pourc_Oct_Car2GO_SO">'[4]Occupation_%'!$C$31</definedName>
    <definedName name="Pourc_Oct_Car2GO_Viler">'[4]Occupation_%'!$C$33</definedName>
    <definedName name="Pourc_Oct_CommunAuto_CDN">'[4]Occupation_%'!$C$14</definedName>
    <definedName name="Pourc_Oct_CommunAuto_Merc">'[4]Occupation_%'!$C$20</definedName>
    <definedName name="Pourc_Oct_CommunAuto_PMR">'[4]Occupation_%'!$C$10</definedName>
    <definedName name="Pourc_Oct_CommunAuto_Rosem">'[4]Occupation_%'!$C$12</definedName>
    <definedName name="Pourc_Oct_CommunAuto_SO">'[4]Occupation_%'!$C$16</definedName>
    <definedName name="Pourc_Oct_CommunAuto_Viler">'[4]Occupation_%'!$C$18</definedName>
    <definedName name="Pourc_Sept_Car2GO_CDN">'[4]Occupation_%'!$N$29</definedName>
    <definedName name="Pourc_Sept_Car2GO_Merc">'[4]Occupation_%'!$N$35</definedName>
    <definedName name="Pourc_Sept_Car2GO_PMR">'[4]Occupation_%'!$N$25</definedName>
    <definedName name="Pourc_Sept_Car2GO_Rosem">'[4]Occupation_%'!$N$27</definedName>
    <definedName name="Pourc_Sept_Car2GO_SO">'[4]Occupation_%'!$N$31</definedName>
    <definedName name="Pourc_Sept_Car2GO_Viler">'[4]Occupation_%'!$N$33</definedName>
    <definedName name="Pourc_Sept_CommunAuto_CDN">'[4]Occupation_%'!$N$14</definedName>
    <definedName name="Pourc_Sept_CommunAuto_Merc">'[4]Occupation_%'!$N$20</definedName>
    <definedName name="Pourc_Sept_CommunAuto_PMR">'[4]Occupation_%'!$N$10</definedName>
    <definedName name="Pourc_Sept_CommunAuto_Rosem">'[4]Occupation_%'!$N$12</definedName>
    <definedName name="Pourc_Sept_CommunAuto_SO">'[4]Occupation_%'!$N$16</definedName>
    <definedName name="Pourc_Sept_CommunAuto_Viler">'[4]Occupation_%'!$N$18</definedName>
    <definedName name="Régionalisation" localSheetId="0">#REF!</definedName>
    <definedName name="Régionalisation">#REF!</definedName>
    <definedName name="RESI">[3]resi!$A$1:$I$89</definedName>
    <definedName name="Resid" localSheetId="0">#REF!</definedName>
    <definedName name="Resid">#REF!</definedName>
    <definedName name="RÉSID" localSheetId="0">#REF!</definedName>
    <definedName name="RÉSID">#REF!</definedName>
    <definedName name="residentiel" localSheetId="0">#REF!</definedName>
    <definedName name="residentiel">#REF!</definedName>
    <definedName name="résidsect" localSheetId="0">#REF!</definedName>
    <definedName name="résidsect">#REF!</definedName>
    <definedName name="Rev_Août_Car2GO">[4]Revenus!$P$35</definedName>
    <definedName name="Rev_Août_CommunAuto">[4]Revenus!$P$28</definedName>
    <definedName name="Rev_Avril_Car2GO">[4]Revenus!$L$35</definedName>
    <definedName name="Rev_Avril_CommunAuto">[4]Revenus!$L$28</definedName>
    <definedName name="Rev_Déc_Car2GO">[4]Revenus!$H$35</definedName>
    <definedName name="Rev_Déc_CommunAuto">[4]Revenus!$H$28</definedName>
    <definedName name="Rev_Févr_Car2GO">[4]Revenus!$J$35</definedName>
    <definedName name="Rev_Févr_CommunAuto">[4]Revenus!$J$28</definedName>
    <definedName name="Rev_Janv_Car2GO">[4]Revenus!$I$35</definedName>
    <definedName name="Rev_Janv_CommunAuto">[4]Revenus!$I$28</definedName>
    <definedName name="Rev_Juill_Car2GO">[4]Revenus!$O$35</definedName>
    <definedName name="Rev_Juill_CommunAuto">[4]Revenus!$O$28</definedName>
    <definedName name="Rev_Juin_Car2GO">[4]Revenus!$N$35</definedName>
    <definedName name="Rev_Juin_CommunAuto">[4]Revenus!$N$28</definedName>
    <definedName name="Rev_Mai_Car2GO">[4]Revenus!$M$35</definedName>
    <definedName name="Rev_Mai_CommunAuto">[4]Revenus!$M$28</definedName>
    <definedName name="Rev_Mars_Car2GO">[4]Revenus!$K$35</definedName>
    <definedName name="Rev_Mars_CommunAuto">[4]Revenus!$K$28</definedName>
    <definedName name="Rev_Nov_Car2GO">[4]Revenus!$G$35</definedName>
    <definedName name="Rev_Nov_CommunAuto">[4]Revenus!$G$28</definedName>
    <definedName name="Rev_Oct_Car2GO">[4]Revenus!$F$35</definedName>
    <definedName name="Rev_Oct_CommunAuto">[4]Revenus!$F$28</definedName>
    <definedName name="Rev_Sept_Car2GO">[4]Revenus!$Q$35</definedName>
    <definedName name="Rev_Sept_CommunAuto">[4]Revenus!$Q$28</definedName>
    <definedName name="SOR3A" localSheetId="0">#REF!</definedName>
    <definedName name="SOR3A">#REF!</definedName>
    <definedName name="tab_impact" localSheetId="0">[5]tableau1!#REF!</definedName>
    <definedName name="tab_impact">[5]tableau1!#REF!</definedName>
    <definedName name="TAB_TAUX_FARDEAU" localSheetId="0">[5]tableau1!#REF!</definedName>
    <definedName name="TAB_TAUX_FARDEAU">[5]tableau1!#REF!</definedName>
    <definedName name="Tableau_2.1" localSheetId="0">#REF!</definedName>
    <definedName name="Tableau_2.1">#REF!</definedName>
    <definedName name="Tableau_2.2" localSheetId="0">#REF!</definedName>
    <definedName name="Tableau_2.2">#REF!</definedName>
    <definedName name="Tableau_2.4" localSheetId="0">#REF!</definedName>
    <definedName name="Tableau_2.4">#REF!</definedName>
    <definedName name="Tableau_2.5" localSheetId="0">#REF!</definedName>
    <definedName name="Tableau_2.5">#REF!</definedName>
    <definedName name="Tableau_2.6" localSheetId="0">#REF!</definedName>
    <definedName name="Tableau_2.6">#REF!</definedName>
    <definedName name="Tableau_2.8" localSheetId="0">#REF!</definedName>
    <definedName name="Tableau_2.8">#REF!</definedName>
    <definedName name="_xlnm.Print_Area" localSheetId="9">'Ajust. post transferts'!#REF!</definedName>
    <definedName name="_xlnm.Print_Area" localSheetId="3">Bibliothèques!#REF!</definedName>
    <definedName name="_xlnm.Print_Area" localSheetId="5">Culture!$A$22:$M$28</definedName>
    <definedName name="_xlnm.Print_Area" localSheetId="0">GLOBAL!$A$22:$P$29</definedName>
    <definedName name="_xlnm.Print_Area" localSheetId="7">Parcs!$A$1:$BC$13</definedName>
    <definedName name="_xlnm.Print_Area" localSheetId="4">Sport!#REF!</definedName>
    <definedName name="_xlnm.Print_Area" localSheetId="8">Voirie!$A$1:$AM$33</definedName>
  </definedNames>
  <calcPr calcId="114210" fullCalcOnLoad="1"/>
</workbook>
</file>

<file path=xl/calcChain.xml><?xml version="1.0" encoding="utf-8"?>
<calcChain xmlns="http://schemas.openxmlformats.org/spreadsheetml/2006/main">
  <c r="H16" i="8"/>
  <c r="C16"/>
  <c r="E16"/>
  <c r="C18" i="4"/>
  <c r="E18"/>
  <c r="F18"/>
  <c r="BE22" i="9"/>
  <c r="BE23"/>
  <c r="C11" i="6"/>
  <c r="D11"/>
  <c r="E11"/>
  <c r="F11"/>
  <c r="H11"/>
  <c r="I11"/>
  <c r="J11"/>
  <c r="K11"/>
  <c r="C11" i="4"/>
  <c r="D11"/>
  <c r="E11"/>
  <c r="F11"/>
  <c r="H11"/>
  <c r="I11"/>
  <c r="J11"/>
  <c r="K11"/>
  <c r="F74" i="9"/>
  <c r="G74"/>
  <c r="X74"/>
  <c r="Y74"/>
  <c r="AP74"/>
  <c r="AQ74"/>
  <c r="BE74"/>
  <c r="BG74"/>
  <c r="F54"/>
  <c r="G54"/>
  <c r="X54"/>
  <c r="Y54"/>
  <c r="AP54"/>
  <c r="AQ54"/>
  <c r="BE54"/>
  <c r="BG54"/>
  <c r="M62" i="10"/>
  <c r="M61"/>
  <c r="M60"/>
  <c r="M52"/>
  <c r="M51"/>
  <c r="M50"/>
  <c r="M42"/>
  <c r="M41"/>
  <c r="M40"/>
  <c r="M32"/>
  <c r="M31"/>
  <c r="M30"/>
  <c r="M22"/>
  <c r="M21"/>
  <c r="M20"/>
  <c r="K60"/>
  <c r="K62"/>
  <c r="K61"/>
  <c r="K52"/>
  <c r="K51"/>
  <c r="K50"/>
  <c r="K42"/>
  <c r="K41"/>
  <c r="K40"/>
  <c r="K32"/>
  <c r="K31"/>
  <c r="K30"/>
  <c r="K22"/>
  <c r="K21"/>
  <c r="K20"/>
  <c r="M12"/>
  <c r="M11"/>
  <c r="M10"/>
  <c r="K12"/>
  <c r="K11"/>
  <c r="K10"/>
  <c r="L11" i="4"/>
  <c r="L8"/>
  <c r="L9"/>
  <c r="L10"/>
  <c r="F72" i="9"/>
  <c r="H161" i="27"/>
  <c r="G161"/>
  <c r="F161"/>
  <c r="D161"/>
  <c r="J160"/>
  <c r="I159"/>
  <c r="J159"/>
  <c r="J158"/>
  <c r="E157"/>
  <c r="J157"/>
  <c r="H56" i="90"/>
  <c r="J156" i="27"/>
  <c r="J155"/>
  <c r="H55" i="90"/>
  <c r="J154" i="27"/>
  <c r="I153"/>
  <c r="J152"/>
  <c r="J151"/>
  <c r="J150"/>
  <c r="J149"/>
  <c r="C148"/>
  <c r="C161"/>
  <c r="J147"/>
  <c r="J146"/>
  <c r="J145"/>
  <c r="J144"/>
  <c r="H54" i="90"/>
  <c r="J143" i="27"/>
  <c r="E142"/>
  <c r="J142"/>
  <c r="I161"/>
  <c r="J148"/>
  <c r="J153"/>
  <c r="E161"/>
  <c r="J161"/>
  <c r="H58" i="4"/>
  <c r="H59"/>
  <c r="H60"/>
  <c r="H56" i="8"/>
  <c r="H57"/>
  <c r="H58"/>
  <c r="C56"/>
  <c r="C57"/>
  <c r="C58"/>
  <c r="AA49" i="7"/>
  <c r="AC49"/>
  <c r="AA50"/>
  <c r="AC50"/>
  <c r="AA51"/>
  <c r="AC51"/>
  <c r="F60" i="4"/>
  <c r="F59"/>
  <c r="F58"/>
  <c r="C58"/>
  <c r="C59"/>
  <c r="C60"/>
  <c r="W58"/>
  <c r="W59"/>
  <c r="W60"/>
  <c r="I60"/>
  <c r="L51" i="7"/>
  <c r="N51"/>
  <c r="I59" i="4"/>
  <c r="L50" i="7"/>
  <c r="N50"/>
  <c r="I58" i="4"/>
  <c r="L49" i="7"/>
  <c r="N49"/>
  <c r="H52" i="4"/>
  <c r="H51"/>
  <c r="H50"/>
  <c r="H44"/>
  <c r="H43"/>
  <c r="H42"/>
  <c r="H36"/>
  <c r="H35"/>
  <c r="H34"/>
  <c r="H28"/>
  <c r="H27"/>
  <c r="H26"/>
  <c r="K58"/>
  <c r="K60"/>
  <c r="K59"/>
  <c r="C49" i="90"/>
  <c r="K116" i="27"/>
  <c r="K117"/>
  <c r="K45" i="90"/>
  <c r="K118" i="27"/>
  <c r="K119"/>
  <c r="K120"/>
  <c r="K121"/>
  <c r="K122"/>
  <c r="K123"/>
  <c r="K124"/>
  <c r="K125"/>
  <c r="K126"/>
  <c r="K127"/>
  <c r="K128"/>
  <c r="K46" i="90"/>
  <c r="K129" i="27"/>
  <c r="K130"/>
  <c r="K47" i="90"/>
  <c r="K131" i="27"/>
  <c r="K132"/>
  <c r="K133"/>
  <c r="K115"/>
  <c r="D134"/>
  <c r="E134"/>
  <c r="F134"/>
  <c r="G134"/>
  <c r="H134"/>
  <c r="I134"/>
  <c r="J134"/>
  <c r="C134"/>
  <c r="O104"/>
  <c r="M106"/>
  <c r="C40" i="90"/>
  <c r="N106" i="27"/>
  <c r="O98"/>
  <c r="O99"/>
  <c r="O100"/>
  <c r="K37" i="90"/>
  <c r="O101" i="27"/>
  <c r="O102"/>
  <c r="K38" i="90"/>
  <c r="O103" i="27"/>
  <c r="O105"/>
  <c r="O88"/>
  <c r="O89"/>
  <c r="K36" i="90"/>
  <c r="O90" i="27"/>
  <c r="O91"/>
  <c r="O92"/>
  <c r="O93"/>
  <c r="O94"/>
  <c r="O95"/>
  <c r="O96"/>
  <c r="O97"/>
  <c r="O87"/>
  <c r="I106"/>
  <c r="J106"/>
  <c r="K106"/>
  <c r="L106"/>
  <c r="D106"/>
  <c r="E106"/>
  <c r="F106"/>
  <c r="G106"/>
  <c r="H106"/>
  <c r="C106"/>
  <c r="C31" i="90"/>
  <c r="K58" i="10"/>
  <c r="M58"/>
  <c r="H60"/>
  <c r="H61"/>
  <c r="H62"/>
  <c r="K48"/>
  <c r="M48"/>
  <c r="H50"/>
  <c r="H51"/>
  <c r="H52"/>
  <c r="K38"/>
  <c r="M38"/>
  <c r="H40"/>
  <c r="H41"/>
  <c r="H42"/>
  <c r="BE72" i="9"/>
  <c r="BE73"/>
  <c r="BG73"/>
  <c r="G72"/>
  <c r="X72"/>
  <c r="Y72"/>
  <c r="AP72"/>
  <c r="AQ72"/>
  <c r="F73"/>
  <c r="G73"/>
  <c r="X73"/>
  <c r="Y73"/>
  <c r="AP73"/>
  <c r="AQ73"/>
  <c r="F62"/>
  <c r="G62"/>
  <c r="X62"/>
  <c r="Y62"/>
  <c r="AP62"/>
  <c r="AR72"/>
  <c r="AQ62"/>
  <c r="AS72"/>
  <c r="F63"/>
  <c r="G63"/>
  <c r="I73"/>
  <c r="X63"/>
  <c r="Z73"/>
  <c r="Y63"/>
  <c r="AA73"/>
  <c r="AP63"/>
  <c r="AQ63"/>
  <c r="F64"/>
  <c r="H74"/>
  <c r="J74"/>
  <c r="G64"/>
  <c r="I74"/>
  <c r="X64"/>
  <c r="Z74"/>
  <c r="AB74"/>
  <c r="Y64"/>
  <c r="AA74"/>
  <c r="AP64"/>
  <c r="AR74"/>
  <c r="AT74"/>
  <c r="AQ64"/>
  <c r="AS74"/>
  <c r="F52"/>
  <c r="G52"/>
  <c r="X52"/>
  <c r="Y52"/>
  <c r="AP52"/>
  <c r="AQ52"/>
  <c r="F53"/>
  <c r="G53"/>
  <c r="X53"/>
  <c r="Z63"/>
  <c r="Y53"/>
  <c r="AA63"/>
  <c r="AP53"/>
  <c r="AR63"/>
  <c r="AQ53"/>
  <c r="AA64"/>
  <c r="E45" i="90"/>
  <c r="F47"/>
  <c r="G45"/>
  <c r="F46"/>
  <c r="E47"/>
  <c r="G47"/>
  <c r="E46"/>
  <c r="F45"/>
  <c r="G46"/>
  <c r="AU74" i="9"/>
  <c r="AV74"/>
  <c r="AC74"/>
  <c r="BG72"/>
  <c r="K74"/>
  <c r="AS62"/>
  <c r="AU62"/>
  <c r="AR62"/>
  <c r="AT62"/>
  <c r="AB73"/>
  <c r="AT72"/>
  <c r="I63"/>
  <c r="K63"/>
  <c r="AR64"/>
  <c r="AT64"/>
  <c r="AS63"/>
  <c r="AU63"/>
  <c r="Z62"/>
  <c r="AB62"/>
  <c r="I62"/>
  <c r="K62"/>
  <c r="H62"/>
  <c r="J62"/>
  <c r="H64"/>
  <c r="J64"/>
  <c r="AT63"/>
  <c r="Z64"/>
  <c r="AB64"/>
  <c r="I64"/>
  <c r="K64"/>
  <c r="AR73"/>
  <c r="AT73"/>
  <c r="I72"/>
  <c r="H63"/>
  <c r="J63"/>
  <c r="AS64"/>
  <c r="AU64"/>
  <c r="AA62"/>
  <c r="AC62"/>
  <c r="H72"/>
  <c r="H73"/>
  <c r="J73"/>
  <c r="AA72"/>
  <c r="AC72"/>
  <c r="AC63"/>
  <c r="Z72"/>
  <c r="AB72"/>
  <c r="AC73"/>
  <c r="AS73"/>
  <c r="AU73"/>
  <c r="AU72"/>
  <c r="K134" i="27"/>
  <c r="O106"/>
  <c r="K73" i="9"/>
  <c r="AC64"/>
  <c r="AB63"/>
  <c r="K72"/>
  <c r="J72"/>
  <c r="AD74"/>
  <c r="L74"/>
  <c r="AD72"/>
  <c r="AD73"/>
  <c r="AD62"/>
  <c r="AV63"/>
  <c r="AV72"/>
  <c r="AD64"/>
  <c r="AV73"/>
  <c r="AV62"/>
  <c r="AV64"/>
  <c r="L64"/>
  <c r="AD63"/>
  <c r="L73"/>
  <c r="L62"/>
  <c r="L63"/>
  <c r="L72"/>
  <c r="F49" i="7"/>
  <c r="F50"/>
  <c r="F51"/>
  <c r="F41"/>
  <c r="F42"/>
  <c r="F43"/>
  <c r="F33"/>
  <c r="F34"/>
  <c r="F35"/>
  <c r="E59" i="4"/>
  <c r="E58"/>
  <c r="S58"/>
  <c r="T58"/>
  <c r="S59"/>
  <c r="T59"/>
  <c r="S60"/>
  <c r="T60"/>
  <c r="C50"/>
  <c r="E50"/>
  <c r="C51"/>
  <c r="E51"/>
  <c r="C52"/>
  <c r="E52"/>
  <c r="J52"/>
  <c r="K52"/>
  <c r="I43" i="7"/>
  <c r="J51" i="4"/>
  <c r="K51"/>
  <c r="I42" i="7"/>
  <c r="J50" i="4"/>
  <c r="K50"/>
  <c r="I41" i="7"/>
  <c r="J42" i="4"/>
  <c r="K42"/>
  <c r="I33" i="7"/>
  <c r="J43" i="4"/>
  <c r="K43"/>
  <c r="I34" i="7"/>
  <c r="J44" i="4"/>
  <c r="K44"/>
  <c r="I35" i="7"/>
  <c r="C58" i="6"/>
  <c r="E58"/>
  <c r="C59"/>
  <c r="E59"/>
  <c r="C60"/>
  <c r="E60"/>
  <c r="E60" i="20"/>
  <c r="G60"/>
  <c r="J60"/>
  <c r="L60"/>
  <c r="E61"/>
  <c r="G61"/>
  <c r="J61"/>
  <c r="L61"/>
  <c r="E62"/>
  <c r="G62"/>
  <c r="J62"/>
  <c r="L62"/>
  <c r="E52"/>
  <c r="G52"/>
  <c r="J52"/>
  <c r="L52"/>
  <c r="E51"/>
  <c r="G51"/>
  <c r="J51"/>
  <c r="L51"/>
  <c r="E50"/>
  <c r="G50"/>
  <c r="J50"/>
  <c r="L50"/>
  <c r="E40"/>
  <c r="G40"/>
  <c r="E41"/>
  <c r="G41"/>
  <c r="J41"/>
  <c r="L41"/>
  <c r="E42"/>
  <c r="G42"/>
  <c r="E56" i="8"/>
  <c r="E57"/>
  <c r="E58"/>
  <c r="H48"/>
  <c r="H49"/>
  <c r="H50"/>
  <c r="C48"/>
  <c r="E48"/>
  <c r="C49"/>
  <c r="E49"/>
  <c r="C50"/>
  <c r="E50"/>
  <c r="H40"/>
  <c r="H41"/>
  <c r="H42"/>
  <c r="C40"/>
  <c r="E40"/>
  <c r="C41"/>
  <c r="E41"/>
  <c r="C42"/>
  <c r="E42"/>
  <c r="G58" i="4"/>
  <c r="L58"/>
  <c r="I49" i="7"/>
  <c r="K49"/>
  <c r="G59" i="4"/>
  <c r="L59"/>
  <c r="I50" i="7"/>
  <c r="K50"/>
  <c r="C50"/>
  <c r="C51"/>
  <c r="C49"/>
  <c r="U50"/>
  <c r="U49"/>
  <c r="U51"/>
  <c r="E60" i="4"/>
  <c r="I51" i="7"/>
  <c r="K51"/>
  <c r="J40" i="20"/>
  <c r="J42"/>
  <c r="G60" i="4"/>
  <c r="L60"/>
  <c r="L42" i="20"/>
  <c r="L40"/>
  <c r="D28" i="27"/>
  <c r="E28"/>
  <c r="F28"/>
  <c r="G28"/>
  <c r="H28"/>
  <c r="I28"/>
  <c r="J28"/>
  <c r="K28"/>
  <c r="L28"/>
  <c r="M28"/>
  <c r="N28"/>
  <c r="O28"/>
  <c r="P28"/>
  <c r="Q28"/>
  <c r="R28"/>
  <c r="S28"/>
  <c r="C28"/>
  <c r="T10"/>
  <c r="T11"/>
  <c r="K9" i="90"/>
  <c r="T12" i="27"/>
  <c r="T13"/>
  <c r="T14"/>
  <c r="T15"/>
  <c r="T16"/>
  <c r="T17"/>
  <c r="T18"/>
  <c r="T19"/>
  <c r="T20"/>
  <c r="T21"/>
  <c r="T22"/>
  <c r="K10" i="90"/>
  <c r="T23" i="27"/>
  <c r="T24"/>
  <c r="K11" i="90"/>
  <c r="T25" i="27"/>
  <c r="T26"/>
  <c r="T27"/>
  <c r="T9"/>
  <c r="T28"/>
  <c r="BK22" i="9"/>
  <c r="BK23"/>
  <c r="BK24"/>
  <c r="BE24"/>
  <c r="J26" i="4"/>
  <c r="J27"/>
  <c r="J28"/>
  <c r="C19"/>
  <c r="C20"/>
  <c r="C18" i="6"/>
  <c r="C19"/>
  <c r="C20"/>
  <c r="H17" i="8"/>
  <c r="H18"/>
  <c r="C17"/>
  <c r="E17"/>
  <c r="C18"/>
  <c r="E18"/>
  <c r="H12" i="10"/>
  <c r="H11"/>
  <c r="H10"/>
  <c r="K8"/>
  <c r="M8"/>
  <c r="BG24" i="9"/>
  <c r="AQ24"/>
  <c r="AP24"/>
  <c r="Y24"/>
  <c r="AA34"/>
  <c r="X24"/>
  <c r="G24"/>
  <c r="F24"/>
  <c r="BG23"/>
  <c r="AQ23"/>
  <c r="AP23"/>
  <c r="Y23"/>
  <c r="AA33"/>
  <c r="X23"/>
  <c r="G23"/>
  <c r="F23"/>
  <c r="BG22"/>
  <c r="AQ22"/>
  <c r="AP22"/>
  <c r="Y22"/>
  <c r="X22"/>
  <c r="G22"/>
  <c r="F22"/>
  <c r="F10" i="7"/>
  <c r="F9"/>
  <c r="F8"/>
  <c r="K20" i="4"/>
  <c r="E20"/>
  <c r="F20"/>
  <c r="K19"/>
  <c r="E19"/>
  <c r="F19"/>
  <c r="K18"/>
  <c r="E20" i="6"/>
  <c r="E19"/>
  <c r="C9" i="7"/>
  <c r="E18" i="6"/>
  <c r="Q12" i="20"/>
  <c r="S12"/>
  <c r="U12"/>
  <c r="E12"/>
  <c r="G12"/>
  <c r="J12"/>
  <c r="Q11"/>
  <c r="S11"/>
  <c r="U11"/>
  <c r="E11"/>
  <c r="G11"/>
  <c r="J11"/>
  <c r="Q10"/>
  <c r="E10"/>
  <c r="G10"/>
  <c r="J10"/>
  <c r="S10"/>
  <c r="U10"/>
  <c r="AC22" i="9"/>
  <c r="AA32"/>
  <c r="AR34"/>
  <c r="I34"/>
  <c r="L10" i="20"/>
  <c r="L11"/>
  <c r="AR32" i="9"/>
  <c r="K24"/>
  <c r="AU23"/>
  <c r="H32"/>
  <c r="AS32"/>
  <c r="Z34"/>
  <c r="Z33"/>
  <c r="H34"/>
  <c r="I32"/>
  <c r="K20" i="20"/>
  <c r="J23" i="9"/>
  <c r="H33"/>
  <c r="AR33"/>
  <c r="I33"/>
  <c r="AS33"/>
  <c r="AS34"/>
  <c r="J24"/>
  <c r="L12" i="20"/>
  <c r="K22"/>
  <c r="Z32" i="9"/>
  <c r="AT23"/>
  <c r="K21" i="20"/>
  <c r="AT22" i="9"/>
  <c r="AB24"/>
  <c r="J22"/>
  <c r="AB23"/>
  <c r="AC23"/>
  <c r="AT24"/>
  <c r="AB22"/>
  <c r="AU24"/>
  <c r="I8" i="7"/>
  <c r="I9"/>
  <c r="I10"/>
  <c r="C10"/>
  <c r="C8"/>
  <c r="J80" i="27"/>
  <c r="I80"/>
  <c r="H80"/>
  <c r="G80"/>
  <c r="F80"/>
  <c r="E80"/>
  <c r="D80"/>
  <c r="C80"/>
  <c r="K79"/>
  <c r="K78"/>
  <c r="K77"/>
  <c r="K76"/>
  <c r="I29" i="90"/>
  <c r="K75" i="27"/>
  <c r="K74"/>
  <c r="I28" i="90"/>
  <c r="K73" i="27"/>
  <c r="K72"/>
  <c r="K71"/>
  <c r="K70"/>
  <c r="K69"/>
  <c r="K68"/>
  <c r="K67"/>
  <c r="K66"/>
  <c r="K65"/>
  <c r="K64"/>
  <c r="K63"/>
  <c r="I27" i="90"/>
  <c r="K62" i="27"/>
  <c r="K61"/>
  <c r="AD22" i="9"/>
  <c r="AV23"/>
  <c r="AD23"/>
  <c r="AV24"/>
  <c r="L24"/>
  <c r="K80" i="27"/>
  <c r="AC24" i="9"/>
  <c r="AD24"/>
  <c r="K23"/>
  <c r="L23"/>
  <c r="AU22"/>
  <c r="AV22"/>
  <c r="K22"/>
  <c r="L22"/>
  <c r="C26" i="6"/>
  <c r="W30" i="10"/>
  <c r="W40"/>
  <c r="W50"/>
  <c r="W60"/>
  <c r="X30"/>
  <c r="X40"/>
  <c r="X50"/>
  <c r="X60"/>
  <c r="Y30"/>
  <c r="Y40"/>
  <c r="Y50"/>
  <c r="Y60"/>
  <c r="Z30"/>
  <c r="Z40"/>
  <c r="Z50"/>
  <c r="Z60"/>
  <c r="AA30"/>
  <c r="AA40"/>
  <c r="AA50"/>
  <c r="AA60"/>
  <c r="W31"/>
  <c r="W41"/>
  <c r="W51"/>
  <c r="W61"/>
  <c r="X31"/>
  <c r="X41"/>
  <c r="X51"/>
  <c r="X61"/>
  <c r="Y31"/>
  <c r="Y41"/>
  <c r="Y51"/>
  <c r="Y61"/>
  <c r="Z31"/>
  <c r="Z41"/>
  <c r="Z51"/>
  <c r="Z61"/>
  <c r="AA31"/>
  <c r="AA41"/>
  <c r="AA51"/>
  <c r="AA61"/>
  <c r="W32"/>
  <c r="W42"/>
  <c r="W52"/>
  <c r="W62"/>
  <c r="X32"/>
  <c r="X42"/>
  <c r="X52"/>
  <c r="X62"/>
  <c r="Y32"/>
  <c r="Y42"/>
  <c r="Y52"/>
  <c r="Y62"/>
  <c r="Z32"/>
  <c r="Z42"/>
  <c r="Z52"/>
  <c r="Z62"/>
  <c r="AA32"/>
  <c r="AA42"/>
  <c r="AA52"/>
  <c r="AA62"/>
  <c r="G42" i="9"/>
  <c r="I52"/>
  <c r="G43"/>
  <c r="I53"/>
  <c r="G44"/>
  <c r="I54"/>
  <c r="F42"/>
  <c r="H52"/>
  <c r="F43"/>
  <c r="H53"/>
  <c r="J53"/>
  <c r="F44"/>
  <c r="H54"/>
  <c r="J54"/>
  <c r="AG32"/>
  <c r="AG33"/>
  <c r="AG34"/>
  <c r="O32"/>
  <c r="O33"/>
  <c r="O34"/>
  <c r="AY32"/>
  <c r="AY33"/>
  <c r="AY34"/>
  <c r="BE32"/>
  <c r="BE33"/>
  <c r="BE34"/>
  <c r="BH44"/>
  <c r="BH43"/>
  <c r="BH53"/>
  <c r="BH63"/>
  <c r="BH73"/>
  <c r="BH42"/>
  <c r="BH52"/>
  <c r="BH62"/>
  <c r="BH72"/>
  <c r="BE42"/>
  <c r="BE43"/>
  <c r="BE44"/>
  <c r="AQ44"/>
  <c r="AS54"/>
  <c r="AP44"/>
  <c r="AR54"/>
  <c r="AT54"/>
  <c r="AQ43"/>
  <c r="AS53"/>
  <c r="AP43"/>
  <c r="AR53"/>
  <c r="AT53"/>
  <c r="AQ42"/>
  <c r="AS52"/>
  <c r="AP42"/>
  <c r="AR52"/>
  <c r="AP32"/>
  <c r="AQ32"/>
  <c r="AP33"/>
  <c r="AQ33"/>
  <c r="AP34"/>
  <c r="AQ34"/>
  <c r="AW44"/>
  <c r="AW54"/>
  <c r="AX54"/>
  <c r="AW43"/>
  <c r="AW53"/>
  <c r="AW42"/>
  <c r="AW52"/>
  <c r="Y44"/>
  <c r="AA54"/>
  <c r="X44"/>
  <c r="Z54"/>
  <c r="AB54"/>
  <c r="Y43"/>
  <c r="AA53"/>
  <c r="X43"/>
  <c r="Z53"/>
  <c r="AB53"/>
  <c r="Y42"/>
  <c r="AA52"/>
  <c r="X42"/>
  <c r="Z52"/>
  <c r="AB52"/>
  <c r="X32"/>
  <c r="Y32"/>
  <c r="X33"/>
  <c r="Y33"/>
  <c r="X34"/>
  <c r="Y34"/>
  <c r="AE44"/>
  <c r="AE54"/>
  <c r="AF54"/>
  <c r="AE43"/>
  <c r="AE53"/>
  <c r="AE42"/>
  <c r="AE52"/>
  <c r="M42"/>
  <c r="M52"/>
  <c r="M43"/>
  <c r="M53"/>
  <c r="M44"/>
  <c r="M54"/>
  <c r="N54"/>
  <c r="G32"/>
  <c r="G33"/>
  <c r="G34"/>
  <c r="F32"/>
  <c r="H42"/>
  <c r="F33"/>
  <c r="F34"/>
  <c r="H44"/>
  <c r="J27" i="7"/>
  <c r="J35"/>
  <c r="J26"/>
  <c r="J34"/>
  <c r="J25"/>
  <c r="J33"/>
  <c r="G27"/>
  <c r="G35"/>
  <c r="G26"/>
  <c r="G34"/>
  <c r="G25"/>
  <c r="G33"/>
  <c r="D25"/>
  <c r="D33"/>
  <c r="D26"/>
  <c r="D34"/>
  <c r="D27"/>
  <c r="D35"/>
  <c r="L34" i="4"/>
  <c r="L42"/>
  <c r="L35"/>
  <c r="L43"/>
  <c r="L36"/>
  <c r="L44"/>
  <c r="K26"/>
  <c r="M26"/>
  <c r="K27"/>
  <c r="M27"/>
  <c r="K28"/>
  <c r="M28"/>
  <c r="J34"/>
  <c r="K34"/>
  <c r="I25" i="7"/>
  <c r="J35" i="4"/>
  <c r="K35"/>
  <c r="J36"/>
  <c r="K36"/>
  <c r="I27" i="7"/>
  <c r="C26" i="4"/>
  <c r="C27"/>
  <c r="C28"/>
  <c r="C34"/>
  <c r="C35"/>
  <c r="C36"/>
  <c r="I34" i="6"/>
  <c r="I35"/>
  <c r="I36"/>
  <c r="J26"/>
  <c r="J27"/>
  <c r="J28"/>
  <c r="F34"/>
  <c r="F42"/>
  <c r="F50"/>
  <c r="F58"/>
  <c r="F35"/>
  <c r="F43"/>
  <c r="F51"/>
  <c r="F59"/>
  <c r="F36"/>
  <c r="F44"/>
  <c r="F52"/>
  <c r="F60"/>
  <c r="C34"/>
  <c r="C35"/>
  <c r="C36"/>
  <c r="C27"/>
  <c r="C28"/>
  <c r="E30" i="20"/>
  <c r="G30"/>
  <c r="J30"/>
  <c r="E31"/>
  <c r="G31"/>
  <c r="J31"/>
  <c r="E32"/>
  <c r="G32"/>
  <c r="J32"/>
  <c r="K25" i="7"/>
  <c r="Q54" i="9"/>
  <c r="J52"/>
  <c r="Q52"/>
  <c r="O54"/>
  <c r="P54"/>
  <c r="K54"/>
  <c r="R54"/>
  <c r="AT52"/>
  <c r="BA52"/>
  <c r="AV54"/>
  <c r="BA54"/>
  <c r="BB54"/>
  <c r="BC54"/>
  <c r="BH54"/>
  <c r="BK54"/>
  <c r="AI54"/>
  <c r="AU54"/>
  <c r="AY54"/>
  <c r="AZ54"/>
  <c r="AG54"/>
  <c r="AH54"/>
  <c r="AC54"/>
  <c r="AJ54"/>
  <c r="D42" i="7"/>
  <c r="D41"/>
  <c r="G42"/>
  <c r="H34"/>
  <c r="H35"/>
  <c r="G43"/>
  <c r="J42"/>
  <c r="K34"/>
  <c r="J41"/>
  <c r="K33"/>
  <c r="D43"/>
  <c r="G41"/>
  <c r="H33"/>
  <c r="J43"/>
  <c r="K35"/>
  <c r="AI52" i="9"/>
  <c r="M62"/>
  <c r="N52"/>
  <c r="AG52"/>
  <c r="AC52"/>
  <c r="AW64"/>
  <c r="AW74"/>
  <c r="BK73"/>
  <c r="Q53"/>
  <c r="AE64"/>
  <c r="AE74"/>
  <c r="M64"/>
  <c r="M74"/>
  <c r="AW62"/>
  <c r="AX52"/>
  <c r="O53"/>
  <c r="K53"/>
  <c r="R53"/>
  <c r="AY52"/>
  <c r="AU52"/>
  <c r="AE62"/>
  <c r="AF52"/>
  <c r="BA53"/>
  <c r="AE63"/>
  <c r="AF53"/>
  <c r="M63"/>
  <c r="N53"/>
  <c r="AI53"/>
  <c r="AY53"/>
  <c r="AU53"/>
  <c r="BB53"/>
  <c r="BK72"/>
  <c r="AG53"/>
  <c r="AC53"/>
  <c r="AJ53"/>
  <c r="AW63"/>
  <c r="AX53"/>
  <c r="O52"/>
  <c r="K52"/>
  <c r="M35" i="4"/>
  <c r="L50"/>
  <c r="M42"/>
  <c r="L51"/>
  <c r="M43"/>
  <c r="L52"/>
  <c r="M44"/>
  <c r="G60" i="6"/>
  <c r="G58"/>
  <c r="G59"/>
  <c r="J36"/>
  <c r="I44"/>
  <c r="J35"/>
  <c r="I43"/>
  <c r="J34"/>
  <c r="I42"/>
  <c r="AC34" i="9"/>
  <c r="AJ34"/>
  <c r="AA44"/>
  <c r="AC44"/>
  <c r="AJ44"/>
  <c r="AT34"/>
  <c r="AR44"/>
  <c r="AT44"/>
  <c r="AB34"/>
  <c r="Z44"/>
  <c r="AB44"/>
  <c r="AU32"/>
  <c r="BB32"/>
  <c r="AS42"/>
  <c r="AU42"/>
  <c r="BB42"/>
  <c r="K32"/>
  <c r="R32"/>
  <c r="I42"/>
  <c r="O42"/>
  <c r="N33"/>
  <c r="P33"/>
  <c r="H43"/>
  <c r="AC32"/>
  <c r="AJ32"/>
  <c r="AA42"/>
  <c r="AC42"/>
  <c r="AJ42"/>
  <c r="AT32"/>
  <c r="AR42"/>
  <c r="AT42"/>
  <c r="K34"/>
  <c r="R34"/>
  <c r="I44"/>
  <c r="O44"/>
  <c r="AB32"/>
  <c r="Z42"/>
  <c r="AB42"/>
  <c r="AU33"/>
  <c r="BB33"/>
  <c r="AS43"/>
  <c r="AU43"/>
  <c r="BB43"/>
  <c r="AC33"/>
  <c r="AJ33"/>
  <c r="AA43"/>
  <c r="AG43"/>
  <c r="AT33"/>
  <c r="AR43"/>
  <c r="AT43"/>
  <c r="K33"/>
  <c r="R33"/>
  <c r="I43"/>
  <c r="O43"/>
  <c r="AB33"/>
  <c r="Z43"/>
  <c r="AB43"/>
  <c r="AU34"/>
  <c r="BB34"/>
  <c r="AS44"/>
  <c r="AU44"/>
  <c r="BB44"/>
  <c r="I18" i="7"/>
  <c r="K18"/>
  <c r="I16"/>
  <c r="K16"/>
  <c r="I26"/>
  <c r="K26"/>
  <c r="I17"/>
  <c r="K17"/>
  <c r="AF34" i="9"/>
  <c r="AH34"/>
  <c r="AX34"/>
  <c r="AZ34"/>
  <c r="AX33"/>
  <c r="AZ33"/>
  <c r="AX42"/>
  <c r="N34"/>
  <c r="P34"/>
  <c r="AF43"/>
  <c r="AF44"/>
  <c r="AF33"/>
  <c r="AH33"/>
  <c r="AX32"/>
  <c r="AZ32"/>
  <c r="AX44"/>
  <c r="AX43"/>
  <c r="N32"/>
  <c r="P32"/>
  <c r="AF42"/>
  <c r="AF32"/>
  <c r="AH32"/>
  <c r="J32"/>
  <c r="J34"/>
  <c r="J33"/>
  <c r="K27" i="7"/>
  <c r="M36" i="4"/>
  <c r="M34"/>
  <c r="T30" i="20"/>
  <c r="T40"/>
  <c r="T50"/>
  <c r="T60"/>
  <c r="T31"/>
  <c r="T41"/>
  <c r="T51"/>
  <c r="T61"/>
  <c r="T32"/>
  <c r="T42"/>
  <c r="T52"/>
  <c r="T62"/>
  <c r="Q20"/>
  <c r="S20"/>
  <c r="U20"/>
  <c r="Q21"/>
  <c r="S21"/>
  <c r="U21"/>
  <c r="Q22"/>
  <c r="S22"/>
  <c r="U22"/>
  <c r="P30"/>
  <c r="P31"/>
  <c r="P32"/>
  <c r="M30"/>
  <c r="M40"/>
  <c r="M31"/>
  <c r="M41"/>
  <c r="M32"/>
  <c r="M42"/>
  <c r="I34" i="8"/>
  <c r="I42"/>
  <c r="I33"/>
  <c r="I41"/>
  <c r="I32"/>
  <c r="I40"/>
  <c r="H32"/>
  <c r="H33"/>
  <c r="H34"/>
  <c r="F32"/>
  <c r="F40"/>
  <c r="F33"/>
  <c r="F41"/>
  <c r="F34"/>
  <c r="F42"/>
  <c r="C32"/>
  <c r="C33"/>
  <c r="C34"/>
  <c r="H24"/>
  <c r="J24"/>
  <c r="H25"/>
  <c r="J25"/>
  <c r="H26"/>
  <c r="J26"/>
  <c r="C24"/>
  <c r="C25"/>
  <c r="C26"/>
  <c r="J32"/>
  <c r="M52" i="20"/>
  <c r="N42"/>
  <c r="Q30"/>
  <c r="P40"/>
  <c r="M51"/>
  <c r="N41"/>
  <c r="Q32"/>
  <c r="P42"/>
  <c r="M50"/>
  <c r="N40"/>
  <c r="Q31"/>
  <c r="P41"/>
  <c r="N74" i="9"/>
  <c r="Q74"/>
  <c r="O74"/>
  <c r="R74"/>
  <c r="AX74"/>
  <c r="AY74"/>
  <c r="BA74"/>
  <c r="BB74"/>
  <c r="AF74"/>
  <c r="AI74"/>
  <c r="AG74"/>
  <c r="AJ74"/>
  <c r="AK54"/>
  <c r="BJ54"/>
  <c r="BM54"/>
  <c r="R52"/>
  <c r="S52"/>
  <c r="BH64"/>
  <c r="BH74"/>
  <c r="BK74"/>
  <c r="L54"/>
  <c r="BB52"/>
  <c r="BC52"/>
  <c r="AJ52"/>
  <c r="AD54"/>
  <c r="S54"/>
  <c r="AG42"/>
  <c r="AH42"/>
  <c r="AY42"/>
  <c r="AZ42"/>
  <c r="AD53"/>
  <c r="AG44"/>
  <c r="AH44"/>
  <c r="AY44"/>
  <c r="AY43"/>
  <c r="AZ43"/>
  <c r="BA33"/>
  <c r="BC33"/>
  <c r="AV33"/>
  <c r="BA42"/>
  <c r="BC42"/>
  <c r="AV42"/>
  <c r="AV52"/>
  <c r="BA32"/>
  <c r="BC32"/>
  <c r="AV32"/>
  <c r="AV53"/>
  <c r="BA43"/>
  <c r="BC43"/>
  <c r="AV43"/>
  <c r="AZ52"/>
  <c r="BA44"/>
  <c r="BC44"/>
  <c r="AV44"/>
  <c r="BA34"/>
  <c r="BC34"/>
  <c r="AV34"/>
  <c r="AH52"/>
  <c r="F48" i="8"/>
  <c r="G40"/>
  <c r="I49"/>
  <c r="J41"/>
  <c r="F50"/>
  <c r="G42"/>
  <c r="I50"/>
  <c r="J42"/>
  <c r="F49"/>
  <c r="G41"/>
  <c r="I48"/>
  <c r="J40"/>
  <c r="G51" i="7"/>
  <c r="H43"/>
  <c r="V51"/>
  <c r="K43"/>
  <c r="G49"/>
  <c r="H41"/>
  <c r="V50"/>
  <c r="K42"/>
  <c r="H42"/>
  <c r="G50"/>
  <c r="D51"/>
  <c r="V49"/>
  <c r="K41"/>
  <c r="D49"/>
  <c r="D50"/>
  <c r="AI44" i="9"/>
  <c r="AK44"/>
  <c r="AD44"/>
  <c r="AI42"/>
  <c r="AK42"/>
  <c r="AD42"/>
  <c r="AI34"/>
  <c r="AK34"/>
  <c r="AD34"/>
  <c r="AD52"/>
  <c r="AI32"/>
  <c r="AK32"/>
  <c r="AD32"/>
  <c r="AI33"/>
  <c r="AK33"/>
  <c r="AD33"/>
  <c r="AI43"/>
  <c r="Q32"/>
  <c r="S32"/>
  <c r="L32"/>
  <c r="L53"/>
  <c r="L52"/>
  <c r="Q33"/>
  <c r="S33"/>
  <c r="L33"/>
  <c r="Q34"/>
  <c r="S34"/>
  <c r="L34"/>
  <c r="AW73"/>
  <c r="AX63"/>
  <c r="BA63"/>
  <c r="AY63"/>
  <c r="BB63"/>
  <c r="AG64"/>
  <c r="AF64"/>
  <c r="AI64"/>
  <c r="AJ64"/>
  <c r="S53"/>
  <c r="AK53"/>
  <c r="AW72"/>
  <c r="AY62"/>
  <c r="AX62"/>
  <c r="BA62"/>
  <c r="BB62"/>
  <c r="N64"/>
  <c r="Q64"/>
  <c r="R64"/>
  <c r="O64"/>
  <c r="AE72"/>
  <c r="AF62"/>
  <c r="AJ62"/>
  <c r="AI62"/>
  <c r="AG62"/>
  <c r="AX64"/>
  <c r="AY64"/>
  <c r="BA64"/>
  <c r="BB64"/>
  <c r="P53"/>
  <c r="AH53"/>
  <c r="P52"/>
  <c r="AC43"/>
  <c r="AJ43"/>
  <c r="M73"/>
  <c r="O63"/>
  <c r="N63"/>
  <c r="R63"/>
  <c r="Q63"/>
  <c r="AE73"/>
  <c r="AG63"/>
  <c r="AF63"/>
  <c r="AI63"/>
  <c r="AJ63"/>
  <c r="BC53"/>
  <c r="N62"/>
  <c r="M72"/>
  <c r="Q62"/>
  <c r="R62"/>
  <c r="O62"/>
  <c r="AZ53"/>
  <c r="U60" i="4"/>
  <c r="M52"/>
  <c r="U59"/>
  <c r="M51"/>
  <c r="U58"/>
  <c r="M50"/>
  <c r="J42" i="6"/>
  <c r="I50"/>
  <c r="J44"/>
  <c r="I52"/>
  <c r="J43"/>
  <c r="I51"/>
  <c r="J34" i="8"/>
  <c r="AH43" i="9"/>
  <c r="AZ44"/>
  <c r="J33" i="8"/>
  <c r="BC74" i="9"/>
  <c r="L41" i="8"/>
  <c r="M60" i="20"/>
  <c r="N50"/>
  <c r="Q42"/>
  <c r="S42"/>
  <c r="U42"/>
  <c r="W42"/>
  <c r="P52"/>
  <c r="M61"/>
  <c r="N51"/>
  <c r="P50"/>
  <c r="Q40"/>
  <c r="S40"/>
  <c r="U40"/>
  <c r="W40"/>
  <c r="P51"/>
  <c r="Q41"/>
  <c r="S41"/>
  <c r="U41"/>
  <c r="W41"/>
  <c r="M62"/>
  <c r="N52"/>
  <c r="X60" i="4"/>
  <c r="Y60"/>
  <c r="X58"/>
  <c r="Y58"/>
  <c r="X59"/>
  <c r="Y59"/>
  <c r="AH74" i="9"/>
  <c r="AZ74"/>
  <c r="AK74"/>
  <c r="S74"/>
  <c r="P74"/>
  <c r="BI54"/>
  <c r="BL54"/>
  <c r="BN54"/>
  <c r="AK52"/>
  <c r="AK64"/>
  <c r="AD43"/>
  <c r="L40" i="8"/>
  <c r="I56"/>
  <c r="J48"/>
  <c r="J50"/>
  <c r="I58"/>
  <c r="F56"/>
  <c r="G48"/>
  <c r="I57"/>
  <c r="J49"/>
  <c r="F57"/>
  <c r="G49"/>
  <c r="L42"/>
  <c r="F58"/>
  <c r="G50"/>
  <c r="W50" i="7"/>
  <c r="W51"/>
  <c r="H50"/>
  <c r="W49"/>
  <c r="E51"/>
  <c r="H51"/>
  <c r="E49"/>
  <c r="H49"/>
  <c r="E50"/>
  <c r="AK43" i="9"/>
  <c r="AZ64"/>
  <c r="AK62"/>
  <c r="P64"/>
  <c r="BC62"/>
  <c r="S64"/>
  <c r="AH62"/>
  <c r="AZ62"/>
  <c r="AZ63"/>
  <c r="AH64"/>
  <c r="P63"/>
  <c r="S62"/>
  <c r="AK63"/>
  <c r="N73"/>
  <c r="O73"/>
  <c r="Q73"/>
  <c r="R73"/>
  <c r="AF72"/>
  <c r="AI72"/>
  <c r="AJ72"/>
  <c r="AG72"/>
  <c r="N72"/>
  <c r="Q72"/>
  <c r="O72"/>
  <c r="R72"/>
  <c r="AH63"/>
  <c r="BC64"/>
  <c r="AY72"/>
  <c r="BA72"/>
  <c r="AX72"/>
  <c r="BB72"/>
  <c r="BC63"/>
  <c r="P62"/>
  <c r="AI73"/>
  <c r="AG73"/>
  <c r="AF73"/>
  <c r="AJ73"/>
  <c r="AX73"/>
  <c r="BA73"/>
  <c r="AY73"/>
  <c r="BB73"/>
  <c r="S63"/>
  <c r="J51" i="6"/>
  <c r="I59"/>
  <c r="I58"/>
  <c r="J50"/>
  <c r="J52"/>
  <c r="I60"/>
  <c r="BJ74" i="9"/>
  <c r="BM74"/>
  <c r="L48" i="8"/>
  <c r="L50"/>
  <c r="N62" i="20"/>
  <c r="Q50"/>
  <c r="S50"/>
  <c r="U50"/>
  <c r="W50"/>
  <c r="P60"/>
  <c r="N60"/>
  <c r="Q51"/>
  <c r="S51"/>
  <c r="U51"/>
  <c r="W51"/>
  <c r="P61"/>
  <c r="N61"/>
  <c r="Q52"/>
  <c r="S52"/>
  <c r="U52"/>
  <c r="W52"/>
  <c r="P62"/>
  <c r="O50" i="7"/>
  <c r="AZ72" i="9"/>
  <c r="X51" i="7"/>
  <c r="O51"/>
  <c r="O49"/>
  <c r="J58" i="8"/>
  <c r="G58"/>
  <c r="J57"/>
  <c r="G56"/>
  <c r="J56"/>
  <c r="L49"/>
  <c r="G57"/>
  <c r="X49" i="7"/>
  <c r="X50"/>
  <c r="P73" i="9"/>
  <c r="AK73"/>
  <c r="AH73"/>
  <c r="BC73"/>
  <c r="BC72"/>
  <c r="AK72"/>
  <c r="AZ73"/>
  <c r="AH72"/>
  <c r="S73"/>
  <c r="S72"/>
  <c r="P72"/>
  <c r="J58" i="6"/>
  <c r="K58"/>
  <c r="J60"/>
  <c r="K60"/>
  <c r="J59"/>
  <c r="K59"/>
  <c r="BI74" i="9"/>
  <c r="BL74"/>
  <c r="BN74"/>
  <c r="L58" i="8"/>
  <c r="Q62" i="20"/>
  <c r="S62"/>
  <c r="U62"/>
  <c r="W62"/>
  <c r="Q60"/>
  <c r="S60"/>
  <c r="U60"/>
  <c r="W60"/>
  <c r="Q61"/>
  <c r="S61"/>
  <c r="U61"/>
  <c r="W61"/>
  <c r="BJ72" i="9"/>
  <c r="BJ73"/>
  <c r="BI73"/>
  <c r="BL73"/>
  <c r="P59" i="6"/>
  <c r="L57" i="8"/>
  <c r="L56"/>
  <c r="BI72" i="9"/>
  <c r="BM73"/>
  <c r="BN73"/>
  <c r="BM72"/>
  <c r="BL72"/>
  <c r="BN72"/>
  <c r="BE63"/>
  <c r="BG63"/>
  <c r="BK63"/>
  <c r="BE53"/>
  <c r="BG53"/>
  <c r="BK53"/>
  <c r="BE64"/>
  <c r="BG64"/>
  <c r="BK64"/>
  <c r="BE52"/>
  <c r="BE62"/>
  <c r="BG62"/>
  <c r="BK62"/>
  <c r="BG52"/>
  <c r="BJ64"/>
  <c r="BM64"/>
  <c r="BJ53"/>
  <c r="BM53"/>
  <c r="BJ63"/>
  <c r="BM63"/>
  <c r="BJ62"/>
  <c r="BM62"/>
  <c r="C42" i="6"/>
  <c r="E42"/>
  <c r="C50"/>
  <c r="E50"/>
  <c r="C44"/>
  <c r="E44"/>
  <c r="C52"/>
  <c r="E52"/>
  <c r="C43"/>
  <c r="E43"/>
  <c r="C51"/>
  <c r="E51"/>
  <c r="K36" i="27"/>
  <c r="K37"/>
  <c r="K18" i="90"/>
  <c r="K38" i="27"/>
  <c r="K39"/>
  <c r="K40"/>
  <c r="K41"/>
  <c r="K42"/>
  <c r="K43"/>
  <c r="K44"/>
  <c r="K45"/>
  <c r="K46"/>
  <c r="K47"/>
  <c r="K48"/>
  <c r="K19" i="90"/>
  <c r="K49" i="27"/>
  <c r="K50"/>
  <c r="K20" i="90"/>
  <c r="K51" i="27"/>
  <c r="K52"/>
  <c r="K53"/>
  <c r="K35"/>
  <c r="D54"/>
  <c r="E54"/>
  <c r="F54"/>
  <c r="G54"/>
  <c r="H54"/>
  <c r="I54"/>
  <c r="J54"/>
  <c r="C54"/>
  <c r="BK52" i="9"/>
  <c r="G51" i="6"/>
  <c r="K51"/>
  <c r="C42" i="7"/>
  <c r="E42"/>
  <c r="L42"/>
  <c r="G43" i="6"/>
  <c r="K43"/>
  <c r="C34" i="7"/>
  <c r="E34"/>
  <c r="L34"/>
  <c r="G42" i="6"/>
  <c r="K42"/>
  <c r="C33" i="7"/>
  <c r="E33"/>
  <c r="L33"/>
  <c r="G52" i="6"/>
  <c r="K52"/>
  <c r="C43" i="7"/>
  <c r="E43"/>
  <c r="L43"/>
  <c r="G44" i="6"/>
  <c r="K44"/>
  <c r="C35" i="7"/>
  <c r="E35"/>
  <c r="L35"/>
  <c r="G50" i="6"/>
  <c r="K50"/>
  <c r="C41" i="7"/>
  <c r="E41"/>
  <c r="L41"/>
  <c r="BI62" i="9"/>
  <c r="BL62"/>
  <c r="BN62"/>
  <c r="BI53"/>
  <c r="BL53"/>
  <c r="BI63"/>
  <c r="BL63"/>
  <c r="BI64"/>
  <c r="BL64"/>
  <c r="K54" i="27"/>
  <c r="BJ52" i="9"/>
  <c r="BI52"/>
  <c r="BN63"/>
  <c r="BN53"/>
  <c r="BN64"/>
  <c r="BL52"/>
  <c r="BM52"/>
  <c r="BN52"/>
  <c r="F17" i="7"/>
  <c r="H17"/>
  <c r="C42" i="4"/>
  <c r="E42"/>
  <c r="C44"/>
  <c r="E44"/>
  <c r="C43"/>
  <c r="E43"/>
  <c r="F52"/>
  <c r="F50"/>
  <c r="F51"/>
  <c r="E20" i="20"/>
  <c r="G20"/>
  <c r="J20"/>
  <c r="C22" i="90"/>
  <c r="E26" i="6"/>
  <c r="E24" i="8"/>
  <c r="E27" i="6"/>
  <c r="E25" i="8"/>
  <c r="E21" i="20"/>
  <c r="G21"/>
  <c r="J21"/>
  <c r="E28" i="6"/>
  <c r="E26" i="8"/>
  <c r="E22" i="20"/>
  <c r="G22"/>
  <c r="J22"/>
  <c r="F16" i="7"/>
  <c r="F18"/>
  <c r="H18"/>
  <c r="C13" i="90"/>
  <c r="K42" i="9"/>
  <c r="R42"/>
  <c r="S30" i="20"/>
  <c r="U30"/>
  <c r="E34" i="6"/>
  <c r="G34"/>
  <c r="E32" i="8"/>
  <c r="G32"/>
  <c r="L32"/>
  <c r="N42" i="9"/>
  <c r="S31" i="20"/>
  <c r="U31"/>
  <c r="E35" i="6"/>
  <c r="G35"/>
  <c r="F26" i="7"/>
  <c r="E33" i="8"/>
  <c r="K43" i="9"/>
  <c r="R43"/>
  <c r="BG34"/>
  <c r="E36" i="6"/>
  <c r="G36"/>
  <c r="F27" i="7"/>
  <c r="E34" i="8"/>
  <c r="N44" i="9"/>
  <c r="BG44"/>
  <c r="BK44"/>
  <c r="K44"/>
  <c r="R44"/>
  <c r="S32" i="20"/>
  <c r="U32"/>
  <c r="K28" i="10"/>
  <c r="M28"/>
  <c r="K18"/>
  <c r="E35" i="4"/>
  <c r="E36"/>
  <c r="E26"/>
  <c r="F26"/>
  <c r="E27"/>
  <c r="F27"/>
  <c r="E28"/>
  <c r="F28"/>
  <c r="F35"/>
  <c r="F43"/>
  <c r="F36"/>
  <c r="F44"/>
  <c r="C4" i="90"/>
  <c r="E8" i="7"/>
  <c r="E9"/>
  <c r="J20" i="6"/>
  <c r="J19"/>
  <c r="M18" i="4"/>
  <c r="J18" i="6"/>
  <c r="E18" i="90"/>
  <c r="G18"/>
  <c r="K10" i="7"/>
  <c r="H8"/>
  <c r="E19" i="90"/>
  <c r="G19"/>
  <c r="E10" i="7"/>
  <c r="G18" i="6"/>
  <c r="M20" i="4"/>
  <c r="H9" i="7"/>
  <c r="K9"/>
  <c r="G19" i="6"/>
  <c r="M19" i="4"/>
  <c r="K8" i="7"/>
  <c r="J17" i="8"/>
  <c r="N11" i="20"/>
  <c r="W11"/>
  <c r="E20" i="90"/>
  <c r="G20"/>
  <c r="H10" i="7"/>
  <c r="G20" i="6"/>
  <c r="G18" i="8"/>
  <c r="N10" i="20"/>
  <c r="W10"/>
  <c r="N12"/>
  <c r="W12"/>
  <c r="J18" i="8"/>
  <c r="J16"/>
  <c r="G16"/>
  <c r="G17"/>
  <c r="M18" i="10"/>
  <c r="BK34" i="9"/>
  <c r="BJ34"/>
  <c r="BM34"/>
  <c r="J44"/>
  <c r="P44"/>
  <c r="BJ44"/>
  <c r="BM44"/>
  <c r="J42"/>
  <c r="P42"/>
  <c r="H26" i="7"/>
  <c r="H27"/>
  <c r="H16"/>
  <c r="G28" i="6"/>
  <c r="G26"/>
  <c r="G27"/>
  <c r="G33" i="8"/>
  <c r="L33"/>
  <c r="G34"/>
  <c r="L34"/>
  <c r="G26"/>
  <c r="L26"/>
  <c r="G24"/>
  <c r="L24"/>
  <c r="G25"/>
  <c r="L25"/>
  <c r="E34" i="4"/>
  <c r="C27" i="7"/>
  <c r="E27"/>
  <c r="C26"/>
  <c r="E26"/>
  <c r="N43" i="9"/>
  <c r="C25" i="7"/>
  <c r="E25"/>
  <c r="F25"/>
  <c r="H25"/>
  <c r="C18"/>
  <c r="E18"/>
  <c r="L18"/>
  <c r="C17"/>
  <c r="E17"/>
  <c r="L17"/>
  <c r="C16"/>
  <c r="E16"/>
  <c r="E29" i="90"/>
  <c r="E27"/>
  <c r="E28"/>
  <c r="K20" i="6"/>
  <c r="K19"/>
  <c r="L16" i="7"/>
  <c r="N30" i="10"/>
  <c r="N31"/>
  <c r="N32"/>
  <c r="N21"/>
  <c r="N20"/>
  <c r="N51"/>
  <c r="N61"/>
  <c r="N60"/>
  <c r="N42"/>
  <c r="N52"/>
  <c r="N62"/>
  <c r="N40"/>
  <c r="N50"/>
  <c r="N41"/>
  <c r="Q42" i="9"/>
  <c r="S42"/>
  <c r="L42"/>
  <c r="Q44"/>
  <c r="S44"/>
  <c r="L44"/>
  <c r="F34" i="4"/>
  <c r="F42"/>
  <c r="K18" i="6"/>
  <c r="L18" i="8"/>
  <c r="N24" i="9"/>
  <c r="O24"/>
  <c r="R24"/>
  <c r="Q24"/>
  <c r="AX24"/>
  <c r="BA24"/>
  <c r="AY24"/>
  <c r="BB24"/>
  <c r="N22"/>
  <c r="Q22"/>
  <c r="O22"/>
  <c r="R22"/>
  <c r="L10" i="7"/>
  <c r="L9"/>
  <c r="AG22" i="9"/>
  <c r="AF22"/>
  <c r="AI22"/>
  <c r="AJ22"/>
  <c r="AX23"/>
  <c r="AY23"/>
  <c r="BB23"/>
  <c r="BA23"/>
  <c r="AF23"/>
  <c r="AI23"/>
  <c r="AG23"/>
  <c r="AJ23"/>
  <c r="N22" i="10"/>
  <c r="N11"/>
  <c r="Q11"/>
  <c r="AD11"/>
  <c r="L17" i="8"/>
  <c r="AF24" i="9"/>
  <c r="AG24"/>
  <c r="AI24"/>
  <c r="AJ24"/>
  <c r="N23"/>
  <c r="Q23"/>
  <c r="O23"/>
  <c r="R23"/>
  <c r="L8" i="7"/>
  <c r="L16" i="8"/>
  <c r="AX22" i="9"/>
  <c r="AY22"/>
  <c r="BA22"/>
  <c r="BB22"/>
  <c r="N10" i="10"/>
  <c r="N12"/>
  <c r="L26" i="7"/>
  <c r="L27"/>
  <c r="BI44" i="9"/>
  <c r="J43"/>
  <c r="P43"/>
  <c r="L25" i="7"/>
  <c r="K30" i="20"/>
  <c r="L20"/>
  <c r="N20"/>
  <c r="W20"/>
  <c r="K31"/>
  <c r="L31"/>
  <c r="N31"/>
  <c r="W31"/>
  <c r="L21"/>
  <c r="N21"/>
  <c r="W21"/>
  <c r="K32"/>
  <c r="L32"/>
  <c r="N32"/>
  <c r="W32"/>
  <c r="L22"/>
  <c r="N22"/>
  <c r="W22"/>
  <c r="BG33" i="9"/>
  <c r="BG32"/>
  <c r="BL44"/>
  <c r="BN44"/>
  <c r="AK24"/>
  <c r="R11" i="10"/>
  <c r="AE11"/>
  <c r="P11"/>
  <c r="AC11"/>
  <c r="T11"/>
  <c r="AG11"/>
  <c r="AJ11"/>
  <c r="S11"/>
  <c r="AF11"/>
  <c r="R42"/>
  <c r="AE42"/>
  <c r="S42"/>
  <c r="AF42"/>
  <c r="P42"/>
  <c r="Q42"/>
  <c r="AD42"/>
  <c r="T42"/>
  <c r="AG42"/>
  <c r="AJ42"/>
  <c r="R61"/>
  <c r="AE61"/>
  <c r="S61"/>
  <c r="AF61"/>
  <c r="T61"/>
  <c r="AG61"/>
  <c r="AJ61"/>
  <c r="E55" i="90"/>
  <c r="Q61" i="10"/>
  <c r="AD61"/>
  <c r="P61"/>
  <c r="R41"/>
  <c r="AE41"/>
  <c r="P41"/>
  <c r="S41"/>
  <c r="AF41"/>
  <c r="Q41"/>
  <c r="AD41"/>
  <c r="T41"/>
  <c r="AG41"/>
  <c r="AJ41"/>
  <c r="S62"/>
  <c r="AF62"/>
  <c r="Q62"/>
  <c r="AD62"/>
  <c r="T62"/>
  <c r="AG62"/>
  <c r="AJ62"/>
  <c r="E56" i="90"/>
  <c r="P62" i="10"/>
  <c r="R62"/>
  <c r="AE62"/>
  <c r="R52"/>
  <c r="AE52"/>
  <c r="S52"/>
  <c r="AF52"/>
  <c r="Q52"/>
  <c r="AD52"/>
  <c r="T52"/>
  <c r="AG52"/>
  <c r="AJ52"/>
  <c r="H47" i="90"/>
  <c r="P52" i="10"/>
  <c r="R60"/>
  <c r="AE60"/>
  <c r="S60"/>
  <c r="AF60"/>
  <c r="Q60"/>
  <c r="AD60"/>
  <c r="T60"/>
  <c r="AG60"/>
  <c r="AJ60"/>
  <c r="E54" i="90"/>
  <c r="P60" i="10"/>
  <c r="R51"/>
  <c r="AE51"/>
  <c r="S51"/>
  <c r="AF51"/>
  <c r="P51"/>
  <c r="T51"/>
  <c r="AG51"/>
  <c r="AJ51"/>
  <c r="H46" i="90"/>
  <c r="Q51" i="10"/>
  <c r="AD51"/>
  <c r="R50"/>
  <c r="AE50"/>
  <c r="S50"/>
  <c r="AF50"/>
  <c r="Q50"/>
  <c r="AD50"/>
  <c r="T50"/>
  <c r="AG50"/>
  <c r="AJ50"/>
  <c r="H45" i="90"/>
  <c r="P50" i="10"/>
  <c r="T40"/>
  <c r="AG40"/>
  <c r="AJ40"/>
  <c r="H36" i="90"/>
  <c r="S40" i="10"/>
  <c r="AF40"/>
  <c r="P40"/>
  <c r="R40"/>
  <c r="AE40"/>
  <c r="Q40"/>
  <c r="AD40"/>
  <c r="Q43" i="9"/>
  <c r="S43"/>
  <c r="L43"/>
  <c r="AK22"/>
  <c r="AZ24"/>
  <c r="BC23"/>
  <c r="BC24"/>
  <c r="AH23"/>
  <c r="BM22"/>
  <c r="P23"/>
  <c r="BM23"/>
  <c r="P24"/>
  <c r="AK23"/>
  <c r="S22"/>
  <c r="BL22"/>
  <c r="P22"/>
  <c r="BL24"/>
  <c r="S23"/>
  <c r="BL23"/>
  <c r="BC22"/>
  <c r="AZ23"/>
  <c r="S24"/>
  <c r="BM24"/>
  <c r="AH24"/>
  <c r="AZ22"/>
  <c r="AH22"/>
  <c r="S12" i="10"/>
  <c r="AF12"/>
  <c r="P12"/>
  <c r="Q12"/>
  <c r="AD12"/>
  <c r="T12"/>
  <c r="AG12"/>
  <c r="AJ12"/>
  <c r="R12"/>
  <c r="AE12"/>
  <c r="R10"/>
  <c r="AE10"/>
  <c r="S10"/>
  <c r="AF10"/>
  <c r="P10"/>
  <c r="AC10"/>
  <c r="Q10"/>
  <c r="AD10"/>
  <c r="T10"/>
  <c r="AG10"/>
  <c r="AJ10"/>
  <c r="H31"/>
  <c r="H32"/>
  <c r="H30"/>
  <c r="BK33" i="9"/>
  <c r="BJ33"/>
  <c r="BM33"/>
  <c r="BK32"/>
  <c r="BJ32"/>
  <c r="BM32"/>
  <c r="BG43"/>
  <c r="BK43"/>
  <c r="BJ43"/>
  <c r="BM43"/>
  <c r="BG42"/>
  <c r="BK42"/>
  <c r="K27" i="6"/>
  <c r="K28"/>
  <c r="K26"/>
  <c r="BN22" i="9"/>
  <c r="H9" i="90"/>
  <c r="U11" i="10"/>
  <c r="AC62"/>
  <c r="U62"/>
  <c r="H37" i="90"/>
  <c r="AC40" i="10"/>
  <c r="U40"/>
  <c r="U50"/>
  <c r="AC50"/>
  <c r="AC52"/>
  <c r="U52"/>
  <c r="H38" i="90"/>
  <c r="AC51" i="10"/>
  <c r="U51"/>
  <c r="AC41"/>
  <c r="U41"/>
  <c r="AC61"/>
  <c r="U61"/>
  <c r="AC42"/>
  <c r="U42"/>
  <c r="AC60"/>
  <c r="U60"/>
  <c r="BN23" i="9"/>
  <c r="H10" i="90"/>
  <c r="BN24" i="9"/>
  <c r="H11" i="90"/>
  <c r="AH11" i="10"/>
  <c r="AK11"/>
  <c r="I10" i="90"/>
  <c r="U10" i="10"/>
  <c r="AC12"/>
  <c r="U12"/>
  <c r="BI43" i="9"/>
  <c r="BL43"/>
  <c r="BN43"/>
  <c r="BJ42"/>
  <c r="BM42"/>
  <c r="L30" i="20"/>
  <c r="N30"/>
  <c r="W30"/>
  <c r="BI34" i="9"/>
  <c r="BL34"/>
  <c r="BN34"/>
  <c r="BI33"/>
  <c r="BL33"/>
  <c r="BN33"/>
  <c r="K34" i="6"/>
  <c r="K35"/>
  <c r="K36"/>
  <c r="AK42" i="10"/>
  <c r="AH42"/>
  <c r="AK40"/>
  <c r="AH40"/>
  <c r="AK41"/>
  <c r="AH41"/>
  <c r="AK51"/>
  <c r="AH51"/>
  <c r="AH52"/>
  <c r="AK52"/>
  <c r="AH60"/>
  <c r="AK60"/>
  <c r="AK61"/>
  <c r="AH61"/>
  <c r="AK50"/>
  <c r="AH50"/>
  <c r="AK62"/>
  <c r="AH62"/>
  <c r="AK10"/>
  <c r="I9" i="90"/>
  <c r="AH10" i="10"/>
  <c r="AK12"/>
  <c r="I11" i="90"/>
  <c r="AH12" i="10"/>
  <c r="AL11"/>
  <c r="P20"/>
  <c r="AC20"/>
  <c r="BI42" i="9"/>
  <c r="BL42"/>
  <c r="BN42"/>
  <c r="BI32"/>
  <c r="BL32"/>
  <c r="AL50" i="10"/>
  <c r="I45" i="90"/>
  <c r="AL40" i="10"/>
  <c r="I36" i="90"/>
  <c r="AL62" i="10"/>
  <c r="F56" i="90"/>
  <c r="AL61" i="10"/>
  <c r="F55" i="90"/>
  <c r="AL60" i="10"/>
  <c r="F54" i="90"/>
  <c r="AL51" i="10"/>
  <c r="I46" i="90"/>
  <c r="I37"/>
  <c r="AL41" i="10"/>
  <c r="AL52"/>
  <c r="I47" i="90"/>
  <c r="I38"/>
  <c r="AL42" i="10"/>
  <c r="AL12"/>
  <c r="AL10"/>
  <c r="BN32" i="9"/>
  <c r="H20" i="10"/>
  <c r="H21"/>
  <c r="H22"/>
  <c r="D9" i="90"/>
  <c r="J9"/>
  <c r="D10"/>
  <c r="J10"/>
  <c r="L10"/>
  <c r="D11"/>
  <c r="J11"/>
  <c r="C19"/>
  <c r="L11"/>
  <c r="C20"/>
  <c r="L9"/>
  <c r="C18"/>
  <c r="P22" i="10"/>
  <c r="AC22"/>
  <c r="T21"/>
  <c r="AG21"/>
  <c r="Q21"/>
  <c r="AD21"/>
  <c r="S21"/>
  <c r="AF21"/>
  <c r="P21"/>
  <c r="AC21"/>
  <c r="R21"/>
  <c r="AE21"/>
  <c r="T22"/>
  <c r="Q22"/>
  <c r="AD22"/>
  <c r="R22"/>
  <c r="AE22"/>
  <c r="S22"/>
  <c r="Q32"/>
  <c r="AD32"/>
  <c r="R32"/>
  <c r="AE32"/>
  <c r="P32"/>
  <c r="AC32"/>
  <c r="T32"/>
  <c r="AG32"/>
  <c r="AJ32"/>
  <c r="F29" i="90"/>
  <c r="S32" i="10"/>
  <c r="AF32"/>
  <c r="AJ21"/>
  <c r="H19" i="90"/>
  <c r="Q20" i="10"/>
  <c r="AD20"/>
  <c r="T20"/>
  <c r="AG20"/>
  <c r="S20"/>
  <c r="AF20"/>
  <c r="R20"/>
  <c r="AE20"/>
  <c r="U21"/>
  <c r="AH32"/>
  <c r="AK32"/>
  <c r="AF22"/>
  <c r="AK22"/>
  <c r="I20" i="90"/>
  <c r="AG22" i="10"/>
  <c r="AJ22"/>
  <c r="H20" i="90"/>
  <c r="D20"/>
  <c r="D18"/>
  <c r="D19"/>
  <c r="U22" i="10"/>
  <c r="AK21"/>
  <c r="I19" i="90"/>
  <c r="AH21" i="10"/>
  <c r="U20"/>
  <c r="T31"/>
  <c r="AG31"/>
  <c r="AJ31"/>
  <c r="F28" i="90"/>
  <c r="Q31" i="10"/>
  <c r="AD31"/>
  <c r="R31"/>
  <c r="AE31"/>
  <c r="P31"/>
  <c r="AC31"/>
  <c r="S31"/>
  <c r="AF31"/>
  <c r="R30"/>
  <c r="AE30"/>
  <c r="S30"/>
  <c r="AF30"/>
  <c r="T30"/>
  <c r="AG30"/>
  <c r="AJ30"/>
  <c r="F27" i="90"/>
  <c r="P30" i="10"/>
  <c r="AC30"/>
  <c r="Q30"/>
  <c r="AD30"/>
  <c r="AJ20"/>
  <c r="H18" i="90"/>
  <c r="U32" i="10"/>
  <c r="J19" i="90"/>
  <c r="J20"/>
  <c r="AL21" i="10"/>
  <c r="AL32"/>
  <c r="G29" i="90"/>
  <c r="AK31" i="10"/>
  <c r="AH30"/>
  <c r="AK30"/>
  <c r="G27" i="90"/>
  <c r="AH31" i="10"/>
  <c r="AH22"/>
  <c r="U30"/>
  <c r="AK20"/>
  <c r="AH20"/>
  <c r="U31"/>
  <c r="AL22"/>
  <c r="AL20"/>
  <c r="I18" i="90"/>
  <c r="J18"/>
  <c r="AL31" i="10"/>
  <c r="G28" i="90"/>
  <c r="AL30" i="10"/>
  <c r="L20" i="90"/>
  <c r="C29"/>
  <c r="D29"/>
  <c r="H29"/>
  <c r="L19"/>
  <c r="C28"/>
  <c r="D28"/>
  <c r="H28"/>
  <c r="L18"/>
  <c r="C27"/>
  <c r="D27"/>
  <c r="H27"/>
  <c r="J29"/>
  <c r="C38"/>
  <c r="D38"/>
  <c r="J38"/>
  <c r="J27"/>
  <c r="C36"/>
  <c r="L38"/>
  <c r="C47"/>
  <c r="D36"/>
  <c r="J36"/>
  <c r="L36"/>
  <c r="J28"/>
  <c r="C37"/>
  <c r="C45"/>
  <c r="D47"/>
  <c r="J47"/>
  <c r="D37"/>
  <c r="J37"/>
  <c r="D45"/>
  <c r="L37"/>
  <c r="C46"/>
  <c r="L47"/>
  <c r="C56"/>
  <c r="D46"/>
  <c r="J46"/>
  <c r="J45"/>
  <c r="D56"/>
  <c r="G56"/>
  <c r="L46"/>
  <c r="C55"/>
  <c r="L45"/>
  <c r="C54"/>
  <c r="D54"/>
  <c r="G54"/>
  <c r="D55"/>
  <c r="G55"/>
  <c r="I55"/>
  <c r="I56"/>
  <c r="I54"/>
</calcChain>
</file>

<file path=xl/sharedStrings.xml><?xml version="1.0" encoding="utf-8"?>
<sst xmlns="http://schemas.openxmlformats.org/spreadsheetml/2006/main" count="2737" uniqueCount="304">
  <si>
    <t>Arrondissements</t>
  </si>
  <si>
    <t>(000 $)</t>
  </si>
  <si>
    <t>Ahuntsic-Cartierville</t>
  </si>
  <si>
    <t>Anjou</t>
  </si>
  <si>
    <t>Côte-des-Neiges–Notre-Dame-de-Grâce</t>
  </si>
  <si>
    <t>Lachine</t>
  </si>
  <si>
    <t>LaSalle</t>
  </si>
  <si>
    <t>L'Île-Bizard–Sainte-Geneviève</t>
  </si>
  <si>
    <t>Mercier–Hochelaga-Maisonneuve</t>
  </si>
  <si>
    <t>Montréal-Nord</t>
  </si>
  <si>
    <t>Outremont</t>
  </si>
  <si>
    <t>Pierrefonds-Roxboro</t>
  </si>
  <si>
    <t>Plateau-Mont-Royal</t>
  </si>
  <si>
    <t>Rivière-des-Prairies–Pointe-aux-Trembles</t>
  </si>
  <si>
    <t>Rosemont–La Petite-Patrie</t>
  </si>
  <si>
    <t>Saint-Laurent</t>
  </si>
  <si>
    <t>Saint-Léonard</t>
  </si>
  <si>
    <t>Sud-Ouest</t>
  </si>
  <si>
    <t>Verdun</t>
  </si>
  <si>
    <t>Ville-Marie</t>
  </si>
  <si>
    <t>Villeray–Saint-Michel–Parc-Extension</t>
  </si>
  <si>
    <t>Total</t>
  </si>
  <si>
    <t>Activité : Culture</t>
  </si>
  <si>
    <t>hab.</t>
  </si>
  <si>
    <t>Indice</t>
  </si>
  <si>
    <t>Indice de défavorisation et de diversité sociale</t>
  </si>
  <si>
    <t>Nombre d'unités de diffusion</t>
  </si>
  <si>
    <t>u.</t>
  </si>
  <si>
    <t>Grille ODER</t>
  </si>
  <si>
    <t>Budget 2018</t>
  </si>
  <si>
    <t>Budget 2019</t>
  </si>
  <si>
    <t>Décret population 2016</t>
  </si>
  <si>
    <t>Décret population 2017</t>
  </si>
  <si>
    <t>Décret population 2018</t>
  </si>
  <si>
    <t>Population pondérée 2017</t>
  </si>
  <si>
    <t>Population pondérée 2018</t>
  </si>
  <si>
    <t>GLOBAL</t>
  </si>
  <si>
    <t>Indexation</t>
  </si>
  <si>
    <t>Activité : Installations sportives</t>
  </si>
  <si>
    <t>Activité : Santé et bien-être</t>
  </si>
  <si>
    <t>Activité : Aménagement et urbanisme</t>
  </si>
  <si>
    <t>(unités)</t>
  </si>
  <si>
    <t>Nombre de logements pondérés</t>
  </si>
  <si>
    <r>
      <t>m</t>
    </r>
    <r>
      <rPr>
        <vertAlign val="superscript"/>
        <sz val="7"/>
        <rFont val="Arial"/>
        <family val="2"/>
      </rPr>
      <t>2</t>
    </r>
  </si>
  <si>
    <t>Activité : Parcs</t>
  </si>
  <si>
    <t>Tonte de gazon</t>
  </si>
  <si>
    <t>Superficies brutes</t>
  </si>
  <si>
    <t>Local</t>
  </si>
  <si>
    <t>Délégué</t>
  </si>
  <si>
    <t>Superficies pondérées</t>
  </si>
  <si>
    <t>Émondage</t>
  </si>
  <si>
    <t>Pourcentage régie / Indice</t>
  </si>
  <si>
    <t>Entretien des terrains</t>
  </si>
  <si>
    <t>Autres</t>
  </si>
  <si>
    <t>Total de l'activité</t>
  </si>
  <si>
    <t>Paramètres non pondérés</t>
  </si>
  <si>
    <t>A</t>
  </si>
  <si>
    <t>B</t>
  </si>
  <si>
    <t>C</t>
  </si>
  <si>
    <t>D</t>
  </si>
  <si>
    <t>E</t>
  </si>
  <si>
    <r>
      <t>m</t>
    </r>
    <r>
      <rPr>
        <vertAlign val="superscript"/>
        <sz val="7"/>
        <rFont val="Arial"/>
        <family val="2"/>
      </rPr>
      <t>1</t>
    </r>
    <r>
      <rPr>
        <sz val="10"/>
        <rFont val="Arial"/>
        <family val="2"/>
      </rPr>
      <t/>
    </r>
  </si>
  <si>
    <r>
      <t>m</t>
    </r>
    <r>
      <rPr>
        <vertAlign val="superscript"/>
        <sz val="7"/>
        <rFont val="Arial"/>
        <family val="2"/>
      </rPr>
      <t>0</t>
    </r>
    <r>
      <rPr>
        <sz val="10"/>
        <rFont val="Arial"/>
        <family val="2"/>
      </rPr>
      <t/>
    </r>
  </si>
  <si>
    <t>Indice caractère artériel</t>
  </si>
  <si>
    <t>Indice aglomération artériel</t>
  </si>
  <si>
    <t>Indice caractère artériel
normalisé</t>
  </si>
  <si>
    <t>Indice aglomération artériel
normalisé</t>
  </si>
  <si>
    <t>Indice composite</t>
  </si>
  <si>
    <t>Activité : Voirie</t>
  </si>
  <si>
    <t>Paramètres pondérés</t>
  </si>
  <si>
    <t>Mesure du paramètre et enveloppe paramétrée</t>
  </si>
  <si>
    <t>Activité : Bibliothèques</t>
  </si>
  <si>
    <t>Transactions</t>
  </si>
  <si>
    <t>Prêts et retours citoyens</t>
  </si>
  <si>
    <t>nb.</t>
  </si>
  <si>
    <r>
      <t>Indice de défavorisation et de diversité sociale</t>
    </r>
    <r>
      <rPr>
        <b/>
        <vertAlign val="superscript"/>
        <sz val="8"/>
        <rFont val="Arial"/>
        <family val="2"/>
      </rPr>
      <t>1</t>
    </r>
  </si>
  <si>
    <t>Prêts et retours citoyens pondérés</t>
  </si>
  <si>
    <t>Prêts et retours transit</t>
  </si>
  <si>
    <t>Transactions pondérées</t>
  </si>
  <si>
    <t>Superficies</t>
  </si>
  <si>
    <t>Pondération / sup. pondérée bibli. Louées</t>
  </si>
  <si>
    <t>Augmentation du stock (paramétré)
LOCAL</t>
  </si>
  <si>
    <t>Augmentation du stock (paramétré)
DÉLÉGUÉ</t>
  </si>
  <si>
    <t>Logements
2014</t>
  </si>
  <si>
    <t>Superficie terrains vagues au 11 sept. 2014</t>
  </si>
  <si>
    <t>Facturation immobilière</t>
  </si>
  <si>
    <t>TOTAL</t>
  </si>
  <si>
    <t>Autres ajustements et ajustements post transferts</t>
  </si>
  <si>
    <t>Indexation
générale</t>
  </si>
  <si>
    <t>Transfert
2018 An 4 enveloppes</t>
  </si>
  <si>
    <t>Transfert
2019 An 5 enveloppes</t>
  </si>
  <si>
    <t>Autres ajustements</t>
  </si>
  <si>
    <t>Logements
2015</t>
  </si>
  <si>
    <t>Superficie terrains vagues au 11 sept. 2015</t>
  </si>
  <si>
    <t>Calcul des indices (maintenu artificiellement)</t>
  </si>
  <si>
    <t>Impact centralisation MRA téléphonie déneigement
MEO</t>
  </si>
  <si>
    <t>Transferts 2017 (Budget 2017, p. 178)</t>
  </si>
  <si>
    <t>Logements
2016</t>
  </si>
  <si>
    <t>Superficie terrains vagues au 14 sept. 2016</t>
  </si>
  <si>
    <t>Logements
2017</t>
  </si>
  <si>
    <t>Superficie terrains vagues au 14 sept. 2017</t>
  </si>
  <si>
    <t>Ajustements regroup. MRA</t>
  </si>
  <si>
    <t>Matières résiduelles</t>
  </si>
  <si>
    <t>Centre de services partagés Bibliothèques</t>
  </si>
  <si>
    <t>Licences logicielles Bentley</t>
  </si>
  <si>
    <t>Inspecteurs
eau</t>
  </si>
  <si>
    <r>
      <t xml:space="preserve">Autres
</t>
    </r>
    <r>
      <rPr>
        <b/>
        <i/>
        <sz val="10"/>
        <color indexed="9"/>
        <rFont val="Arial"/>
        <family val="2"/>
      </rPr>
      <t>(note 1)</t>
    </r>
  </si>
  <si>
    <t>Regroup. entretien des terminaux d'utilisateur (SÉRAM)</t>
  </si>
  <si>
    <t>Autres ajust. et ajust. post transferts 2018</t>
  </si>
  <si>
    <t>Transferts 2018 (Budget 2018, p. 170)</t>
  </si>
  <si>
    <r>
      <t>m</t>
    </r>
    <r>
      <rPr>
        <vertAlign val="superscript"/>
        <sz val="7"/>
        <rFont val="Arial"/>
        <family val="2"/>
      </rPr>
      <t>3</t>
    </r>
    <r>
      <rPr>
        <sz val="11"/>
        <color indexed="8"/>
        <rFont val="Calibri"/>
        <family val="2"/>
      </rPr>
      <t/>
    </r>
  </si>
  <si>
    <t>Nombre de logements suppl.
2016</t>
  </si>
  <si>
    <t>Nombre de logements pondérés
suppl.</t>
  </si>
  <si>
    <t>Mesure du paramètre</t>
  </si>
  <si>
    <t>($/unité)</t>
  </si>
  <si>
    <t>Variation
Transfert</t>
  </si>
  <si>
    <t>Variation
superficie terrains vagues 2016</t>
  </si>
  <si>
    <t>($/m2)</t>
  </si>
  <si>
    <t>Nombre de logements suppl.
2017</t>
  </si>
  <si>
    <t>Variation
Superficie terrains vagues 2017</t>
  </si>
  <si>
    <t>Transactions pondérées année précédente</t>
  </si>
  <si>
    <t>$/transaction</t>
  </si>
  <si>
    <t>Transactions pondérées suppl.</t>
  </si>
  <si>
    <t>$/m2</t>
  </si>
  <si>
    <t>Nouvelles superficies louées</t>
  </si>
  <si>
    <t>Nouvelles superficies propriétaires</t>
  </si>
  <si>
    <t>Nouvelles superficies pondérées</t>
  </si>
  <si>
    <t>Prêts et retours citoyens
2015-2017</t>
  </si>
  <si>
    <t>Prêts et retours citoyens
bibl. add.</t>
  </si>
  <si>
    <t>Prêts et retours citoyens total</t>
  </si>
  <si>
    <t>Prêts et retours transit
2015-2017</t>
  </si>
  <si>
    <t>Prêts et retours transit
bibl. add.</t>
  </si>
  <si>
    <t>Données de base</t>
  </si>
  <si>
    <t>Variation population 2016-2017</t>
  </si>
  <si>
    <t>Variation population 2017-2018</t>
  </si>
  <si>
    <t>Variation population pondérée 2017</t>
  </si>
  <si>
    <t>Variation population pondérée 2018</t>
  </si>
  <si>
    <t>($/hab)</t>
  </si>
  <si>
    <t>Variation valeur équipements municipaux et utilisés</t>
  </si>
  <si>
    <t>Grille ODER année précédente</t>
  </si>
  <si>
    <t>($/000$)</t>
  </si>
  <si>
    <t>Variation Grille ODER</t>
  </si>
  <si>
    <t>Variation Transfert</t>
  </si>
  <si>
    <t>Variation population pondérée</t>
  </si>
  <si>
    <t>($/hab.)</t>
  </si>
  <si>
    <t>Superficies pondérées de l'année précédente</t>
  </si>
  <si>
    <t>Variation
Superficies pondérées</t>
  </si>
  <si>
    <t>Transfert virtuel</t>
  </si>
  <si>
    <t>Variation paramètres non pondérés</t>
  </si>
  <si>
    <t>Calcul des indices (maintenus artificiellement)</t>
  </si>
  <si>
    <t>Mesure des paramètres</t>
  </si>
  <si>
    <r>
      <t>$/m</t>
    </r>
    <r>
      <rPr>
        <vertAlign val="superscript"/>
        <sz val="7"/>
        <rFont val="Arial"/>
        <family val="2"/>
      </rPr>
      <t>2</t>
    </r>
  </si>
  <si>
    <t>EESM - Rosemont</t>
  </si>
  <si>
    <t>BINAM - Agents de liaison bibl. (CE18 0406)</t>
  </si>
  <si>
    <t>Mesure transitoire - régime de retraite</t>
  </si>
  <si>
    <t>Transfert Service de l'environnement</t>
  </si>
  <si>
    <t>Gestion des postes vacants</t>
  </si>
  <si>
    <t>Mesures transitoires - Régimes de retraite</t>
  </si>
  <si>
    <t>Ajustement sérigraphie</t>
  </si>
  <si>
    <t>Autres ajust. et ajust. post transferts 2019</t>
  </si>
  <si>
    <t>Transferts 2019 (Budget 2019, p. 162)</t>
  </si>
  <si>
    <r>
      <t>m</t>
    </r>
    <r>
      <rPr>
        <vertAlign val="superscript"/>
        <sz val="7"/>
        <color indexed="49"/>
        <rFont val="Arial"/>
        <family val="2"/>
      </rPr>
      <t>2</t>
    </r>
  </si>
  <si>
    <t>Budget 2017</t>
  </si>
  <si>
    <r>
      <t>Indice de défavorisation et de diversité sociale</t>
    </r>
    <r>
      <rPr>
        <b/>
        <vertAlign val="superscript"/>
        <sz val="8"/>
        <color indexed="49"/>
        <rFont val="Arial"/>
        <family val="2"/>
      </rPr>
      <t>1</t>
    </r>
  </si>
  <si>
    <t>Nombre de logements suppl.
2015</t>
  </si>
  <si>
    <t>Variation
superficie terrains vagues 2015</t>
  </si>
  <si>
    <t>Mesure du paramètre*</t>
  </si>
  <si>
    <t>* Mesures modifiées à la suite de la centralisation du matériel roulant et de la téléphonie.</t>
  </si>
  <si>
    <t>Décret population 2015</t>
  </si>
  <si>
    <t>Variation population 2015-2016</t>
  </si>
  <si>
    <t>Variation population pondérée 2016</t>
  </si>
  <si>
    <t>Variation
Transfert
- LOCAL -</t>
  </si>
  <si>
    <t>Population pondérée 2016</t>
  </si>
  <si>
    <t xml:space="preserve">Population
2016
Projection </t>
  </si>
  <si>
    <t>Variation population 2015-2016 projection</t>
  </si>
  <si>
    <t>Variation paramètres non pondérés 2015-2016</t>
  </si>
  <si>
    <t>Décentralisation revenus études de demandes</t>
  </si>
  <si>
    <t>Centralisation STI</t>
  </si>
  <si>
    <t>Gestion des postes vacants
(2,5%)</t>
  </si>
  <si>
    <t>Ajustement du partage des coûts aux assurances collectives</t>
  </si>
  <si>
    <t>Ajustement du partage des coûts aux régimes de retraite</t>
  </si>
  <si>
    <t>Regroupement contrats déneigement</t>
  </si>
  <si>
    <t>Regroupement matériel roulant</t>
  </si>
  <si>
    <t>Charges interunités Marquage/ Signalisation</t>
  </si>
  <si>
    <t>Gestion postes vacants</t>
  </si>
  <si>
    <t>Impact des regroupements sur la mise en œuvre de la RFA</t>
  </si>
  <si>
    <t>Regroupement téléphonie</t>
  </si>
  <si>
    <t>Ajustement matières résiduelles</t>
  </si>
  <si>
    <t>Officier le liaison</t>
  </si>
  <si>
    <t>Programme d'accroissement de la propreté du SCA</t>
  </si>
  <si>
    <t>Ajustement eau</t>
  </si>
  <si>
    <t>Autres post-transferts</t>
  </si>
  <si>
    <t>Écart</t>
  </si>
  <si>
    <t>Transferts 2016 (Budget 2016, p. 183)</t>
  </si>
  <si>
    <t>Ajustement (mise en œuvre 5-10) 2019</t>
  </si>
  <si>
    <t>Ajustement initial (mise en œuvre 5-10) 2017</t>
  </si>
  <si>
    <t>Bonification déneigement
2017</t>
  </si>
  <si>
    <t>Compensation vignettes</t>
  </si>
  <si>
    <t>Autres ajust. et ajust. post transferts 2017</t>
  </si>
  <si>
    <t>Ajustement initial (mise en œuvre 5-10) 2018</t>
  </si>
  <si>
    <t>Logements
2018</t>
  </si>
  <si>
    <t>Logements
2019</t>
  </si>
  <si>
    <t>Logements
2020</t>
  </si>
  <si>
    <t>Superficie terrains vagues au 14 sept. 2018</t>
  </si>
  <si>
    <t>Superficie terrains vagues au 14 sept. 2019</t>
  </si>
  <si>
    <t>Superficie terrains vagues au 14 sept. 2020</t>
  </si>
  <si>
    <t>Budget 2020</t>
  </si>
  <si>
    <t>Nombre de logements suppl.
2018</t>
  </si>
  <si>
    <t>Variation
Superficie terrains vagues 2018</t>
  </si>
  <si>
    <t>Budget 2021</t>
  </si>
  <si>
    <t>Nombre de logements suppl.
2019</t>
  </si>
  <si>
    <t>Variation
Superficie terrains vagues 2019</t>
  </si>
  <si>
    <t>Budget 2022</t>
  </si>
  <si>
    <t>* Il a été décidé par le comité de bonification de la RFA "Bibliothèques" de ne plus suivre l'évolution des transactions et de ne considérer que celles qui pourraient être attribuables à l'agrandissement ou à l'ouverture de nouvelles bibliothèques.</t>
  </si>
  <si>
    <t>Décret population 2019</t>
  </si>
  <si>
    <t>Décret population 2020</t>
  </si>
  <si>
    <t>Décret population 2021</t>
  </si>
  <si>
    <t>* La population au décret a été ajustée pour la RFA afin d'annuler la diminution de population pondérée.</t>
  </si>
  <si>
    <t>Décret population 2019
- AJUSTÉ* -</t>
  </si>
  <si>
    <t>Variation population 2018-2019</t>
  </si>
  <si>
    <t>Variation population 2018-2019*</t>
  </si>
  <si>
    <t>Variation population 2019*-2020</t>
  </si>
  <si>
    <t>Variation population pondérée 2019</t>
  </si>
  <si>
    <t>Variation population pondérée 2020</t>
  </si>
  <si>
    <t>Variation population 2020-2021</t>
  </si>
  <si>
    <t>Variation population pondérée 2021</t>
  </si>
  <si>
    <t>Décret population 2019*
- AJUSTÉ -</t>
  </si>
  <si>
    <t>Population pondérée 2019</t>
  </si>
  <si>
    <t>Population pondérée 2020</t>
  </si>
  <si>
    <t>Variation population 2019-2020</t>
  </si>
  <si>
    <t>Bonification des transferts
BIBL.</t>
  </si>
  <si>
    <t>Bonification des transferts
DÉNEIGEMENT</t>
  </si>
  <si>
    <t>Bonification des transferts
PARCS</t>
  </si>
  <si>
    <t>Transfert
2020 enveloppes</t>
  </si>
  <si>
    <t>Autres ajust. et ajust. post transferts 2020</t>
  </si>
  <si>
    <t>Arrondissement</t>
  </si>
  <si>
    <t>Chargement neige local</t>
  </si>
  <si>
    <t>Transferts MRA</t>
  </si>
  <si>
    <t>Centre d'appels 311</t>
  </si>
  <si>
    <t>Mesures transitoires - régime de retraite</t>
  </si>
  <si>
    <t>Facturation immobilière interne</t>
  </si>
  <si>
    <t>Escouade mobilité</t>
  </si>
  <si>
    <t>Transfert RH respect de la personne</t>
  </si>
  <si>
    <t>Ajustement 
charge interunité Chauveau</t>
  </si>
  <si>
    <t>Ajustement postes Maxim'eau</t>
  </si>
  <si>
    <t>Virements gestion de l'eau</t>
  </si>
  <si>
    <t>Entretien sanitaire fait par des OBNL</t>
  </si>
  <si>
    <t>Remorquage</t>
  </si>
  <si>
    <t>Total - Arrondissements</t>
  </si>
  <si>
    <r>
      <t xml:space="preserve">Note 1 : 
</t>
    </r>
    <r>
      <rPr>
        <sz val="8"/>
        <rFont val="Arial"/>
        <family val="2"/>
      </rPr>
      <t>PMR (1 418,2 $) : Transfert vers le SGPI du loyer du YMCA du parc</t>
    </r>
    <r>
      <rPr>
        <u/>
        <sz val="8"/>
        <rFont val="Arial"/>
        <family val="2"/>
      </rPr>
      <t xml:space="preserve">
</t>
    </r>
    <r>
      <rPr>
        <sz val="8"/>
        <rFont val="Arial"/>
        <family val="2"/>
      </rPr>
      <t>RDP-PAT (15,9 $) : Transfert à la Direction de la gestion immobilière et de l'exploitation pour la prise en charge et les frais d'entretien du monte personne de l'aréna René-Masson (5,4 $) et du nouveau chalet de la plage de l'Est (10,5 $) (GDD # 1197288001)
RDP-PAT + 101,1 $ : Transfert de kilométrages de déneigement du Service de concertation des arrondissements (contrats) vers l'arrondissement (en régie)</t>
    </r>
    <r>
      <rPr>
        <u/>
        <sz val="8"/>
        <rFont val="Arial"/>
        <family val="2"/>
      </rPr>
      <t xml:space="preserve">
</t>
    </r>
    <r>
      <rPr>
        <sz val="8"/>
        <rFont val="Arial"/>
        <family val="2"/>
      </rPr>
      <t>RPP + 164,9 $ : Jauge à arbres temporaires (GDD # 1185323011)
Saint-Léonard + 59,6 $ : Loyer de l'Éco-quartier 
Saint-Léonard + 584,9 $ : Transfert de kilométrages de déneigement du Service de concertation des arrondissements (contrats) vers l'arrondissement (en régie)
Ville-Marie (204,0 $) : Poste temporaire de Directeur - projets et analyse des processus à la Direction générale financé par Ville-Marie (GDD # 2190120001)
VSMPE (65,5 $) : Transfert de budget vers le Service de l'approvisionnement pour le financement d'un poste (projet pilote)</t>
    </r>
  </si>
  <si>
    <t>Transferts 2020 (Budget 2020, p. 170)</t>
  </si>
  <si>
    <t>Autres ajust. et ajust. post transferts 2021</t>
  </si>
  <si>
    <t>Transfert
2021 enveloppes</t>
  </si>
  <si>
    <r>
      <t xml:space="preserve">Note 1 :
</t>
    </r>
    <r>
      <rPr>
        <sz val="8"/>
        <rFont val="Arial"/>
        <family val="2"/>
      </rPr>
      <t>AHU (5,4 $) : Prise en charge par le SGPI de l'entretien du monte-personne construit dans le cadre de travaux de mise aux normes de l'aréna Marcelin-Wilson (GDD #  1191616001)
ANJ + 218,0 $ : Transfert du Service de concertation avec les arrondissements suite à la nouvelle répartition des activités du déneigement
LAC (88,8 $) : Transfert d'un agent de communications sociales à la Division des opérations 311 (GDD # 1203012002)
LAC + 395,1 $ : Fermeture du port de plaisance de Lachine (compensation de l'écart indexé entre le budget de revenus et de dépenses)</t>
    </r>
    <r>
      <rPr>
        <u/>
        <sz val="8"/>
        <rFont val="Arial"/>
        <family val="2"/>
      </rPr>
      <t xml:space="preserve">
</t>
    </r>
    <r>
      <rPr>
        <sz val="8"/>
        <rFont val="Arial"/>
        <family val="2"/>
      </rPr>
      <t>MHM  + 80,0 $ : Transfert du Service des grands parcs, du Mont-Royal et des sports pour financer la Société d'animation de la Promenade Bellerive (GDD # 1203703001)
PMR (246,8 $) : Transfert de 3 agents de communications sociales à la Division des opérations 311 (GDD # 1196376004)
RPP + 2,9 $ : Jauge à arbres temporaires (GDD # 1185323011)
SL + 592,6 $ : Transfert du Service de concertation avec les arrondissements suite à la nouvelle répartition des activités du déneigement
VM + 401,8 $ : Entretien de l'esplanade Clark (GDD # 1191103006)</t>
    </r>
  </si>
  <si>
    <t>Reclassement charge interunité éclairage, signalisation et marquage</t>
  </si>
  <si>
    <t>Reclassement charge interunité Chauveau</t>
  </si>
  <si>
    <t>Inspection des bornes d'incendie</t>
  </si>
  <si>
    <t>Nouveau modèle d'affaire de l'approvisionnement</t>
  </si>
  <si>
    <r>
      <t xml:space="preserve">Autres
</t>
    </r>
    <r>
      <rPr>
        <b/>
        <i/>
        <sz val="11"/>
        <color indexed="9"/>
        <rFont val="Arial"/>
        <family val="2"/>
      </rPr>
      <t>(note 1)</t>
    </r>
  </si>
  <si>
    <t>Transferts 2021 (Budget 2021, p. 171)</t>
  </si>
  <si>
    <t>Transfert
2022 enveloppes</t>
  </si>
  <si>
    <t>Autres ajust. et ajust. post transferts 2022</t>
  </si>
  <si>
    <t>Culture</t>
  </si>
  <si>
    <t>Variation unités de diffusion</t>
  </si>
  <si>
    <t>Grille ODER amplifiée d'une unité de diffusion</t>
  </si>
  <si>
    <t>$/hab.</t>
  </si>
  <si>
    <t>000 $/u.</t>
  </si>
  <si>
    <t>Variation population pondérée 2021-2021</t>
  </si>
  <si>
    <t>Installations sportives</t>
  </si>
  <si>
    <t>Variation population pondérée 2020-2021</t>
  </si>
  <si>
    <t>Exercice de décomposition de la grille ODER</t>
  </si>
  <si>
    <t>Mesure du paramètre ODER</t>
  </si>
  <si>
    <t>Mesure du paramètre
unité de diffusion</t>
  </si>
  <si>
    <t>Effet unitaire</t>
  </si>
  <si>
    <t>Nombre de logements suppl.
2020</t>
  </si>
  <si>
    <t>Variation
Superficie terrains vagues 2020</t>
  </si>
  <si>
    <t>Test</t>
  </si>
  <si>
    <r>
      <t xml:space="preserve">Demandes additionnelles SGPI sur dossiers décisionnels
</t>
    </r>
    <r>
      <rPr>
        <b/>
        <i/>
        <sz val="11"/>
        <color indexed="9"/>
        <rFont val="Arial"/>
        <family val="2"/>
      </rPr>
      <t>(note 2)</t>
    </r>
  </si>
  <si>
    <t>Transfert Service de l'eau : inspections bornes incendie / vannes et centralisation DRE (annexe 20)</t>
  </si>
  <si>
    <t>Transfert Service de concertation arr. pour gestion des sols contaminés
(annexe 20)</t>
  </si>
  <si>
    <t>Facturation interne immobilière - entretien / gardiennage
(annexe 24)</t>
  </si>
  <si>
    <t>Revenus de permis de construction/
modification</t>
  </si>
  <si>
    <r>
      <t xml:space="preserve">Autres
</t>
    </r>
    <r>
      <rPr>
        <b/>
        <i/>
        <sz val="11"/>
        <color indexed="9"/>
        <rFont val="Arial"/>
        <family val="2"/>
      </rPr>
      <t>(note 3)</t>
    </r>
  </si>
  <si>
    <t>Total 
Transferts centraux
2022</t>
  </si>
  <si>
    <t xml:space="preserve">Ahuntsic-Cartierville </t>
  </si>
  <si>
    <t>Côte-des-Neiges–
Notre-Dame-de-Grâce</t>
  </si>
  <si>
    <t>L'Île-Bizard–Ste-Geneviève</t>
  </si>
  <si>
    <t>Pierrefonds–Roxboro</t>
  </si>
  <si>
    <t>Plateau Mont-Royal</t>
  </si>
  <si>
    <t>Rivière-des-Prairies–
Pointe-aux-Trembles</t>
  </si>
  <si>
    <t xml:space="preserve">Saint-Laurent </t>
  </si>
  <si>
    <t xml:space="preserve">Ville-Marie </t>
  </si>
  <si>
    <t>Villeray–St-Michel–
Parc-Extension</t>
  </si>
  <si>
    <r>
      <t>Charge interunité réservation plateaux sportifs et transfert au SGPMRS / SGPI</t>
    </r>
    <r>
      <rPr>
        <b/>
        <i/>
        <sz val="11"/>
        <color indexed="9"/>
        <rFont val="Arial"/>
        <family val="2"/>
      </rPr>
      <t>)</t>
    </r>
  </si>
  <si>
    <r>
      <rPr>
        <u/>
        <sz val="8"/>
        <rFont val="Arial"/>
        <family val="2"/>
      </rPr>
      <t xml:space="preserve">Note 1 : </t>
    </r>
    <r>
      <rPr>
        <sz val="8"/>
        <rFont val="Arial"/>
        <family val="2"/>
      </rPr>
      <t>Transfert de la réservation des terrains sportifs extérieurs de Mercier-Hochelaga-Maisonneuve vers le Service des grands parcs, du Mont-Royal et des sports (SGPMRS) (827,3 $), annulation des charges interunités des arrondissements clients (861,4 $ - impact nul entre les arrondissements) et transfert vers le SGPI du budget d'énergie (11,2 $) (GDD # 1197898002).</t>
    </r>
  </si>
  <si>
    <r>
      <rPr>
        <u/>
        <sz val="8"/>
        <rFont val="Arial"/>
        <family val="2"/>
      </rPr>
      <t xml:space="preserve">Note 3 : </t>
    </r>
    <r>
      <rPr>
        <sz val="8"/>
        <rFont val="Arial"/>
        <family val="2"/>
      </rPr>
      <t>LAC (21,8 $) : Transfert vers le STI dans le cadre de la migration des lignes téléphoniques de l'arrondissement.
RDP-PAT (169,8 $) : Transfert permanent de 1,5 a.-p. d'agent de communications sociales vers la Direction de l'expérience citoyenne et du 311 (GDD # 1203267001).
RPP (680,0 $) : Transfert vers le SGPI pour l'entretien du complexe aquatique Rosemont.
VM (287,6 $) : Transfert de la responsabilité de l'entretien et de la surveillance du Chalet du Mont-Royal et du Pavillon du Lac aux castors au Service des grands parcs, 
                          Mont-Royal et sports (GDD # 1208752003).
VSMPE (45,0 $) : Transfert vers le SGPI pour l'entretien du pavillon des baigneurs et de la pataugeoire Nicolas-Tillemont.</t>
    </r>
  </si>
  <si>
    <r>
      <rPr>
        <u/>
        <sz val="8"/>
        <rFont val="Arial"/>
        <family val="2"/>
      </rPr>
      <t xml:space="preserve">Note 2 : </t>
    </r>
    <r>
      <rPr>
        <sz val="8"/>
        <rFont val="Arial"/>
        <family val="2"/>
      </rPr>
      <t>PMR + 141,5 $ : Ajustement pour les dépenses d'entretien sanitaire et paysager suite aux travaux de réaménagement du théâtre de Verdure au parc Lafontaine 
                             (GDD # 1201670001). VM + 31,7 $ : Ajustement pour les dépenses d'entretien sanitaire et paysager suite aux travaux de réfection du chalet du Mont-Royal (GDD # 1201670002).</t>
    </r>
  </si>
  <si>
    <t>Transferts 2022 (Budget 2022, p. 169)</t>
  </si>
  <si>
    <t>Logements
2021</t>
  </si>
  <si>
    <t>Superficie terrains vagues au 11 sept. 2021</t>
  </si>
  <si>
    <t>Décret population 2022</t>
  </si>
  <si>
    <t>TCAM
2017-2022</t>
  </si>
  <si>
    <t>Transfert
2017 An 3 enveloppes</t>
  </si>
  <si>
    <t>Moyenne :</t>
  </si>
</sst>
</file>

<file path=xl/styles.xml><?xml version="1.0" encoding="utf-8"?>
<styleSheet xmlns="http://schemas.openxmlformats.org/spreadsheetml/2006/main">
  <numFmts count="17">
    <numFmt numFmtId="44" formatCode="_ * #,##0.00_)\ &quot;$&quot;_ ;_ * \(#,##0.00\)\ &quot;$&quot;_ ;_ * &quot;-&quot;??_)\ &quot;$&quot;_ ;_ @_ "/>
    <numFmt numFmtId="43" formatCode="_ * #,##0.00_)\ _$_ ;_ * \(#,##0.00\)\ _$_ ;_ * &quot;-&quot;??_)\ _$_ ;_ @_ "/>
    <numFmt numFmtId="164" formatCode="_ * #,##0.00_)_ ;_ * \(#,##0.00\)_ ;_ * &quot;-&quot;??_)_ ;_ @_ 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#,##0.0"/>
    <numFmt numFmtId="168" formatCode="0.0000"/>
    <numFmt numFmtId="169" formatCode="_ * #,##0.00_)\ [$€-1]_ ;_ * \(#,##0.00\)\ [$€-1]_ ;_ * &quot;-&quot;??_)\ [$€-1]_ "/>
    <numFmt numFmtId="170" formatCode="0.0&quot; &quot;%;\(0.0&quot; &quot;%\)"/>
    <numFmt numFmtId="171" formatCode="0.00;\(0.00\)"/>
    <numFmt numFmtId="172" formatCode="0;\(0\)"/>
    <numFmt numFmtId="173" formatCode="#,##0.00\ &quot;$&quot;"/>
    <numFmt numFmtId="174" formatCode="#,##0.0_);\(#,##0.0\)"/>
    <numFmt numFmtId="175" formatCode="#,##0.0000"/>
    <numFmt numFmtId="176" formatCode="_ * #,##0.0_)\ _$_ ;_ * \(#,##0.0\)\ _$_ ;_ * &quot;-&quot;?_)\ _$_ ;_ @_ "/>
    <numFmt numFmtId="177" formatCode="_(&quot;$&quot;* #,##0_);_(&quot;$&quot;* \(#,##0\);_(&quot;$&quot;* &quot;-&quot;_);_(@_)"/>
    <numFmt numFmtId="178" formatCode="_(* #,##0_);_(* \(#,##0\);_(* &quot;-&quot;_);_(@_)"/>
  </numFmts>
  <fonts count="96">
    <font>
      <sz val="10"/>
      <name val="Arial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  <font>
      <sz val="7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7"/>
      <color indexed="23"/>
      <name val="Arial"/>
      <family val="2"/>
    </font>
    <font>
      <b/>
      <sz val="12"/>
      <color indexed="10"/>
      <name val="Arial"/>
      <family val="2"/>
    </font>
    <font>
      <sz val="10"/>
      <color indexed="23"/>
      <name val="Arial"/>
      <family val="2"/>
    </font>
    <font>
      <b/>
      <sz val="8"/>
      <color indexed="23"/>
      <name val="Arial"/>
      <family val="2"/>
    </font>
    <font>
      <sz val="8"/>
      <color indexed="23"/>
      <name val="Arial"/>
      <family val="2"/>
    </font>
    <font>
      <b/>
      <sz val="7"/>
      <color indexed="23"/>
      <name val="Arial"/>
      <family val="2"/>
    </font>
    <font>
      <sz val="7"/>
      <color indexed="23"/>
      <name val="Arial"/>
      <family val="2"/>
    </font>
    <font>
      <b/>
      <sz val="12"/>
      <color indexed="23"/>
      <name val="Arial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vertAlign val="superscript"/>
      <sz val="8"/>
      <name val="Arial"/>
      <family val="2"/>
    </font>
    <font>
      <sz val="10"/>
      <color indexed="10"/>
      <name val="Arial"/>
      <family val="2"/>
    </font>
    <font>
      <i/>
      <sz val="8"/>
      <name val="Arial"/>
      <family val="2"/>
    </font>
    <font>
      <sz val="10"/>
      <color indexed="10"/>
      <name val="Arial"/>
      <family val="2"/>
    </font>
    <font>
      <i/>
      <sz val="7"/>
      <name val="Arial"/>
      <family val="2"/>
    </font>
    <font>
      <b/>
      <sz val="8"/>
      <color indexed="9"/>
      <name val="Arial"/>
      <family val="2"/>
    </font>
    <font>
      <sz val="7"/>
      <color indexed="9"/>
      <name val="Arial"/>
      <family val="2"/>
    </font>
    <font>
      <sz val="10"/>
      <color indexed="53"/>
      <name val="Arial"/>
      <family val="2"/>
    </font>
    <font>
      <sz val="8"/>
      <color indexed="53"/>
      <name val="Arial"/>
      <family val="2"/>
    </font>
    <font>
      <b/>
      <sz val="10"/>
      <color indexed="48"/>
      <name val="Arial"/>
      <family val="2"/>
    </font>
    <font>
      <sz val="8"/>
      <color indexed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1"/>
      <color indexed="9"/>
      <name val="Arial"/>
      <family val="2"/>
    </font>
    <font>
      <sz val="10"/>
      <color indexed="9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2"/>
      <name val="Arial MT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9"/>
      <name val="Arial"/>
      <family val="2"/>
    </font>
    <font>
      <sz val="8"/>
      <color indexed="8"/>
      <name val="Arial"/>
      <family val="2"/>
    </font>
    <font>
      <sz val="8"/>
      <color indexed="60"/>
      <name val="Verdana"/>
      <family val="2"/>
    </font>
    <font>
      <b/>
      <sz val="8"/>
      <color indexed="49"/>
      <name val="Arial"/>
      <family val="2"/>
    </font>
    <font>
      <b/>
      <sz val="7"/>
      <color indexed="49"/>
      <name val="Arial"/>
      <family val="2"/>
    </font>
    <font>
      <sz val="7"/>
      <color indexed="49"/>
      <name val="Arial"/>
      <family val="2"/>
    </font>
    <font>
      <vertAlign val="superscript"/>
      <sz val="7"/>
      <color indexed="49"/>
      <name val="Arial"/>
      <family val="2"/>
    </font>
    <font>
      <sz val="8"/>
      <color indexed="49"/>
      <name val="Arial"/>
      <family val="2"/>
    </font>
    <font>
      <sz val="10"/>
      <color indexed="49"/>
      <name val="Arial"/>
      <family val="2"/>
    </font>
    <font>
      <b/>
      <vertAlign val="superscript"/>
      <sz val="8"/>
      <color indexed="49"/>
      <name val="Arial"/>
      <family val="2"/>
    </font>
    <font>
      <b/>
      <sz val="12"/>
      <color indexed="49"/>
      <name val="Arial"/>
      <family val="2"/>
    </font>
    <font>
      <b/>
      <sz val="11"/>
      <color indexed="49"/>
      <name val="Arial"/>
      <family val="2"/>
    </font>
    <font>
      <b/>
      <sz val="10"/>
      <color indexed="49"/>
      <name val="Arial"/>
      <family val="2"/>
    </font>
    <font>
      <sz val="10"/>
      <color indexed="8"/>
      <name val="Arial"/>
      <family val="2"/>
    </font>
    <font>
      <b/>
      <sz val="8"/>
      <color indexed="9"/>
      <name val="Arial"/>
      <family val="2"/>
    </font>
    <font>
      <sz val="7"/>
      <color indexed="9"/>
      <name val="Arial"/>
      <family val="2"/>
    </font>
    <font>
      <sz val="8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u/>
      <sz val="8"/>
      <name val="Arial"/>
      <family val="2"/>
    </font>
    <font>
      <b/>
      <i/>
      <sz val="11"/>
      <color indexed="9"/>
      <name val="Arial"/>
      <family val="2"/>
    </font>
    <font>
      <sz val="7"/>
      <color indexed="10"/>
      <name val="Arial"/>
      <family val="2"/>
    </font>
    <font>
      <sz val="10"/>
      <color indexed="10"/>
      <name val="Arial"/>
      <family val="2"/>
    </font>
    <font>
      <sz val="11"/>
      <color indexed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4"/>
        <bgColor indexed="22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49">
    <xf numFmtId="0" fontId="0" fillId="0" borderId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2" borderId="0" applyNumberFormat="0" applyBorder="0" applyAlignment="0" applyProtection="0"/>
    <xf numFmtId="0" fontId="51" fillId="3" borderId="0" applyNumberFormat="0" applyBorder="0" applyAlignment="0" applyProtection="0"/>
    <xf numFmtId="0" fontId="51" fillId="4" borderId="0" applyNumberFormat="0" applyBorder="0" applyAlignment="0" applyProtection="0"/>
    <xf numFmtId="0" fontId="51" fillId="5" borderId="0" applyNumberFormat="0" applyBorder="0" applyAlignment="0" applyProtection="0"/>
    <xf numFmtId="0" fontId="51" fillId="6" borderId="0" applyNumberFormat="0" applyBorder="0" applyAlignment="0" applyProtection="0"/>
    <xf numFmtId="0" fontId="51" fillId="7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8" borderId="0" applyNumberFormat="0" applyBorder="0" applyAlignment="0" applyProtection="0"/>
    <xf numFmtId="0" fontId="51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5" borderId="0" applyNumberFormat="0" applyBorder="0" applyAlignment="0" applyProtection="0"/>
    <xf numFmtId="0" fontId="51" fillId="8" borderId="0" applyNumberFormat="0" applyBorder="0" applyAlignment="0" applyProtection="0"/>
    <xf numFmtId="0" fontId="51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2" borderId="0" applyNumberFormat="0" applyBorder="0" applyAlignment="0" applyProtection="0"/>
    <xf numFmtId="0" fontId="52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71" fillId="0" borderId="0" applyNumberFormat="0" applyAlignment="0">
      <alignment horizontal="left" vertical="center" wrapText="1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3" borderId="0" applyNumberFormat="0" applyBorder="0" applyAlignment="0" applyProtection="0"/>
    <xf numFmtId="0" fontId="54" fillId="20" borderId="1" applyNumberFormat="0" applyAlignment="0" applyProtection="0"/>
    <xf numFmtId="0" fontId="54" fillId="20" borderId="1" applyNumberFormat="0" applyAlignment="0" applyProtection="0"/>
    <xf numFmtId="0" fontId="54" fillId="20" borderId="1" applyNumberFormat="0" applyAlignment="0" applyProtection="0"/>
    <xf numFmtId="0" fontId="55" fillId="0" borderId="2" applyNumberFormat="0" applyFill="0" applyAlignment="0" applyProtection="0"/>
    <xf numFmtId="0" fontId="55" fillId="0" borderId="2" applyNumberFormat="0" applyFill="0" applyAlignment="0" applyProtection="0"/>
    <xf numFmtId="0" fontId="68" fillId="21" borderId="3" applyNumberFormat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4" fillId="22" borderId="4" applyNumberFormat="0" applyFont="0" applyAlignment="0" applyProtection="0"/>
    <xf numFmtId="0" fontId="4" fillId="22" borderId="4" applyNumberFormat="0" applyFont="0" applyAlignment="0" applyProtection="0"/>
    <xf numFmtId="0" fontId="4" fillId="22" borderId="4" applyNumberFormat="0" applyFont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56" fillId="7" borderId="1" applyNumberFormat="0" applyAlignment="0" applyProtection="0"/>
    <xf numFmtId="0" fontId="56" fillId="7" borderId="1" applyNumberFormat="0" applyAlignment="0" applyProtection="0"/>
    <xf numFmtId="169" fontId="6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0" fillId="4" borderId="0" applyNumberFormat="0" applyBorder="0" applyAlignment="0" applyProtection="0"/>
    <xf numFmtId="0" fontId="64" fillId="0" borderId="5" applyNumberFormat="0" applyFill="0" applyAlignment="0" applyProtection="0"/>
    <xf numFmtId="0" fontId="65" fillId="0" borderId="6" applyNumberFormat="0" applyFill="0" applyAlignment="0" applyProtection="0"/>
    <xf numFmtId="0" fontId="66" fillId="0" borderId="7" applyNumberFormat="0" applyFill="0" applyAlignment="0" applyProtection="0"/>
    <xf numFmtId="0" fontId="66" fillId="0" borderId="0" applyNumberFormat="0" applyFill="0" applyBorder="0" applyAlignment="0" applyProtection="0"/>
    <xf numFmtId="0" fontId="56" fillId="7" borderId="1" applyNumberFormat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5" fillId="0" borderId="2" applyNumberFormat="0" applyFill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7" fillId="0" borderId="0"/>
    <xf numFmtId="0" fontId="49" fillId="0" borderId="0"/>
    <xf numFmtId="0" fontId="7" fillId="0" borderId="0"/>
    <xf numFmtId="0" fontId="7" fillId="0" borderId="0"/>
    <xf numFmtId="0" fontId="4" fillId="0" borderId="0"/>
    <xf numFmtId="0" fontId="94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70" fillId="0" borderId="0"/>
    <xf numFmtId="0" fontId="4" fillId="0" borderId="0"/>
    <xf numFmtId="0" fontId="4" fillId="0" borderId="0"/>
    <xf numFmtId="0" fontId="93" fillId="0" borderId="0"/>
    <xf numFmtId="0" fontId="93" fillId="0" borderId="0"/>
    <xf numFmtId="0" fontId="70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70" fillId="0" borderId="0"/>
    <xf numFmtId="0" fontId="70" fillId="0" borderId="0"/>
    <xf numFmtId="0" fontId="70" fillId="0" borderId="0"/>
    <xf numFmtId="0" fontId="95" fillId="0" borderId="0"/>
    <xf numFmtId="0" fontId="4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6" fillId="0" borderId="0"/>
    <xf numFmtId="0" fontId="4" fillId="0" borderId="0"/>
    <xf numFmtId="0" fontId="4" fillId="0" borderId="0"/>
    <xf numFmtId="0" fontId="4" fillId="22" borderId="4" applyNumberFormat="0" applyFont="0" applyAlignment="0" applyProtection="0"/>
    <xf numFmtId="0" fontId="4" fillId="22" borderId="4" applyNumberFormat="0" applyFont="0" applyAlignment="0" applyProtection="0"/>
    <xf numFmtId="0" fontId="4" fillId="22" borderId="4" applyNumberFormat="0" applyFont="0" applyAlignment="0" applyProtection="0"/>
    <xf numFmtId="0" fontId="4" fillId="22" borderId="4" applyNumberFormat="0" applyFont="0" applyAlignment="0" applyProtection="0"/>
    <xf numFmtId="0" fontId="4" fillId="22" borderId="4" applyNumberFormat="0" applyFont="0" applyAlignment="0" applyProtection="0"/>
    <xf numFmtId="0" fontId="61" fillId="20" borderId="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1" fillId="20" borderId="8" applyNumberFormat="0" applyAlignment="0" applyProtection="0"/>
    <xf numFmtId="0" fontId="61" fillId="20" borderId="8" applyNumberFormat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5" applyNumberFormat="0" applyFill="0" applyAlignment="0" applyProtection="0"/>
    <xf numFmtId="0" fontId="64" fillId="0" borderId="5" applyNumberFormat="0" applyFill="0" applyAlignment="0" applyProtection="0"/>
    <xf numFmtId="0" fontId="65" fillId="0" borderId="6" applyNumberFormat="0" applyFill="0" applyAlignment="0" applyProtection="0"/>
    <xf numFmtId="0" fontId="65" fillId="0" borderId="6" applyNumberFormat="0" applyFill="0" applyAlignment="0" applyProtection="0"/>
    <xf numFmtId="0" fontId="66" fillId="0" borderId="7" applyNumberFormat="0" applyFill="0" applyAlignment="0" applyProtection="0"/>
    <xf numFmtId="0" fontId="66" fillId="0" borderId="7" applyNumberFormat="0" applyFill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67" fillId="0" borderId="9" applyNumberFormat="0" applyFill="0" applyAlignment="0" applyProtection="0"/>
    <xf numFmtId="0" fontId="4" fillId="0" borderId="10"/>
    <xf numFmtId="0" fontId="68" fillId="21" borderId="3" applyNumberFormat="0" applyAlignment="0" applyProtection="0"/>
    <xf numFmtId="0" fontId="68" fillId="21" borderId="3" applyNumberFormat="0" applyAlignment="0" applyProtection="0"/>
    <xf numFmtId="0" fontId="53" fillId="0" borderId="0" applyNumberFormat="0" applyFill="0" applyBorder="0" applyAlignment="0" applyProtection="0"/>
  </cellStyleXfs>
  <cellXfs count="387">
    <xf numFmtId="0" fontId="0" fillId="0" borderId="0" xfId="0"/>
    <xf numFmtId="0" fontId="9" fillId="0" borderId="0" xfId="305" applyFont="1"/>
    <xf numFmtId="0" fontId="4" fillId="0" borderId="0" xfId="305"/>
    <xf numFmtId="0" fontId="10" fillId="0" borderId="11" xfId="303" applyFont="1" applyBorder="1" applyAlignment="1">
      <alignment horizontal="left" vertical="center" indent="1"/>
    </xf>
    <xf numFmtId="0" fontId="10" fillId="0" borderId="11" xfId="306" applyFont="1" applyBorder="1" applyAlignment="1">
      <alignment horizontal="center" vertical="center" wrapText="1"/>
    </xf>
    <xf numFmtId="0" fontId="11" fillId="0" borderId="0" xfId="306" applyFont="1" applyAlignment="1">
      <alignment horizontal="left" vertical="center" indent="1"/>
    </xf>
    <xf numFmtId="0" fontId="12" fillId="0" borderId="12" xfId="306" quotePrefix="1" applyFont="1" applyBorder="1" applyAlignment="1">
      <alignment horizontal="center" vertical="center" wrapText="1"/>
    </xf>
    <xf numFmtId="0" fontId="6" fillId="0" borderId="0" xfId="303" quotePrefix="1" applyFont="1" applyAlignment="1">
      <alignment horizontal="left" vertical="center" wrapText="1" indent="1"/>
    </xf>
    <xf numFmtId="0" fontId="6" fillId="0" borderId="13" xfId="303" quotePrefix="1" applyFont="1" applyBorder="1" applyAlignment="1">
      <alignment horizontal="left" vertical="center" wrapText="1" indent="1"/>
    </xf>
    <xf numFmtId="0" fontId="6" fillId="0" borderId="0" xfId="302" quotePrefix="1" applyFont="1" applyAlignment="1">
      <alignment horizontal="left" vertical="center" indent="1"/>
    </xf>
    <xf numFmtId="0" fontId="6" fillId="0" borderId="0" xfId="302" applyFont="1" applyAlignment="1">
      <alignment horizontal="left" vertical="center" indent="1"/>
    </xf>
    <xf numFmtId="0" fontId="10" fillId="0" borderId="14" xfId="302" applyFont="1" applyBorder="1" applyAlignment="1">
      <alignment horizontal="left" vertical="center" indent="1"/>
    </xf>
    <xf numFmtId="0" fontId="10" fillId="0" borderId="15" xfId="302" applyFont="1" applyBorder="1" applyAlignment="1">
      <alignment horizontal="left" vertical="center" indent="1"/>
    </xf>
    <xf numFmtId="0" fontId="14" fillId="0" borderId="0" xfId="305" applyFont="1" applyAlignment="1">
      <alignment horizontal="left" vertical="top" wrapText="1"/>
    </xf>
    <xf numFmtId="3" fontId="8" fillId="0" borderId="0" xfId="0" applyNumberFormat="1" applyFont="1" applyAlignment="1">
      <alignment vertical="center" wrapText="1"/>
    </xf>
    <xf numFmtId="3" fontId="8" fillId="0" borderId="13" xfId="0" applyNumberFormat="1" applyFont="1" applyBorder="1" applyAlignment="1">
      <alignment vertical="center" wrapText="1"/>
    </xf>
    <xf numFmtId="0" fontId="12" fillId="0" borderId="12" xfId="306" applyFont="1" applyBorder="1" applyAlignment="1">
      <alignment horizontal="center" vertical="center" wrapText="1"/>
    </xf>
    <xf numFmtId="171" fontId="6" fillId="0" borderId="0" xfId="313" applyNumberFormat="1" applyFont="1" applyFill="1" applyBorder="1" applyAlignment="1">
      <alignment horizontal="center" vertical="center"/>
    </xf>
    <xf numFmtId="3" fontId="10" fillId="0" borderId="14" xfId="0" applyNumberFormat="1" applyFont="1" applyBorder="1" applyAlignment="1">
      <alignment vertical="center" wrapText="1"/>
    </xf>
    <xf numFmtId="0" fontId="10" fillId="0" borderId="16" xfId="306" applyFont="1" applyBorder="1" applyAlignment="1">
      <alignment horizontal="center" vertical="center" wrapText="1"/>
    </xf>
    <xf numFmtId="0" fontId="15" fillId="0" borderId="0" xfId="304" applyFont="1"/>
    <xf numFmtId="172" fontId="6" fillId="0" borderId="0" xfId="313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170" fontId="8" fillId="0" borderId="0" xfId="313" applyNumberFormat="1" applyFont="1" applyBorder="1" applyAlignment="1">
      <alignment vertical="center" wrapText="1"/>
    </xf>
    <xf numFmtId="170" fontId="10" fillId="0" borderId="14" xfId="313" applyNumberFormat="1" applyFont="1" applyBorder="1" applyAlignment="1">
      <alignment vertical="center" wrapText="1"/>
    </xf>
    <xf numFmtId="0" fontId="4" fillId="0" borderId="12" xfId="305" applyBorder="1"/>
    <xf numFmtId="167" fontId="8" fillId="0" borderId="0" xfId="0" applyNumberFormat="1" applyFont="1" applyAlignment="1">
      <alignment vertical="center" wrapText="1"/>
    </xf>
    <xf numFmtId="0" fontId="10" fillId="0" borderId="0" xfId="306" applyFont="1" applyAlignment="1">
      <alignment horizontal="center" vertical="center" wrapText="1"/>
    </xf>
    <xf numFmtId="0" fontId="12" fillId="0" borderId="0" xfId="306" quotePrefix="1" applyFont="1" applyAlignment="1">
      <alignment horizontal="center" vertical="center" wrapText="1"/>
    </xf>
    <xf numFmtId="167" fontId="10" fillId="0" borderId="0" xfId="0" applyNumberFormat="1" applyFont="1" applyAlignment="1">
      <alignment vertical="center" wrapText="1"/>
    </xf>
    <xf numFmtId="170" fontId="4" fillId="24" borderId="17" xfId="313" applyNumberFormat="1" applyFont="1" applyFill="1" applyBorder="1" applyAlignment="1">
      <alignment vertical="center" wrapText="1"/>
    </xf>
    <xf numFmtId="170" fontId="4" fillId="0" borderId="0" xfId="313" applyNumberFormat="1" applyFont="1" applyFill="1" applyBorder="1" applyAlignment="1">
      <alignment vertical="center" wrapText="1"/>
    </xf>
    <xf numFmtId="0" fontId="10" fillId="0" borderId="12" xfId="303" applyFont="1" applyBorder="1" applyAlignment="1">
      <alignment vertical="center"/>
    </xf>
    <xf numFmtId="0" fontId="10" fillId="0" borderId="0" xfId="303" applyFont="1" applyAlignment="1">
      <alignment horizontal="left" vertical="center" indent="1"/>
    </xf>
    <xf numFmtId="0" fontId="4" fillId="0" borderId="15" xfId="305" applyBorder="1"/>
    <xf numFmtId="0" fontId="4" fillId="0" borderId="11" xfId="305" applyBorder="1"/>
    <xf numFmtId="0" fontId="15" fillId="0" borderId="15" xfId="304" applyFont="1" applyBorder="1"/>
    <xf numFmtId="0" fontId="5" fillId="0" borderId="0" xfId="305" applyFont="1"/>
    <xf numFmtId="0" fontId="14" fillId="0" borderId="11" xfId="305" applyFont="1" applyBorder="1" applyAlignment="1">
      <alignment horizontal="left" vertical="top" wrapText="1"/>
    </xf>
    <xf numFmtId="167" fontId="6" fillId="0" borderId="0" xfId="0" applyNumberFormat="1" applyFont="1" applyAlignment="1">
      <alignment vertical="center" wrapText="1"/>
    </xf>
    <xf numFmtId="167" fontId="6" fillId="0" borderId="13" xfId="0" applyNumberFormat="1" applyFont="1" applyBorder="1" applyAlignment="1">
      <alignment vertical="center" wrapText="1"/>
    </xf>
    <xf numFmtId="170" fontId="8" fillId="0" borderId="0" xfId="313" applyNumberFormat="1" applyFont="1" applyFill="1" applyBorder="1" applyAlignment="1">
      <alignment vertical="center" wrapText="1"/>
    </xf>
    <xf numFmtId="3" fontId="10" fillId="0" borderId="0" xfId="0" applyNumberFormat="1" applyFont="1" applyAlignment="1">
      <alignment vertical="center" wrapText="1"/>
    </xf>
    <xf numFmtId="0" fontId="18" fillId="0" borderId="0" xfId="303" quotePrefix="1" applyFont="1" applyAlignment="1">
      <alignment horizontal="left" vertical="center" wrapText="1" indent="1"/>
    </xf>
    <xf numFmtId="0" fontId="19" fillId="0" borderId="0" xfId="303" applyFont="1" applyAlignment="1">
      <alignment horizontal="left" vertical="center" indent="1"/>
    </xf>
    <xf numFmtId="0" fontId="20" fillId="0" borderId="0" xfId="306" applyFont="1" applyAlignment="1">
      <alignment horizontal="left" vertical="center" indent="1"/>
    </xf>
    <xf numFmtId="170" fontId="6" fillId="0" borderId="0" xfId="313" applyNumberFormat="1" applyFont="1" applyBorder="1" applyAlignment="1">
      <alignment vertical="center" wrapText="1"/>
    </xf>
    <xf numFmtId="0" fontId="10" fillId="0" borderId="18" xfId="306" applyFont="1" applyBorder="1" applyAlignment="1">
      <alignment horizontal="center" vertical="center" wrapText="1"/>
    </xf>
    <xf numFmtId="0" fontId="10" fillId="0" borderId="11" xfId="305" applyFont="1" applyBorder="1" applyAlignment="1">
      <alignment horizontal="center"/>
    </xf>
    <xf numFmtId="0" fontId="14" fillId="0" borderId="15" xfId="305" applyFont="1" applyBorder="1" applyAlignment="1">
      <alignment horizontal="left" vertical="top" wrapText="1"/>
    </xf>
    <xf numFmtId="0" fontId="21" fillId="0" borderId="0" xfId="305" applyFont="1"/>
    <xf numFmtId="10" fontId="10" fillId="0" borderId="0" xfId="313" applyNumberFormat="1" applyFont="1" applyFill="1" applyBorder="1" applyAlignment="1">
      <alignment horizontal="center" vertical="center" wrapText="1"/>
    </xf>
    <xf numFmtId="10" fontId="10" fillId="0" borderId="0" xfId="306" applyNumberFormat="1" applyFont="1" applyAlignment="1">
      <alignment horizontal="center" vertical="center" wrapText="1"/>
    </xf>
    <xf numFmtId="3" fontId="9" fillId="0" borderId="0" xfId="305" applyNumberFormat="1" applyFont="1"/>
    <xf numFmtId="0" fontId="22" fillId="0" borderId="0" xfId="305" applyFont="1"/>
    <xf numFmtId="0" fontId="27" fillId="0" borderId="0" xfId="305" applyFont="1"/>
    <xf numFmtId="0" fontId="26" fillId="0" borderId="0" xfId="305" applyFont="1" applyAlignment="1">
      <alignment horizontal="left" vertical="top" wrapText="1"/>
    </xf>
    <xf numFmtId="0" fontId="17" fillId="0" borderId="0" xfId="305" applyFont="1"/>
    <xf numFmtId="3" fontId="6" fillId="0" borderId="0" xfId="0" applyNumberFormat="1" applyFont="1" applyAlignment="1">
      <alignment vertical="center" wrapText="1"/>
    </xf>
    <xf numFmtId="0" fontId="30" fillId="0" borderId="0" xfId="305" applyFont="1"/>
    <xf numFmtId="0" fontId="31" fillId="0" borderId="0" xfId="304" applyFont="1"/>
    <xf numFmtId="0" fontId="28" fillId="0" borderId="12" xfId="303" applyFont="1" applyBorder="1" applyAlignment="1">
      <alignment vertical="center"/>
    </xf>
    <xf numFmtId="0" fontId="32" fillId="0" borderId="0" xfId="305" applyFont="1"/>
    <xf numFmtId="0" fontId="34" fillId="0" borderId="0" xfId="305" applyFont="1"/>
    <xf numFmtId="0" fontId="22" fillId="0" borderId="11" xfId="305" applyFont="1" applyBorder="1"/>
    <xf numFmtId="3" fontId="6" fillId="0" borderId="13" xfId="0" applyNumberFormat="1" applyFont="1" applyBorder="1" applyAlignment="1">
      <alignment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168" fontId="10" fillId="0" borderId="13" xfId="0" applyNumberFormat="1" applyFont="1" applyBorder="1" applyAlignment="1">
      <alignment horizontal="center" vertical="center" wrapText="1"/>
    </xf>
    <xf numFmtId="173" fontId="10" fillId="0" borderId="0" xfId="124" applyNumberFormat="1" applyFont="1" applyFill="1" applyBorder="1" applyAlignment="1">
      <alignment horizontal="center" vertical="center" wrapText="1"/>
    </xf>
    <xf numFmtId="0" fontId="10" fillId="0" borderId="19" xfId="305" applyFont="1" applyBorder="1" applyAlignment="1">
      <alignment vertical="center" wrapText="1"/>
    </xf>
    <xf numFmtId="0" fontId="5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70" fontId="0" fillId="0" borderId="23" xfId="313" applyNumberFormat="1" applyFont="1" applyBorder="1"/>
    <xf numFmtId="0" fontId="0" fillId="0" borderId="24" xfId="0" applyBorder="1"/>
    <xf numFmtId="170" fontId="0" fillId="0" borderId="25" xfId="313" applyNumberFormat="1" applyFont="1" applyBorder="1"/>
    <xf numFmtId="0" fontId="19" fillId="0" borderId="19" xfId="305" applyFont="1" applyBorder="1" applyAlignment="1">
      <alignment vertical="center" wrapText="1"/>
    </xf>
    <xf numFmtId="0" fontId="39" fillId="25" borderId="12" xfId="306" quotePrefix="1" applyFont="1" applyFill="1" applyBorder="1" applyAlignment="1">
      <alignment horizontal="center" vertical="center" wrapText="1"/>
    </xf>
    <xf numFmtId="0" fontId="42" fillId="0" borderId="0" xfId="305" applyFont="1"/>
    <xf numFmtId="174" fontId="8" fillId="0" borderId="26" xfId="0" applyNumberFormat="1" applyFont="1" applyBorder="1" applyAlignment="1">
      <alignment vertical="center" wrapText="1"/>
    </xf>
    <xf numFmtId="174" fontId="8" fillId="0" borderId="0" xfId="0" applyNumberFormat="1" applyFont="1" applyAlignment="1">
      <alignment vertical="center" wrapText="1"/>
    </xf>
    <xf numFmtId="174" fontId="8" fillId="0" borderId="13" xfId="0" applyNumberFormat="1" applyFont="1" applyBorder="1" applyAlignment="1">
      <alignment vertical="center" wrapText="1"/>
    </xf>
    <xf numFmtId="174" fontId="8" fillId="0" borderId="12" xfId="0" applyNumberFormat="1" applyFont="1" applyBorder="1" applyAlignment="1">
      <alignment vertical="center" wrapText="1"/>
    </xf>
    <xf numFmtId="174" fontId="10" fillId="0" borderId="14" xfId="0" applyNumberFormat="1" applyFont="1" applyBorder="1" applyAlignment="1">
      <alignment vertical="center" wrapText="1"/>
    </xf>
    <xf numFmtId="0" fontId="38" fillId="26" borderId="19" xfId="305" applyFont="1" applyFill="1" applyBorder="1" applyAlignment="1">
      <alignment horizontal="center" vertical="center"/>
    </xf>
    <xf numFmtId="0" fontId="38" fillId="26" borderId="0" xfId="306" applyFont="1" applyFill="1" applyAlignment="1">
      <alignment horizontal="center" vertical="center" wrapText="1"/>
    </xf>
    <xf numFmtId="0" fontId="39" fillId="26" borderId="12" xfId="306" quotePrefix="1" applyFont="1" applyFill="1" applyBorder="1" applyAlignment="1">
      <alignment horizontal="center" vertical="center" wrapText="1"/>
    </xf>
    <xf numFmtId="174" fontId="38" fillId="26" borderId="14" xfId="0" applyNumberFormat="1" applyFont="1" applyFill="1" applyBorder="1" applyAlignment="1">
      <alignment vertical="center" wrapText="1"/>
    </xf>
    <xf numFmtId="174" fontId="38" fillId="26" borderId="26" xfId="0" applyNumberFormat="1" applyFont="1" applyFill="1" applyBorder="1" applyAlignment="1">
      <alignment vertical="center" wrapText="1"/>
    </xf>
    <xf numFmtId="174" fontId="38" fillId="26" borderId="0" xfId="0" applyNumberFormat="1" applyFont="1" applyFill="1" applyAlignment="1">
      <alignment vertical="center" wrapText="1"/>
    </xf>
    <xf numFmtId="174" fontId="38" fillId="26" borderId="13" xfId="0" applyNumberFormat="1" applyFont="1" applyFill="1" applyBorder="1" applyAlignment="1">
      <alignment vertical="center" wrapText="1"/>
    </xf>
    <xf numFmtId="174" fontId="38" fillId="26" borderId="12" xfId="0" applyNumberFormat="1" applyFont="1" applyFill="1" applyBorder="1" applyAlignment="1">
      <alignment vertical="center" wrapText="1"/>
    </xf>
    <xf numFmtId="0" fontId="10" fillId="27" borderId="0" xfId="306" applyFont="1" applyFill="1" applyAlignment="1">
      <alignment horizontal="center" vertical="center" wrapText="1"/>
    </xf>
    <xf numFmtId="0" fontId="12" fillId="27" borderId="12" xfId="306" quotePrefix="1" applyFont="1" applyFill="1" applyBorder="1" applyAlignment="1">
      <alignment horizontal="center" vertical="center" wrapText="1"/>
    </xf>
    <xf numFmtId="0" fontId="10" fillId="28" borderId="0" xfId="306" applyFont="1" applyFill="1" applyAlignment="1">
      <alignment horizontal="center" vertical="center" wrapText="1"/>
    </xf>
    <xf numFmtId="0" fontId="12" fillId="28" borderId="12" xfId="306" quotePrefix="1" applyFont="1" applyFill="1" applyBorder="1" applyAlignment="1">
      <alignment horizontal="center" vertical="center" wrapText="1"/>
    </xf>
    <xf numFmtId="0" fontId="38" fillId="25" borderId="0" xfId="306" applyFont="1" applyFill="1" applyAlignment="1">
      <alignment horizontal="center" vertical="center" wrapText="1"/>
    </xf>
    <xf numFmtId="167" fontId="43" fillId="25" borderId="0" xfId="0" applyNumberFormat="1" applyFont="1" applyFill="1" applyAlignment="1">
      <alignment vertical="center" wrapText="1"/>
    </xf>
    <xf numFmtId="3" fontId="4" fillId="0" borderId="0" xfId="305" applyNumberFormat="1"/>
    <xf numFmtId="4" fontId="6" fillId="0" borderId="0" xfId="0" applyNumberFormat="1" applyFont="1" applyAlignment="1">
      <alignment vertical="center" wrapText="1"/>
    </xf>
    <xf numFmtId="174" fontId="8" fillId="27" borderId="0" xfId="0" applyNumberFormat="1" applyFont="1" applyFill="1" applyAlignment="1">
      <alignment vertical="center" wrapText="1"/>
    </xf>
    <xf numFmtId="0" fontId="36" fillId="0" borderId="0" xfId="305" applyFont="1"/>
    <xf numFmtId="0" fontId="12" fillId="0" borderId="0" xfId="305" applyFont="1" applyAlignment="1">
      <alignment horizontal="left" vertical="top" wrapText="1"/>
    </xf>
    <xf numFmtId="4" fontId="8" fillId="0" borderId="0" xfId="0" applyNumberFormat="1" applyFont="1" applyAlignment="1">
      <alignment vertical="center" wrapText="1"/>
    </xf>
    <xf numFmtId="3" fontId="36" fillId="0" borderId="0" xfId="305" applyNumberFormat="1" applyFont="1"/>
    <xf numFmtId="0" fontId="10" fillId="29" borderId="0" xfId="306" applyFont="1" applyFill="1" applyAlignment="1">
      <alignment horizontal="center" vertical="center" wrapText="1"/>
    </xf>
    <xf numFmtId="0" fontId="12" fillId="29" borderId="12" xfId="306" quotePrefix="1" applyFont="1" applyFill="1" applyBorder="1" applyAlignment="1">
      <alignment horizontal="center" vertical="center" wrapText="1"/>
    </xf>
    <xf numFmtId="176" fontId="44" fillId="0" borderId="0" xfId="0" applyNumberFormat="1" applyFont="1" applyAlignment="1">
      <alignment vertical="center"/>
    </xf>
    <xf numFmtId="176" fontId="47" fillId="0" borderId="0" xfId="0" applyNumberFormat="1" applyFont="1" applyAlignment="1">
      <alignment vertical="center"/>
    </xf>
    <xf numFmtId="174" fontId="48" fillId="0" borderId="0" xfId="0" applyNumberFormat="1" applyFont="1" applyAlignment="1">
      <alignment vertical="center"/>
    </xf>
    <xf numFmtId="0" fontId="29" fillId="0" borderId="0" xfId="0" applyFont="1" applyAlignment="1">
      <alignment vertical="center" wrapText="1"/>
    </xf>
    <xf numFmtId="0" fontId="15" fillId="0" borderId="19" xfId="305" applyFont="1" applyBorder="1" applyAlignment="1">
      <alignment horizontal="center" vertical="center" wrapText="1"/>
    </xf>
    <xf numFmtId="174" fontId="6" fillId="29" borderId="0" xfId="0" applyNumberFormat="1" applyFont="1" applyFill="1" applyAlignment="1">
      <alignment vertical="center" wrapText="1"/>
    </xf>
    <xf numFmtId="3" fontId="49" fillId="0" borderId="0" xfId="305" applyNumberFormat="1" applyFont="1"/>
    <xf numFmtId="170" fontId="0" fillId="0" borderId="23" xfId="313" applyNumberFormat="1" applyFont="1" applyFill="1" applyBorder="1"/>
    <xf numFmtId="0" fontId="10" fillId="30" borderId="11" xfId="306" applyFont="1" applyFill="1" applyBorder="1" applyAlignment="1">
      <alignment horizontal="center" vertical="center" wrapText="1"/>
    </xf>
    <xf numFmtId="0" fontId="12" fillId="30" borderId="12" xfId="306" quotePrefix="1" applyFont="1" applyFill="1" applyBorder="1" applyAlignment="1">
      <alignment horizontal="center" vertical="center" wrapText="1"/>
    </xf>
    <xf numFmtId="167" fontId="8" fillId="30" borderId="0" xfId="0" applyNumberFormat="1" applyFont="1" applyFill="1" applyAlignment="1">
      <alignment vertical="center" wrapText="1"/>
    </xf>
    <xf numFmtId="0" fontId="10" fillId="31" borderId="11" xfId="306" applyFont="1" applyFill="1" applyBorder="1" applyAlignment="1">
      <alignment horizontal="center" vertical="center" wrapText="1"/>
    </xf>
    <xf numFmtId="0" fontId="12" fillId="31" borderId="12" xfId="306" quotePrefix="1" applyFont="1" applyFill="1" applyBorder="1" applyAlignment="1">
      <alignment horizontal="center" vertical="center" wrapText="1"/>
    </xf>
    <xf numFmtId="167" fontId="8" fillId="31" borderId="0" xfId="0" applyNumberFormat="1" applyFont="1" applyFill="1" applyAlignment="1">
      <alignment vertical="center" wrapText="1"/>
    </xf>
    <xf numFmtId="0" fontId="46" fillId="0" borderId="0" xfId="0" applyFont="1" applyAlignment="1">
      <alignment wrapText="1"/>
    </xf>
    <xf numFmtId="0" fontId="10" fillId="30" borderId="0" xfId="306" applyFont="1" applyFill="1" applyAlignment="1">
      <alignment horizontal="center" vertical="center" wrapText="1"/>
    </xf>
    <xf numFmtId="167" fontId="10" fillId="31" borderId="0" xfId="0" applyNumberFormat="1" applyFont="1" applyFill="1" applyAlignment="1">
      <alignment vertical="center" wrapText="1"/>
    </xf>
    <xf numFmtId="167" fontId="41" fillId="0" borderId="0" xfId="0" applyNumberFormat="1" applyFont="1" applyAlignment="1">
      <alignment vertical="center" wrapText="1"/>
    </xf>
    <xf numFmtId="0" fontId="40" fillId="0" borderId="0" xfId="305" applyFont="1"/>
    <xf numFmtId="172" fontId="6" fillId="0" borderId="0" xfId="313" applyNumberFormat="1" applyFont="1" applyFill="1" applyBorder="1" applyAlignment="1">
      <alignment vertical="center"/>
    </xf>
    <xf numFmtId="167" fontId="6" fillId="30" borderId="0" xfId="0" applyNumberFormat="1" applyFont="1" applyFill="1" applyAlignment="1">
      <alignment vertical="center" wrapText="1"/>
    </xf>
    <xf numFmtId="0" fontId="37" fillId="30" borderId="12" xfId="306" quotePrefix="1" applyFont="1" applyFill="1" applyBorder="1" applyAlignment="1">
      <alignment horizontal="center" vertical="center" wrapText="1"/>
    </xf>
    <xf numFmtId="167" fontId="6" fillId="31" borderId="0" xfId="0" applyNumberFormat="1" applyFont="1" applyFill="1" applyAlignment="1">
      <alignment vertical="center" wrapText="1"/>
    </xf>
    <xf numFmtId="173" fontId="17" fillId="0" borderId="0" xfId="124" quotePrefix="1" applyNumberFormat="1" applyFont="1" applyFill="1" applyBorder="1" applyAlignment="1">
      <alignment horizontal="center" vertical="center" wrapText="1"/>
    </xf>
    <xf numFmtId="0" fontId="10" fillId="31" borderId="0" xfId="306" applyFont="1" applyFill="1" applyAlignment="1">
      <alignment horizontal="center" vertical="center" wrapText="1"/>
    </xf>
    <xf numFmtId="0" fontId="10" fillId="0" borderId="0" xfId="302" applyFont="1" applyAlignment="1">
      <alignment horizontal="left" vertical="center" indent="1"/>
    </xf>
    <xf numFmtId="167" fontId="4" fillId="0" borderId="0" xfId="305" applyNumberFormat="1"/>
    <xf numFmtId="0" fontId="19" fillId="0" borderId="0" xfId="302" applyFont="1" applyAlignment="1">
      <alignment horizontal="left" vertical="center" indent="1"/>
    </xf>
    <xf numFmtId="0" fontId="15" fillId="30" borderId="0" xfId="306" applyFont="1" applyFill="1" applyAlignment="1">
      <alignment horizontal="center" vertical="center" wrapText="1"/>
    </xf>
    <xf numFmtId="0" fontId="10" fillId="0" borderId="0" xfId="305" applyFont="1"/>
    <xf numFmtId="0" fontId="10" fillId="0" borderId="0" xfId="305" applyFont="1" applyAlignment="1">
      <alignment horizontal="center"/>
    </xf>
    <xf numFmtId="0" fontId="10" fillId="30" borderId="18" xfId="306" applyFont="1" applyFill="1" applyBorder="1" applyAlignment="1">
      <alignment horizontal="center" vertical="center" wrapText="1"/>
    </xf>
    <xf numFmtId="170" fontId="10" fillId="0" borderId="0" xfId="313" applyNumberFormat="1" applyFont="1" applyBorder="1" applyAlignment="1">
      <alignment vertical="center" wrapText="1"/>
    </xf>
    <xf numFmtId="167" fontId="10" fillId="30" borderId="0" xfId="0" applyNumberFormat="1" applyFont="1" applyFill="1" applyAlignment="1">
      <alignment vertical="center" wrapText="1"/>
    </xf>
    <xf numFmtId="0" fontId="9" fillId="30" borderId="0" xfId="305" applyFont="1" applyFill="1"/>
    <xf numFmtId="0" fontId="12" fillId="0" borderId="0" xfId="306" applyFont="1" applyAlignment="1">
      <alignment horizontal="center" vertical="center" wrapText="1"/>
    </xf>
    <xf numFmtId="170" fontId="10" fillId="0" borderId="0" xfId="313" applyNumberFormat="1" applyFont="1" applyFill="1" applyBorder="1" applyAlignment="1">
      <alignment vertical="center" wrapText="1"/>
    </xf>
    <xf numFmtId="0" fontId="10" fillId="0" borderId="0" xfId="306" applyFont="1" applyAlignment="1">
      <alignment vertical="center" wrapText="1"/>
    </xf>
    <xf numFmtId="0" fontId="12" fillId="0" borderId="11" xfId="305" applyFont="1" applyBorder="1" applyAlignment="1">
      <alignment horizontal="left" vertical="top" wrapText="1"/>
    </xf>
    <xf numFmtId="174" fontId="6" fillId="0" borderId="26" xfId="0" applyNumberFormat="1" applyFont="1" applyBorder="1" applyAlignment="1">
      <alignment vertical="center" wrapText="1"/>
    </xf>
    <xf numFmtId="174" fontId="6" fillId="0" borderId="0" xfId="0" applyNumberFormat="1" applyFont="1" applyAlignment="1">
      <alignment vertical="center" wrapText="1"/>
    </xf>
    <xf numFmtId="174" fontId="6" fillId="0" borderId="13" xfId="0" applyNumberFormat="1" applyFont="1" applyBorder="1" applyAlignment="1">
      <alignment vertical="center" wrapText="1"/>
    </xf>
    <xf numFmtId="174" fontId="6" fillId="0" borderId="12" xfId="0" applyNumberFormat="1" applyFont="1" applyBorder="1" applyAlignment="1">
      <alignment vertical="center" wrapText="1"/>
    </xf>
    <xf numFmtId="0" fontId="15" fillId="0" borderId="0" xfId="305" applyFont="1" applyAlignment="1">
      <alignment horizontal="center" vertical="center" wrapText="1"/>
    </xf>
    <xf numFmtId="0" fontId="72" fillId="0" borderId="11" xfId="303" applyFont="1" applyBorder="1" applyAlignment="1">
      <alignment horizontal="left" vertical="center" indent="1"/>
    </xf>
    <xf numFmtId="0" fontId="73" fillId="0" borderId="0" xfId="306" applyFont="1" applyAlignment="1">
      <alignment horizontal="left" vertical="center" indent="1"/>
    </xf>
    <xf numFmtId="0" fontId="76" fillId="0" borderId="0" xfId="303" quotePrefix="1" applyFont="1" applyAlignment="1">
      <alignment horizontal="left" vertical="center" wrapText="1" indent="1"/>
    </xf>
    <xf numFmtId="0" fontId="76" fillId="0" borderId="0" xfId="302" quotePrefix="1" applyFont="1" applyAlignment="1">
      <alignment horizontal="left" vertical="center" indent="1"/>
    </xf>
    <xf numFmtId="0" fontId="76" fillId="0" borderId="0" xfId="302" applyFont="1" applyAlignment="1">
      <alignment horizontal="left" vertical="center" indent="1"/>
    </xf>
    <xf numFmtId="0" fontId="72" fillId="0" borderId="15" xfId="302" applyFont="1" applyBorder="1" applyAlignment="1">
      <alignment horizontal="left" vertical="center" indent="1"/>
    </xf>
    <xf numFmtId="0" fontId="77" fillId="0" borderId="0" xfId="305" applyFont="1"/>
    <xf numFmtId="0" fontId="77" fillId="0" borderId="11" xfId="305" applyFont="1" applyBorder="1"/>
    <xf numFmtId="0" fontId="72" fillId="0" borderId="0" xfId="303" applyFont="1" applyAlignment="1">
      <alignment horizontal="left" vertical="center" indent="1"/>
    </xf>
    <xf numFmtId="0" fontId="79" fillId="0" borderId="0" xfId="305" applyFont="1"/>
    <xf numFmtId="0" fontId="74" fillId="0" borderId="0" xfId="305" applyFont="1" applyAlignment="1">
      <alignment horizontal="left" vertical="top" wrapText="1"/>
    </xf>
    <xf numFmtId="3" fontId="77" fillId="0" borderId="0" xfId="305" applyNumberFormat="1" applyFont="1"/>
    <xf numFmtId="0" fontId="74" fillId="0" borderId="15" xfId="305" applyFont="1" applyBorder="1" applyAlignment="1">
      <alignment horizontal="left" vertical="top" wrapText="1"/>
    </xf>
    <xf numFmtId="170" fontId="77" fillId="0" borderId="0" xfId="313" applyNumberFormat="1" applyFont="1" applyFill="1" applyBorder="1" applyAlignment="1">
      <alignment vertical="center" wrapText="1"/>
    </xf>
    <xf numFmtId="176" fontId="80" fillId="0" borderId="0" xfId="0" applyNumberFormat="1" applyFont="1" applyAlignment="1">
      <alignment vertical="center"/>
    </xf>
    <xf numFmtId="0" fontId="81" fillId="0" borderId="0" xfId="305" applyFont="1"/>
    <xf numFmtId="0" fontId="74" fillId="0" borderId="11" xfId="305" applyFont="1" applyBorder="1" applyAlignment="1">
      <alignment horizontal="left" vertical="top" wrapText="1"/>
    </xf>
    <xf numFmtId="0" fontId="72" fillId="0" borderId="19" xfId="305" applyFont="1" applyBorder="1" applyAlignment="1">
      <alignment vertical="center" wrapText="1"/>
    </xf>
    <xf numFmtId="0" fontId="12" fillId="0" borderId="15" xfId="305" applyFont="1" applyBorder="1" applyAlignment="1">
      <alignment horizontal="left" vertical="top" wrapText="1"/>
    </xf>
    <xf numFmtId="3" fontId="6" fillId="0" borderId="0" xfId="142" applyNumberFormat="1" applyFont="1" applyAlignment="1">
      <alignment vertical="center" wrapText="1"/>
    </xf>
    <xf numFmtId="3" fontId="6" fillId="0" borderId="13" xfId="142" applyNumberFormat="1" applyFont="1" applyBorder="1" applyAlignment="1">
      <alignment vertical="center" wrapText="1"/>
    </xf>
    <xf numFmtId="0" fontId="83" fillId="26" borderId="19" xfId="305" applyFont="1" applyFill="1" applyBorder="1" applyAlignment="1">
      <alignment horizontal="center" vertical="center"/>
    </xf>
    <xf numFmtId="0" fontId="83" fillId="26" borderId="0" xfId="306" applyFont="1" applyFill="1" applyAlignment="1">
      <alignment horizontal="center" vertical="center" wrapText="1"/>
    </xf>
    <xf numFmtId="174" fontId="83" fillId="26" borderId="12" xfId="0" applyNumberFormat="1" applyFont="1" applyFill="1" applyBorder="1" applyAlignment="1">
      <alignment vertical="center" wrapText="1"/>
    </xf>
    <xf numFmtId="174" fontId="83" fillId="26" borderId="0" xfId="0" applyNumberFormat="1" applyFont="1" applyFill="1" applyAlignment="1">
      <alignment vertical="center" wrapText="1"/>
    </xf>
    <xf numFmtId="174" fontId="83" fillId="26" borderId="26" xfId="0" applyNumberFormat="1" applyFont="1" applyFill="1" applyBorder="1" applyAlignment="1">
      <alignment vertical="center" wrapText="1"/>
    </xf>
    <xf numFmtId="174" fontId="83" fillId="26" borderId="13" xfId="0" applyNumberFormat="1" applyFont="1" applyFill="1" applyBorder="1" applyAlignment="1">
      <alignment vertical="center" wrapText="1"/>
    </xf>
    <xf numFmtId="174" fontId="83" fillId="26" borderId="14" xfId="0" applyNumberFormat="1" applyFont="1" applyFill="1" applyBorder="1" applyAlignment="1">
      <alignment vertical="center" wrapText="1"/>
    </xf>
    <xf numFmtId="0" fontId="84" fillId="26" borderId="12" xfId="306" quotePrefix="1" applyFont="1" applyFill="1" applyBorder="1" applyAlignment="1">
      <alignment horizontal="center" vertical="center" wrapText="1"/>
    </xf>
    <xf numFmtId="174" fontId="6" fillId="0" borderId="26" xfId="142" applyNumberFormat="1" applyFont="1" applyBorder="1" applyAlignment="1">
      <alignment vertical="center" wrapText="1"/>
    </xf>
    <xf numFmtId="174" fontId="6" fillId="0" borderId="0" xfId="142" applyNumberFormat="1" applyFont="1" applyAlignment="1">
      <alignment vertical="center" wrapText="1"/>
    </xf>
    <xf numFmtId="174" fontId="6" fillId="0" borderId="13" xfId="142" applyNumberFormat="1" applyFont="1" applyBorder="1" applyAlignment="1">
      <alignment vertical="center" wrapText="1"/>
    </xf>
    <xf numFmtId="174" fontId="6" fillId="0" borderId="12" xfId="142" applyNumberFormat="1" applyFont="1" applyBorder="1" applyAlignment="1">
      <alignment vertical="center" wrapText="1"/>
    </xf>
    <xf numFmtId="0" fontId="10" fillId="32" borderId="0" xfId="306" applyFont="1" applyFill="1" applyAlignment="1">
      <alignment horizontal="center" vertical="center" wrapText="1"/>
    </xf>
    <xf numFmtId="0" fontId="12" fillId="32" borderId="12" xfId="306" quotePrefix="1" applyFont="1" applyFill="1" applyBorder="1" applyAlignment="1">
      <alignment horizontal="center" vertical="center" wrapText="1"/>
    </xf>
    <xf numFmtId="0" fontId="84" fillId="25" borderId="12" xfId="306" quotePrefix="1" applyFont="1" applyFill="1" applyBorder="1" applyAlignment="1">
      <alignment horizontal="center" vertical="center" wrapText="1"/>
    </xf>
    <xf numFmtId="0" fontId="15" fillId="0" borderId="19" xfId="305" applyFont="1" applyBorder="1" applyAlignment="1">
      <alignment vertical="center" wrapText="1"/>
    </xf>
    <xf numFmtId="0" fontId="83" fillId="25" borderId="0" xfId="306" applyFont="1" applyFill="1" applyAlignment="1">
      <alignment horizontal="center" vertical="center" wrapText="1"/>
    </xf>
    <xf numFmtId="0" fontId="86" fillId="0" borderId="0" xfId="305" applyFont="1"/>
    <xf numFmtId="174" fontId="8" fillId="33" borderId="0" xfId="0" applyNumberFormat="1" applyFont="1" applyFill="1" applyAlignment="1">
      <alignment vertical="center" wrapText="1"/>
    </xf>
    <xf numFmtId="167" fontId="85" fillId="25" borderId="0" xfId="0" applyNumberFormat="1" applyFont="1" applyFill="1" applyAlignment="1">
      <alignment vertical="center" wrapText="1"/>
    </xf>
    <xf numFmtId="174" fontId="6" fillId="30" borderId="0" xfId="0" applyNumberFormat="1" applyFont="1" applyFill="1" applyAlignment="1">
      <alignment vertical="center" wrapText="1"/>
    </xf>
    <xf numFmtId="174" fontId="6" fillId="27" borderId="0" xfId="0" applyNumberFormat="1" applyFont="1" applyFill="1" applyAlignment="1">
      <alignment vertical="center" wrapText="1"/>
    </xf>
    <xf numFmtId="0" fontId="12" fillId="34" borderId="12" xfId="306" quotePrefix="1" applyFont="1" applyFill="1" applyBorder="1" applyAlignment="1">
      <alignment horizontal="center" vertical="center" wrapText="1"/>
    </xf>
    <xf numFmtId="0" fontId="10" fillId="34" borderId="0" xfId="306" applyFont="1" applyFill="1" applyAlignment="1">
      <alignment horizontal="center" vertical="center" wrapText="1"/>
    </xf>
    <xf numFmtId="167" fontId="6" fillId="34" borderId="0" xfId="142" applyNumberFormat="1" applyFont="1" applyFill="1" applyAlignment="1">
      <alignment vertical="center" wrapText="1"/>
    </xf>
    <xf numFmtId="0" fontId="4" fillId="0" borderId="17" xfId="305" applyBorder="1"/>
    <xf numFmtId="0" fontId="6" fillId="0" borderId="0" xfId="304"/>
    <xf numFmtId="0" fontId="9" fillId="0" borderId="15" xfId="305" applyFont="1" applyBorder="1"/>
    <xf numFmtId="0" fontId="9" fillId="0" borderId="17" xfId="305" applyFont="1" applyBorder="1"/>
    <xf numFmtId="0" fontId="10" fillId="35" borderId="0" xfId="306" applyFont="1" applyFill="1" applyAlignment="1">
      <alignment horizontal="center" vertical="center" wrapText="1"/>
    </xf>
    <xf numFmtId="0" fontId="12" fillId="35" borderId="12" xfId="306" quotePrefix="1" applyFont="1" applyFill="1" applyBorder="1" applyAlignment="1">
      <alignment horizontal="center" vertical="center" wrapText="1"/>
    </xf>
    <xf numFmtId="174" fontId="6" fillId="34" borderId="0" xfId="0" applyNumberFormat="1" applyFont="1" applyFill="1" applyAlignment="1">
      <alignment vertical="center" wrapText="1"/>
    </xf>
    <xf numFmtId="0" fontId="38" fillId="26" borderId="12" xfId="305" applyFont="1" applyFill="1" applyBorder="1" applyAlignment="1">
      <alignment horizontal="center" vertical="center"/>
    </xf>
    <xf numFmtId="174" fontId="5" fillId="0" borderId="0" xfId="142" applyNumberFormat="1" applyFont="1" applyAlignment="1">
      <alignment vertical="center" wrapText="1"/>
    </xf>
    <xf numFmtId="176" fontId="4" fillId="0" borderId="0" xfId="142" applyNumberFormat="1" applyAlignment="1">
      <alignment horizontal="center" vertical="center"/>
    </xf>
    <xf numFmtId="0" fontId="4" fillId="0" borderId="0" xfId="142"/>
    <xf numFmtId="174" fontId="4" fillId="0" borderId="0" xfId="142" applyNumberFormat="1" applyAlignment="1">
      <alignment horizontal="center" vertical="top"/>
    </xf>
    <xf numFmtId="174" fontId="4" fillId="0" borderId="0" xfId="142" applyNumberFormat="1" applyAlignment="1">
      <alignment horizontal="center" vertical="center"/>
    </xf>
    <xf numFmtId="0" fontId="87" fillId="0" borderId="0" xfId="142" applyFont="1" applyAlignment="1">
      <alignment vertical="top" wrapText="1"/>
    </xf>
    <xf numFmtId="176" fontId="87" fillId="0" borderId="0" xfId="142" applyNumberFormat="1" applyFont="1" applyAlignment="1">
      <alignment vertical="top" wrapText="1"/>
    </xf>
    <xf numFmtId="0" fontId="87" fillId="0" borderId="0" xfId="142" applyFont="1" applyAlignment="1">
      <alignment horizontal="left" vertical="top" wrapText="1"/>
    </xf>
    <xf numFmtId="176" fontId="44" fillId="0" borderId="0" xfId="134" applyNumberFormat="1" applyFont="1" applyFill="1" applyBorder="1" applyAlignment="1">
      <alignment horizontal="center" vertical="center"/>
    </xf>
    <xf numFmtId="0" fontId="90" fillId="0" borderId="0" xfId="305" applyFont="1" applyAlignment="1">
      <alignment horizontal="left" vertical="top" wrapText="1"/>
    </xf>
    <xf numFmtId="0" fontId="91" fillId="0" borderId="0" xfId="305" applyFont="1"/>
    <xf numFmtId="0" fontId="10" fillId="0" borderId="20" xfId="306" applyFont="1" applyBorder="1" applyAlignment="1">
      <alignment horizontal="center" vertical="center" wrapText="1"/>
    </xf>
    <xf numFmtId="0" fontId="10" fillId="0" borderId="21" xfId="306" applyFont="1" applyBorder="1" applyAlignment="1">
      <alignment horizontal="center" vertical="center" wrapText="1"/>
    </xf>
    <xf numFmtId="0" fontId="12" fillId="0" borderId="27" xfId="306" quotePrefix="1" applyFont="1" applyBorder="1" applyAlignment="1">
      <alignment horizontal="center" vertical="center" wrapText="1"/>
    </xf>
    <xf numFmtId="0" fontId="12" fillId="0" borderId="28" xfId="306" quotePrefix="1" applyFont="1" applyBorder="1" applyAlignment="1">
      <alignment horizontal="center" vertical="center" wrapText="1"/>
    </xf>
    <xf numFmtId="167" fontId="6" fillId="0" borderId="22" xfId="0" applyNumberFormat="1" applyFont="1" applyBorder="1" applyAlignment="1">
      <alignment vertical="center" wrapText="1"/>
    </xf>
    <xf numFmtId="167" fontId="6" fillId="0" borderId="23" xfId="142" applyNumberFormat="1" applyFont="1" applyBorder="1" applyAlignment="1">
      <alignment vertical="center" wrapText="1"/>
    </xf>
    <xf numFmtId="0" fontId="4" fillId="0" borderId="23" xfId="305" applyBorder="1"/>
    <xf numFmtId="167" fontId="6" fillId="0" borderId="22" xfId="142" applyNumberFormat="1" applyFont="1" applyBorder="1" applyAlignment="1">
      <alignment vertical="center" wrapText="1"/>
    </xf>
    <xf numFmtId="4" fontId="6" fillId="0" borderId="23" xfId="142" applyNumberFormat="1" applyFont="1" applyBorder="1" applyAlignment="1">
      <alignment vertical="center" wrapText="1"/>
    </xf>
    <xf numFmtId="0" fontId="10" fillId="0" borderId="29" xfId="306" applyFont="1" applyBorder="1" applyAlignment="1">
      <alignment horizontal="center" vertical="center" wrapText="1"/>
    </xf>
    <xf numFmtId="0" fontId="4" fillId="0" borderId="30" xfId="305" applyBorder="1"/>
    <xf numFmtId="167" fontId="6" fillId="0" borderId="30" xfId="142" applyNumberFormat="1" applyFont="1" applyBorder="1" applyAlignment="1">
      <alignment vertical="center" wrapText="1"/>
    </xf>
    <xf numFmtId="0" fontId="0" fillId="30" borderId="22" xfId="0" applyFill="1" applyBorder="1"/>
    <xf numFmtId="170" fontId="0" fillId="30" borderId="23" xfId="313" applyNumberFormat="1" applyFont="1" applyFill="1" applyBorder="1"/>
    <xf numFmtId="174" fontId="4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4" fillId="0" borderId="31" xfId="305" applyBorder="1"/>
    <xf numFmtId="176" fontId="5" fillId="0" borderId="0" xfId="0" applyNumberFormat="1" applyFont="1" applyAlignment="1">
      <alignment horizontal="center" vertical="center"/>
    </xf>
    <xf numFmtId="174" fontId="4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/>
    </xf>
    <xf numFmtId="0" fontId="47" fillId="0" borderId="0" xfId="0" applyFont="1" applyAlignment="1">
      <alignment horizontal="center" vertical="center" wrapText="1"/>
    </xf>
    <xf numFmtId="0" fontId="83" fillId="26" borderId="11" xfId="306" applyFont="1" applyFill="1" applyBorder="1" applyAlignment="1">
      <alignment horizontal="center" vertical="center" wrapText="1"/>
    </xf>
    <xf numFmtId="174" fontId="85" fillId="26" borderId="26" xfId="0" applyNumberFormat="1" applyFont="1" applyFill="1" applyBorder="1" applyAlignment="1">
      <alignment vertical="center" wrapText="1"/>
    </xf>
    <xf numFmtId="174" fontId="85" fillId="26" borderId="0" xfId="0" applyNumberFormat="1" applyFont="1" applyFill="1" applyAlignment="1">
      <alignment vertical="center" wrapText="1"/>
    </xf>
    <xf numFmtId="174" fontId="85" fillId="26" borderId="13" xfId="0" applyNumberFormat="1" applyFont="1" applyFill="1" applyBorder="1" applyAlignment="1">
      <alignment vertical="center" wrapText="1"/>
    </xf>
    <xf numFmtId="174" fontId="85" fillId="26" borderId="12" xfId="0" applyNumberFormat="1" applyFont="1" applyFill="1" applyBorder="1" applyAlignment="1">
      <alignment vertical="center" wrapText="1"/>
    </xf>
    <xf numFmtId="174" fontId="92" fillId="0" borderId="0" xfId="0" applyNumberFormat="1" applyFont="1" applyAlignment="1">
      <alignment horizontal="center" vertical="center" wrapText="1"/>
    </xf>
    <xf numFmtId="176" fontId="4" fillId="0" borderId="0" xfId="313" applyNumberFormat="1" applyFont="1" applyFill="1" applyBorder="1" applyAlignment="1">
      <alignment horizontal="center" vertical="center"/>
    </xf>
    <xf numFmtId="176" fontId="34" fillId="0" borderId="0" xfId="0" applyNumberFormat="1" applyFont="1" applyAlignment="1">
      <alignment horizontal="center" vertical="center"/>
    </xf>
    <xf numFmtId="176" fontId="44" fillId="0" borderId="0" xfId="313" applyNumberFormat="1" applyFont="1" applyFill="1" applyBorder="1" applyAlignment="1">
      <alignment horizontal="center" vertical="center"/>
    </xf>
    <xf numFmtId="0" fontId="6" fillId="0" borderId="0" xfId="303" quotePrefix="1" applyFont="1" applyBorder="1" applyAlignment="1">
      <alignment horizontal="left" vertical="center" wrapText="1" indent="1"/>
    </xf>
    <xf numFmtId="3" fontId="6" fillId="0" borderId="0" xfId="0" applyNumberFormat="1" applyFont="1" applyBorder="1" applyAlignment="1">
      <alignment vertical="center" wrapText="1"/>
    </xf>
    <xf numFmtId="4" fontId="6" fillId="0" borderId="0" xfId="0" applyNumberFormat="1" applyFont="1" applyBorder="1" applyAlignment="1">
      <alignment horizontal="center" vertical="center" wrapText="1"/>
    </xf>
    <xf numFmtId="4" fontId="6" fillId="0" borderId="0" xfId="0" applyNumberFormat="1" applyFont="1" applyBorder="1" applyAlignment="1">
      <alignment vertical="center" wrapText="1"/>
    </xf>
    <xf numFmtId="167" fontId="6" fillId="30" borderId="0" xfId="0" applyNumberFormat="1" applyFont="1" applyFill="1" applyBorder="1" applyAlignment="1">
      <alignment vertical="center" wrapText="1"/>
    </xf>
    <xf numFmtId="167" fontId="6" fillId="0" borderId="0" xfId="142" applyNumberFormat="1" applyFont="1" applyBorder="1" applyAlignment="1">
      <alignment vertical="center" wrapText="1"/>
    </xf>
    <xf numFmtId="167" fontId="6" fillId="31" borderId="0" xfId="0" applyNumberFormat="1" applyFont="1" applyFill="1" applyBorder="1" applyAlignment="1">
      <alignment vertical="center" wrapText="1"/>
    </xf>
    <xf numFmtId="0" fontId="4" fillId="0" borderId="0" xfId="305" applyFill="1"/>
    <xf numFmtId="167" fontId="85" fillId="25" borderId="0" xfId="0" applyNumberFormat="1" applyFont="1" applyFill="1" applyBorder="1" applyAlignment="1">
      <alignment vertical="center" wrapText="1"/>
    </xf>
    <xf numFmtId="174" fontId="6" fillId="30" borderId="0" xfId="0" applyNumberFormat="1" applyFont="1" applyFill="1" applyBorder="1" applyAlignment="1">
      <alignment vertical="center" wrapText="1"/>
    </xf>
    <xf numFmtId="167" fontId="6" fillId="0" borderId="0" xfId="0" applyNumberFormat="1" applyFont="1" applyBorder="1" applyAlignment="1">
      <alignment vertical="center" wrapText="1"/>
    </xf>
    <xf numFmtId="174" fontId="6" fillId="0" borderId="0" xfId="142" applyNumberFormat="1" applyFont="1" applyBorder="1" applyAlignment="1">
      <alignment vertical="center" wrapText="1"/>
    </xf>
    <xf numFmtId="174" fontId="8" fillId="33" borderId="0" xfId="0" applyNumberFormat="1" applyFont="1" applyFill="1" applyBorder="1" applyAlignment="1">
      <alignment vertical="center" wrapText="1"/>
    </xf>
    <xf numFmtId="174" fontId="6" fillId="29" borderId="0" xfId="0" applyNumberFormat="1" applyFont="1" applyFill="1" applyBorder="1" applyAlignment="1">
      <alignment vertical="center" wrapText="1"/>
    </xf>
    <xf numFmtId="167" fontId="43" fillId="25" borderId="0" xfId="0" applyNumberFormat="1" applyFont="1" applyFill="1" applyBorder="1" applyAlignment="1">
      <alignment vertical="center" wrapText="1"/>
    </xf>
    <xf numFmtId="167" fontId="8" fillId="0" borderId="0" xfId="0" applyNumberFormat="1" applyFont="1" applyBorder="1" applyAlignment="1">
      <alignment vertical="center" wrapText="1"/>
    </xf>
    <xf numFmtId="174" fontId="6" fillId="34" borderId="0" xfId="0" applyNumberFormat="1" applyFont="1" applyFill="1" applyBorder="1" applyAlignment="1">
      <alignment vertical="center" wrapText="1"/>
    </xf>
    <xf numFmtId="174" fontId="8" fillId="27" borderId="0" xfId="0" applyNumberFormat="1" applyFont="1" applyFill="1" applyBorder="1" applyAlignment="1">
      <alignment vertical="center" wrapText="1"/>
    </xf>
    <xf numFmtId="0" fontId="6" fillId="0" borderId="0" xfId="306" applyFont="1" applyAlignment="1">
      <alignment horizontal="center" vertical="center" wrapText="1"/>
    </xf>
    <xf numFmtId="0" fontId="10" fillId="0" borderId="0" xfId="303" applyFont="1" applyBorder="1" applyAlignment="1">
      <alignment horizontal="left" vertical="center" indent="1"/>
    </xf>
    <xf numFmtId="0" fontId="6" fillId="0" borderId="15" xfId="303" quotePrefix="1" applyFont="1" applyBorder="1" applyAlignment="1">
      <alignment horizontal="left" vertical="center" wrapText="1" indent="1"/>
    </xf>
    <xf numFmtId="3" fontId="6" fillId="0" borderId="15" xfId="142" applyNumberFormat="1" applyFont="1" applyBorder="1" applyAlignment="1">
      <alignment vertical="center" wrapText="1"/>
    </xf>
    <xf numFmtId="3" fontId="6" fillId="0" borderId="15" xfId="0" applyNumberFormat="1" applyFont="1" applyBorder="1" applyAlignment="1">
      <alignment vertical="center" wrapText="1"/>
    </xf>
    <xf numFmtId="171" fontId="6" fillId="0" borderId="15" xfId="313" applyNumberFormat="1" applyFont="1" applyFill="1" applyBorder="1" applyAlignment="1">
      <alignment horizontal="center" vertical="center"/>
    </xf>
    <xf numFmtId="170" fontId="6" fillId="0" borderId="15" xfId="313" applyNumberFormat="1" applyFont="1" applyBorder="1" applyAlignment="1">
      <alignment vertical="center" wrapText="1"/>
    </xf>
    <xf numFmtId="4" fontId="6" fillId="0" borderId="15" xfId="0" applyNumberFormat="1" applyFont="1" applyBorder="1" applyAlignment="1">
      <alignment vertical="center" wrapText="1"/>
    </xf>
    <xf numFmtId="167" fontId="6" fillId="30" borderId="15" xfId="0" applyNumberFormat="1" applyFont="1" applyFill="1" applyBorder="1" applyAlignment="1">
      <alignment vertical="center" wrapText="1"/>
    </xf>
    <xf numFmtId="167" fontId="10" fillId="30" borderId="15" xfId="0" applyNumberFormat="1" applyFont="1" applyFill="1" applyBorder="1" applyAlignment="1">
      <alignment vertical="center" wrapText="1"/>
    </xf>
    <xf numFmtId="167" fontId="6" fillId="31" borderId="15" xfId="0" applyNumberFormat="1" applyFont="1" applyFill="1" applyBorder="1" applyAlignment="1">
      <alignment vertical="center" wrapText="1"/>
    </xf>
    <xf numFmtId="167" fontId="10" fillId="31" borderId="15" xfId="0" applyNumberFormat="1" applyFont="1" applyFill="1" applyBorder="1" applyAlignment="1">
      <alignment vertical="center" wrapText="1"/>
    </xf>
    <xf numFmtId="3" fontId="8" fillId="0" borderId="15" xfId="0" applyNumberFormat="1" applyFont="1" applyBorder="1" applyAlignment="1">
      <alignment vertical="center" wrapText="1"/>
    </xf>
    <xf numFmtId="0" fontId="18" fillId="0" borderId="15" xfId="303" quotePrefix="1" applyFont="1" applyBorder="1" applyAlignment="1">
      <alignment horizontal="left" vertical="center" wrapText="1" indent="1"/>
    </xf>
    <xf numFmtId="4" fontId="8" fillId="0" borderId="15" xfId="0" applyNumberFormat="1" applyFont="1" applyBorder="1" applyAlignment="1">
      <alignment vertical="center" wrapText="1"/>
    </xf>
    <xf numFmtId="0" fontId="76" fillId="0" borderId="15" xfId="303" quotePrefix="1" applyFont="1" applyBorder="1" applyAlignment="1">
      <alignment horizontal="left" vertical="center" wrapText="1" indent="1"/>
    </xf>
    <xf numFmtId="167" fontId="43" fillId="25" borderId="15" xfId="0" applyNumberFormat="1" applyFont="1" applyFill="1" applyBorder="1" applyAlignment="1">
      <alignment vertical="center" wrapText="1"/>
    </xf>
    <xf numFmtId="174" fontId="6" fillId="30" borderId="15" xfId="0" applyNumberFormat="1" applyFont="1" applyFill="1" applyBorder="1" applyAlignment="1">
      <alignment vertical="center" wrapText="1"/>
    </xf>
    <xf numFmtId="174" fontId="8" fillId="33" borderId="15" xfId="0" applyNumberFormat="1" applyFont="1" applyFill="1" applyBorder="1" applyAlignment="1">
      <alignment vertical="center" wrapText="1"/>
    </xf>
    <xf numFmtId="167" fontId="6" fillId="34" borderId="15" xfId="142" applyNumberFormat="1" applyFont="1" applyFill="1" applyBorder="1" applyAlignment="1">
      <alignment vertical="center" wrapText="1"/>
    </xf>
    <xf numFmtId="174" fontId="6" fillId="29" borderId="15" xfId="0" applyNumberFormat="1" applyFont="1" applyFill="1" applyBorder="1" applyAlignment="1">
      <alignment vertical="center" wrapText="1"/>
    </xf>
    <xf numFmtId="167" fontId="85" fillId="25" borderId="15" xfId="0" applyNumberFormat="1" applyFont="1" applyFill="1" applyBorder="1" applyAlignment="1">
      <alignment vertical="center" wrapText="1"/>
    </xf>
    <xf numFmtId="174" fontId="6" fillId="27" borderId="15" xfId="0" applyNumberFormat="1" applyFont="1" applyFill="1" applyBorder="1" applyAlignment="1">
      <alignment vertical="center" wrapText="1"/>
    </xf>
    <xf numFmtId="167" fontId="6" fillId="0" borderId="15" xfId="0" applyNumberFormat="1" applyFont="1" applyBorder="1" applyAlignment="1">
      <alignment vertical="center" wrapText="1"/>
    </xf>
    <xf numFmtId="174" fontId="6" fillId="0" borderId="15" xfId="142" applyNumberFormat="1" applyFont="1" applyBorder="1" applyAlignment="1">
      <alignment vertical="center" wrapText="1"/>
    </xf>
    <xf numFmtId="174" fontId="8" fillId="27" borderId="15" xfId="0" applyNumberFormat="1" applyFont="1" applyFill="1" applyBorder="1" applyAlignment="1">
      <alignment vertical="center" wrapText="1"/>
    </xf>
    <xf numFmtId="174" fontId="6" fillId="34" borderId="15" xfId="0" applyNumberFormat="1" applyFont="1" applyFill="1" applyBorder="1" applyAlignment="1">
      <alignment vertical="center" wrapText="1"/>
    </xf>
    <xf numFmtId="0" fontId="12" fillId="0" borderId="12" xfId="306" applyFont="1" applyFill="1" applyBorder="1" applyAlignment="1">
      <alignment horizontal="center" vertical="center" wrapText="1"/>
    </xf>
    <xf numFmtId="3" fontId="10" fillId="0" borderId="14" xfId="0" applyNumberFormat="1" applyFont="1" applyFill="1" applyBorder="1" applyAlignment="1">
      <alignment vertical="center" wrapText="1"/>
    </xf>
    <xf numFmtId="0" fontId="10" fillId="0" borderId="0" xfId="306" applyFont="1" applyBorder="1" applyAlignment="1">
      <alignment horizontal="center" vertical="center" wrapText="1"/>
    </xf>
    <xf numFmtId="0" fontId="72" fillId="0" borderId="0" xfId="303" applyFont="1" applyBorder="1" applyAlignment="1">
      <alignment horizontal="left" vertical="center" indent="1"/>
    </xf>
    <xf numFmtId="0" fontId="15" fillId="30" borderId="0" xfId="306" applyFont="1" applyFill="1" applyBorder="1" applyAlignment="1">
      <alignment horizontal="center" vertical="center" wrapText="1"/>
    </xf>
    <xf numFmtId="0" fontId="10" fillId="30" borderId="0" xfId="306" applyFont="1" applyFill="1" applyBorder="1" applyAlignment="1">
      <alignment horizontal="center" vertical="center" wrapText="1"/>
    </xf>
    <xf numFmtId="0" fontId="10" fillId="31" borderId="0" xfId="306" applyFont="1" applyFill="1" applyBorder="1" applyAlignment="1">
      <alignment horizontal="center" vertical="center" wrapText="1"/>
    </xf>
    <xf numFmtId="0" fontId="11" fillId="0" borderId="0" xfId="306" applyFont="1" applyBorder="1" applyAlignment="1">
      <alignment horizontal="left" vertical="center" indent="1"/>
    </xf>
    <xf numFmtId="0" fontId="73" fillId="0" borderId="0" xfId="306" applyFont="1" applyBorder="1" applyAlignment="1">
      <alignment horizontal="left" vertical="center" indent="1"/>
    </xf>
    <xf numFmtId="167" fontId="35" fillId="30" borderId="0" xfId="0" applyNumberFormat="1" applyFont="1" applyFill="1" applyBorder="1" applyAlignment="1">
      <alignment vertical="center" wrapText="1"/>
    </xf>
    <xf numFmtId="0" fontId="76" fillId="0" borderId="0" xfId="303" quotePrefix="1" applyFont="1" applyBorder="1" applyAlignment="1">
      <alignment horizontal="left" vertical="center" wrapText="1" indent="1"/>
    </xf>
    <xf numFmtId="167" fontId="35" fillId="30" borderId="15" xfId="0" applyNumberFormat="1" applyFont="1" applyFill="1" applyBorder="1" applyAlignment="1">
      <alignment vertical="center" wrapText="1"/>
    </xf>
    <xf numFmtId="0" fontId="19" fillId="0" borderId="0" xfId="303" applyFont="1" applyBorder="1" applyAlignment="1">
      <alignment horizontal="left" vertical="center" indent="1"/>
    </xf>
    <xf numFmtId="3" fontId="8" fillId="0" borderId="0" xfId="0" applyNumberFormat="1" applyFont="1" applyBorder="1" applyAlignment="1">
      <alignment vertical="center" wrapText="1"/>
    </xf>
    <xf numFmtId="0" fontId="20" fillId="0" borderId="0" xfId="306" applyFont="1" applyBorder="1" applyAlignment="1">
      <alignment horizontal="left" vertical="center" indent="1"/>
    </xf>
    <xf numFmtId="4" fontId="8" fillId="0" borderId="0" xfId="0" applyNumberFormat="1" applyFont="1" applyBorder="1" applyAlignment="1">
      <alignment vertical="center" wrapText="1"/>
    </xf>
    <xf numFmtId="0" fontId="18" fillId="0" borderId="0" xfId="303" quotePrefix="1" applyFont="1" applyBorder="1" applyAlignment="1">
      <alignment horizontal="left" vertical="center" wrapText="1" indent="1"/>
    </xf>
    <xf numFmtId="167" fontId="8" fillId="30" borderId="0" xfId="0" applyNumberFormat="1" applyFont="1" applyFill="1" applyBorder="1" applyAlignment="1">
      <alignment vertical="center" wrapText="1"/>
    </xf>
    <xf numFmtId="167" fontId="8" fillId="31" borderId="0" xfId="0" applyNumberFormat="1" applyFont="1" applyFill="1" applyBorder="1" applyAlignment="1">
      <alignment vertical="center" wrapText="1"/>
    </xf>
    <xf numFmtId="170" fontId="8" fillId="0" borderId="15" xfId="313" applyNumberFormat="1" applyFont="1" applyBorder="1" applyAlignment="1">
      <alignment vertical="center" wrapText="1"/>
    </xf>
    <xf numFmtId="167" fontId="8" fillId="30" borderId="15" xfId="0" applyNumberFormat="1" applyFont="1" applyFill="1" applyBorder="1" applyAlignment="1">
      <alignment vertical="center" wrapText="1"/>
    </xf>
    <xf numFmtId="167" fontId="8" fillId="31" borderId="15" xfId="0" applyNumberFormat="1" applyFont="1" applyFill="1" applyBorder="1" applyAlignment="1">
      <alignment vertical="center" wrapText="1"/>
    </xf>
    <xf numFmtId="167" fontId="8" fillId="0" borderId="15" xfId="0" applyNumberFormat="1" applyFont="1" applyBorder="1" applyAlignment="1">
      <alignment vertical="center" wrapText="1"/>
    </xf>
    <xf numFmtId="167" fontId="6" fillId="0" borderId="24" xfId="0" applyNumberFormat="1" applyFont="1" applyBorder="1" applyAlignment="1">
      <alignment vertical="center" wrapText="1"/>
    </xf>
    <xf numFmtId="167" fontId="6" fillId="0" borderId="15" xfId="142" applyNumberFormat="1" applyFont="1" applyBorder="1" applyAlignment="1">
      <alignment vertical="center" wrapText="1"/>
    </xf>
    <xf numFmtId="167" fontId="6" fillId="0" borderId="25" xfId="142" applyNumberFormat="1" applyFont="1" applyBorder="1" applyAlignment="1">
      <alignment vertical="center" wrapText="1"/>
    </xf>
    <xf numFmtId="0" fontId="10" fillId="0" borderId="11" xfId="306" applyFont="1" applyFill="1" applyBorder="1" applyAlignment="1">
      <alignment horizontal="center" vertical="center" wrapText="1"/>
    </xf>
    <xf numFmtId="172" fontId="6" fillId="0" borderId="15" xfId="313" applyNumberFormat="1" applyFont="1" applyFill="1" applyBorder="1" applyAlignment="1">
      <alignment horizontal="center" vertical="center"/>
    </xf>
    <xf numFmtId="4" fontId="6" fillId="0" borderId="0" xfId="142" applyNumberFormat="1" applyFont="1" applyBorder="1" applyAlignment="1">
      <alignment vertical="center" wrapText="1"/>
    </xf>
    <xf numFmtId="4" fontId="6" fillId="0" borderId="15" xfId="142" applyNumberFormat="1" applyFont="1" applyBorder="1" applyAlignment="1">
      <alignment vertical="center" wrapText="1"/>
    </xf>
    <xf numFmtId="0" fontId="4" fillId="0" borderId="0" xfId="305" applyBorder="1"/>
    <xf numFmtId="167" fontId="6" fillId="0" borderId="24" xfId="142" applyNumberFormat="1" applyFont="1" applyBorder="1" applyAlignment="1">
      <alignment vertical="center" wrapText="1"/>
    </xf>
    <xf numFmtId="4" fontId="6" fillId="0" borderId="25" xfId="142" applyNumberFormat="1" applyFont="1" applyBorder="1" applyAlignment="1">
      <alignment vertical="center" wrapText="1"/>
    </xf>
    <xf numFmtId="167" fontId="6" fillId="0" borderId="32" xfId="142" applyNumberFormat="1" applyFont="1" applyBorder="1" applyAlignment="1">
      <alignment vertical="center" wrapText="1"/>
    </xf>
    <xf numFmtId="3" fontId="6" fillId="0" borderId="0" xfId="0" applyNumberFormat="1" applyFont="1" applyFill="1" applyAlignment="1">
      <alignment vertical="center" wrapText="1"/>
    </xf>
    <xf numFmtId="3" fontId="6" fillId="0" borderId="13" xfId="0" applyNumberFormat="1" applyFont="1" applyFill="1" applyBorder="1" applyAlignment="1">
      <alignment vertical="center" wrapText="1"/>
    </xf>
    <xf numFmtId="0" fontId="12" fillId="0" borderId="0" xfId="305" applyFont="1" applyBorder="1" applyAlignment="1">
      <alignment horizontal="left" vertical="top" wrapText="1"/>
    </xf>
    <xf numFmtId="0" fontId="26" fillId="0" borderId="0" xfId="305" applyFont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 wrapText="1"/>
    </xf>
    <xf numFmtId="3" fontId="6" fillId="0" borderId="0" xfId="142" applyNumberFormat="1" applyFont="1" applyBorder="1" applyAlignment="1">
      <alignment vertical="center" wrapText="1"/>
    </xf>
    <xf numFmtId="175" fontId="6" fillId="0" borderId="0" xfId="0" applyNumberFormat="1" applyFont="1" applyBorder="1" applyAlignment="1">
      <alignment vertical="center" wrapText="1"/>
    </xf>
    <xf numFmtId="175" fontId="6" fillId="0" borderId="15" xfId="0" applyNumberFormat="1" applyFont="1" applyBorder="1" applyAlignment="1">
      <alignment vertical="center" wrapText="1"/>
    </xf>
    <xf numFmtId="0" fontId="14" fillId="0" borderId="0" xfId="305" applyFont="1" applyBorder="1" applyAlignment="1">
      <alignment horizontal="left" vertical="top" wrapText="1"/>
    </xf>
    <xf numFmtId="0" fontId="23" fillId="0" borderId="0" xfId="303" applyFont="1" applyBorder="1" applyAlignment="1">
      <alignment horizontal="left" vertical="center" indent="1"/>
    </xf>
    <xf numFmtId="0" fontId="25" fillId="0" borderId="0" xfId="306" applyFont="1" applyBorder="1" applyAlignment="1">
      <alignment horizontal="left" vertical="center" indent="1"/>
    </xf>
    <xf numFmtId="0" fontId="8" fillId="0" borderId="0" xfId="303" quotePrefix="1" applyBorder="1" applyAlignment="1">
      <alignment horizontal="left" vertical="center" wrapText="1" indent="1"/>
    </xf>
    <xf numFmtId="0" fontId="24" fillId="0" borderId="0" xfId="303" quotePrefix="1" applyFont="1" applyBorder="1" applyAlignment="1">
      <alignment horizontal="left" vertical="center" wrapText="1" indent="1"/>
    </xf>
    <xf numFmtId="0" fontId="8" fillId="0" borderId="15" xfId="303" quotePrefix="1" applyBorder="1" applyAlignment="1">
      <alignment horizontal="left" vertical="center" wrapText="1" indent="1"/>
    </xf>
    <xf numFmtId="0" fontId="24" fillId="0" borderId="15" xfId="303" quotePrefix="1" applyFont="1" applyBorder="1" applyAlignment="1">
      <alignment horizontal="left" vertical="center" wrapText="1" indent="1"/>
    </xf>
    <xf numFmtId="3" fontId="6" fillId="30" borderId="0" xfId="0" applyNumberFormat="1" applyFont="1" applyFill="1" applyBorder="1" applyAlignment="1">
      <alignment vertical="center" wrapText="1"/>
    </xf>
    <xf numFmtId="3" fontId="6" fillId="30" borderId="15" xfId="0" applyNumberFormat="1" applyFont="1" applyFill="1" applyBorder="1" applyAlignment="1">
      <alignment vertical="center" wrapText="1"/>
    </xf>
    <xf numFmtId="0" fontId="72" fillId="0" borderId="11" xfId="306" applyFont="1" applyBorder="1" applyAlignment="1">
      <alignment horizontal="center" vertical="center" wrapText="1"/>
    </xf>
    <xf numFmtId="0" fontId="74" fillId="0" borderId="0" xfId="306" quotePrefix="1" applyFont="1" applyBorder="1" applyAlignment="1">
      <alignment horizontal="center" vertical="center" wrapText="1"/>
    </xf>
    <xf numFmtId="167" fontId="76" fillId="0" borderId="0" xfId="0" applyNumberFormat="1" applyFont="1" applyBorder="1" applyAlignment="1">
      <alignment vertical="center" wrapText="1"/>
    </xf>
    <xf numFmtId="4" fontId="6" fillId="0" borderId="15" xfId="0" applyNumberFormat="1" applyFont="1" applyBorder="1" applyAlignment="1">
      <alignment horizontal="center" vertical="center" wrapText="1"/>
    </xf>
    <xf numFmtId="167" fontId="76" fillId="0" borderId="15" xfId="0" applyNumberFormat="1" applyFont="1" applyBorder="1" applyAlignment="1">
      <alignment vertical="center" wrapText="1"/>
    </xf>
    <xf numFmtId="0" fontId="12" fillId="0" borderId="0" xfId="306" quotePrefix="1" applyFont="1" applyBorder="1" applyAlignment="1">
      <alignment horizontal="center" vertical="center" wrapText="1"/>
    </xf>
    <xf numFmtId="0" fontId="10" fillId="0" borderId="0" xfId="303" applyFont="1" applyAlignment="1">
      <alignment horizontal="left" vertical="center" indent="1"/>
    </xf>
    <xf numFmtId="0" fontId="10" fillId="0" borderId="11" xfId="303" applyFont="1" applyBorder="1" applyAlignment="1">
      <alignment horizontal="left" vertical="center" indent="1"/>
    </xf>
    <xf numFmtId="0" fontId="10" fillId="0" borderId="12" xfId="303" applyFont="1" applyBorder="1" applyAlignment="1">
      <alignment horizontal="left" vertical="center" indent="1"/>
    </xf>
    <xf numFmtId="0" fontId="28" fillId="0" borderId="11" xfId="303" applyFont="1" applyBorder="1" applyAlignment="1">
      <alignment horizontal="left" vertical="center" indent="1"/>
    </xf>
    <xf numFmtId="0" fontId="28" fillId="0" borderId="0" xfId="303" applyFont="1" applyBorder="1" applyAlignment="1">
      <alignment horizontal="left" vertical="center" indent="1"/>
    </xf>
    <xf numFmtId="0" fontId="10" fillId="0" borderId="11" xfId="305" applyFont="1" applyBorder="1" applyAlignment="1">
      <alignment horizontal="center"/>
    </xf>
    <xf numFmtId="0" fontId="10" fillId="0" borderId="16" xfId="305" applyFont="1" applyBorder="1" applyAlignment="1">
      <alignment horizontal="center"/>
    </xf>
    <xf numFmtId="0" fontId="10" fillId="0" borderId="0" xfId="303" applyFont="1" applyBorder="1" applyAlignment="1">
      <alignment horizontal="left" vertical="center" indent="1"/>
    </xf>
    <xf numFmtId="0" fontId="11" fillId="0" borderId="33" xfId="305" applyFont="1" applyBorder="1" applyAlignment="1">
      <alignment horizontal="center" vertical="center" wrapText="1"/>
    </xf>
    <xf numFmtId="0" fontId="11" fillId="0" borderId="34" xfId="305" applyFont="1" applyBorder="1" applyAlignment="1">
      <alignment horizontal="center" vertical="center" wrapText="1"/>
    </xf>
    <xf numFmtId="0" fontId="11" fillId="0" borderId="35" xfId="305" applyFont="1" applyBorder="1" applyAlignment="1">
      <alignment horizontal="center" vertical="center" wrapText="1"/>
    </xf>
    <xf numFmtId="0" fontId="10" fillId="0" borderId="0" xfId="306" applyFont="1" applyBorder="1" applyAlignment="1">
      <alignment horizontal="center" vertical="center" wrapText="1"/>
    </xf>
    <xf numFmtId="0" fontId="10" fillId="30" borderId="0" xfId="306" applyFont="1" applyFill="1" applyBorder="1" applyAlignment="1">
      <alignment horizontal="center" vertical="center" wrapText="1"/>
    </xf>
    <xf numFmtId="0" fontId="10" fillId="0" borderId="11" xfId="306" applyFont="1" applyBorder="1" applyAlignment="1">
      <alignment horizontal="center" vertical="center" wrapText="1"/>
    </xf>
    <xf numFmtId="0" fontId="10" fillId="0" borderId="0" xfId="306" applyFont="1" applyAlignment="1">
      <alignment horizontal="center" vertical="center" wrapText="1"/>
    </xf>
    <xf numFmtId="0" fontId="10" fillId="0" borderId="11" xfId="306" applyFont="1" applyFill="1" applyBorder="1" applyAlignment="1">
      <alignment horizontal="center" vertical="center" wrapText="1"/>
    </xf>
    <xf numFmtId="0" fontId="10" fillId="0" borderId="0" xfId="306" applyFont="1" applyFill="1" applyAlignment="1">
      <alignment horizontal="center" vertical="center" wrapText="1"/>
    </xf>
    <xf numFmtId="0" fontId="10" fillId="0" borderId="18" xfId="306" applyFont="1" applyBorder="1" applyAlignment="1">
      <alignment horizontal="center" vertical="center" wrapText="1"/>
    </xf>
    <xf numFmtId="0" fontId="15" fillId="30" borderId="0" xfId="306" applyFont="1" applyFill="1" applyBorder="1" applyAlignment="1">
      <alignment horizontal="center" vertical="center" wrapText="1"/>
    </xf>
    <xf numFmtId="0" fontId="10" fillId="31" borderId="11" xfId="305" applyFont="1" applyFill="1" applyBorder="1" applyAlignment="1">
      <alignment horizontal="center"/>
    </xf>
    <xf numFmtId="0" fontId="10" fillId="31" borderId="0" xfId="306" applyFont="1" applyFill="1" applyBorder="1" applyAlignment="1">
      <alignment horizontal="center" vertical="center" wrapText="1"/>
    </xf>
    <xf numFmtId="0" fontId="10" fillId="30" borderId="18" xfId="306" applyFont="1" applyFill="1" applyBorder="1" applyAlignment="1">
      <alignment horizontal="center" vertical="center" wrapText="1"/>
    </xf>
    <xf numFmtId="0" fontId="10" fillId="0" borderId="0" xfId="305" applyFont="1" applyAlignment="1">
      <alignment horizontal="center"/>
    </xf>
    <xf numFmtId="0" fontId="10" fillId="30" borderId="0" xfId="306" applyFont="1" applyFill="1" applyAlignment="1">
      <alignment horizontal="center" vertical="center" wrapText="1"/>
    </xf>
    <xf numFmtId="0" fontId="15" fillId="30" borderId="0" xfId="306" applyFont="1" applyFill="1" applyAlignment="1">
      <alignment horizontal="center" vertical="center" wrapText="1"/>
    </xf>
    <xf numFmtId="0" fontId="10" fillId="31" borderId="0" xfId="306" applyFont="1" applyFill="1" applyAlignment="1">
      <alignment horizontal="center" vertical="center" wrapText="1"/>
    </xf>
    <xf numFmtId="0" fontId="10" fillId="31" borderId="16" xfId="305" applyFont="1" applyFill="1" applyBorder="1" applyAlignment="1">
      <alignment horizontal="center"/>
    </xf>
    <xf numFmtId="0" fontId="10" fillId="30" borderId="16" xfId="305" applyFont="1" applyFill="1" applyBorder="1" applyAlignment="1">
      <alignment horizontal="center"/>
    </xf>
    <xf numFmtId="0" fontId="10" fillId="31" borderId="12" xfId="306" applyFont="1" applyFill="1" applyBorder="1" applyAlignment="1">
      <alignment horizontal="center" vertical="center" wrapText="1"/>
    </xf>
    <xf numFmtId="0" fontId="87" fillId="0" borderId="0" xfId="142" applyFont="1" applyAlignment="1">
      <alignment horizontal="left" vertical="top" wrapText="1"/>
    </xf>
    <xf numFmtId="174" fontId="88" fillId="0" borderId="0" xfId="142" applyNumberFormat="1" applyFont="1" applyAlignment="1">
      <alignment horizontal="left" wrapText="1"/>
    </xf>
    <xf numFmtId="174" fontId="6" fillId="0" borderId="0" xfId="142" applyNumberFormat="1" applyFont="1" applyAlignment="1">
      <alignment horizontal="left" wrapText="1"/>
    </xf>
    <xf numFmtId="0" fontId="47" fillId="0" borderId="0" xfId="142" applyFont="1" applyAlignment="1">
      <alignment horizontal="center" vertical="center" wrapText="1"/>
    </xf>
    <xf numFmtId="0" fontId="10" fillId="0" borderId="19" xfId="305" applyFont="1" applyBorder="1" applyAlignment="1">
      <alignment horizontal="center" vertical="center" wrapText="1"/>
    </xf>
    <xf numFmtId="174" fontId="6" fillId="0" borderId="0" xfId="0" applyNumberFormat="1" applyFont="1" applyAlignment="1">
      <alignment horizontal="left"/>
    </xf>
    <xf numFmtId="174" fontId="6" fillId="0" borderId="0" xfId="0" applyNumberFormat="1" applyFont="1" applyAlignment="1">
      <alignment horizontal="left" wrapText="1"/>
    </xf>
  </cellXfs>
  <cellStyles count="349">
    <cellStyle name="20 % - Accent1 2" xfId="1"/>
    <cellStyle name="20 % - Accent1 3" xfId="2"/>
    <cellStyle name="20 % - Accent2 2" xfId="3"/>
    <cellStyle name="20 % - Accent2 3" xfId="4"/>
    <cellStyle name="20 % - Accent3 2" xfId="5"/>
    <cellStyle name="20 % - Accent3 3" xfId="6"/>
    <cellStyle name="20 % - Accent4 2" xfId="7"/>
    <cellStyle name="20 % - Accent4 3" xfId="8"/>
    <cellStyle name="20 % - Accent5 2" xfId="9"/>
    <cellStyle name="20 % - Accent5 3" xfId="10"/>
    <cellStyle name="20 % - Accent6 2" xfId="11"/>
    <cellStyle name="20 % - Accent6 3" xfId="12"/>
    <cellStyle name="20% - Accent1" xfId="13"/>
    <cellStyle name="20% - Accent2" xfId="14"/>
    <cellStyle name="20% - Accent3" xfId="15"/>
    <cellStyle name="20% - Accent4" xfId="16"/>
    <cellStyle name="20% - Accent5" xfId="17"/>
    <cellStyle name="20% - Accent6" xfId="18"/>
    <cellStyle name="40 % - Accent1 2" xfId="19"/>
    <cellStyle name="40 % - Accent1 3" xfId="20"/>
    <cellStyle name="40 % - Accent2 2" xfId="21"/>
    <cellStyle name="40 % - Accent2 3" xfId="22"/>
    <cellStyle name="40 % - Accent3 2" xfId="23"/>
    <cellStyle name="40 % - Accent3 3" xfId="24"/>
    <cellStyle name="40 % - Accent4 2" xfId="25"/>
    <cellStyle name="40 % - Accent4 3" xfId="26"/>
    <cellStyle name="40 % - Accent5 2" xfId="27"/>
    <cellStyle name="40 % - Accent5 3" xfId="28"/>
    <cellStyle name="40 % - Accent6 2" xfId="29"/>
    <cellStyle name="40 % - Accent6 3" xfId="30"/>
    <cellStyle name="40% - Accent1" xfId="31"/>
    <cellStyle name="40% - Accent2" xfId="32"/>
    <cellStyle name="40% - Accent3" xfId="33"/>
    <cellStyle name="40% - Accent4" xfId="34"/>
    <cellStyle name="40% - Accent5" xfId="35"/>
    <cellStyle name="40% - Accent6" xfId="36"/>
    <cellStyle name="60 % - Accent1 2" xfId="37"/>
    <cellStyle name="60 % - Accent1 3" xfId="38"/>
    <cellStyle name="60 % - Accent2 2" xfId="39"/>
    <cellStyle name="60 % - Accent2 3" xfId="40"/>
    <cellStyle name="60 % - Accent3 2" xfId="41"/>
    <cellStyle name="60 % - Accent3 3" xfId="42"/>
    <cellStyle name="60 % - Accent4 2" xfId="43"/>
    <cellStyle name="60 % - Accent4 3" xfId="44"/>
    <cellStyle name="60 % - Accent5 2" xfId="45"/>
    <cellStyle name="60 % - Accent5 3" xfId="46"/>
    <cellStyle name="60 % - Accent6 2" xfId="47"/>
    <cellStyle name="60 % - Accent6 3" xfId="48"/>
    <cellStyle name="60% - Accent1" xfId="49"/>
    <cellStyle name="60% - Accent2" xfId="50"/>
    <cellStyle name="60% - Accent3" xfId="51"/>
    <cellStyle name="60% - Accent4" xfId="52"/>
    <cellStyle name="60% - Accent5" xfId="53"/>
    <cellStyle name="60% - Accent6" xfId="54"/>
    <cellStyle name="Accent1 2" xfId="55"/>
    <cellStyle name="Accent1 3" xfId="56"/>
    <cellStyle name="Accent2 2" xfId="57"/>
    <cellStyle name="Accent2 3" xfId="58"/>
    <cellStyle name="Accent3 2" xfId="59"/>
    <cellStyle name="Accent3 3" xfId="60"/>
    <cellStyle name="Accent4 2" xfId="61"/>
    <cellStyle name="Accent4 3" xfId="62"/>
    <cellStyle name="Accent5 2" xfId="63"/>
    <cellStyle name="Accent5 3" xfId="64"/>
    <cellStyle name="Accent6 2" xfId="65"/>
    <cellStyle name="Accent6 3" xfId="66"/>
    <cellStyle name="arron" xfId="67"/>
    <cellStyle name="Avertissement 2" xfId="68"/>
    <cellStyle name="Avertissement 3" xfId="69"/>
    <cellStyle name="Bad" xfId="70"/>
    <cellStyle name="Calcul 2" xfId="71"/>
    <cellStyle name="Calcul 3" xfId="72"/>
    <cellStyle name="Calculation" xfId="73"/>
    <cellStyle name="Cellule liée 2" xfId="74"/>
    <cellStyle name="Cellule liée 3" xfId="75"/>
    <cellStyle name="Check Cell" xfId="76"/>
    <cellStyle name="Comma [0]" xfId="77"/>
    <cellStyle name="Comma [0] 2" xfId="78"/>
    <cellStyle name="Commentaire 2" xfId="79"/>
    <cellStyle name="Commentaire 3" xfId="80"/>
    <cellStyle name="Commentaire 4" xfId="81"/>
    <cellStyle name="Currency [0]" xfId="82"/>
    <cellStyle name="Currency [0] 2" xfId="83"/>
    <cellStyle name="Entrée 2" xfId="84"/>
    <cellStyle name="Entrée 3" xfId="85"/>
    <cellStyle name="Euro" xfId="86"/>
    <cellStyle name="Euro 2" xfId="87"/>
    <cellStyle name="Euro 2 2" xfId="88"/>
    <cellStyle name="Euro 2 3" xfId="89"/>
    <cellStyle name="Euro 3" xfId="90"/>
    <cellStyle name="Euro 4" xfId="91"/>
    <cellStyle name="Euro 5" xfId="92"/>
    <cellStyle name="Explanatory Text" xfId="93"/>
    <cellStyle name="Good" xfId="94"/>
    <cellStyle name="Heading 1" xfId="95"/>
    <cellStyle name="Heading 2" xfId="96"/>
    <cellStyle name="Heading 3" xfId="97"/>
    <cellStyle name="Heading 4" xfId="98"/>
    <cellStyle name="Input" xfId="99"/>
    <cellStyle name="Insatisfaisant 2" xfId="100"/>
    <cellStyle name="Insatisfaisant 3" xfId="101"/>
    <cellStyle name="Linked Cell" xfId="102"/>
    <cellStyle name="Milliers 10" xfId="103"/>
    <cellStyle name="Milliers 11" xfId="104"/>
    <cellStyle name="Milliers 12" xfId="105"/>
    <cellStyle name="Milliers 2" xfId="106"/>
    <cellStyle name="Milliers 2 2" xfId="107"/>
    <cellStyle name="Milliers 2 2 2" xfId="108"/>
    <cellStyle name="Milliers 2 3" xfId="109"/>
    <cellStyle name="Milliers 2 4" xfId="110"/>
    <cellStyle name="Milliers 2 5" xfId="111"/>
    <cellStyle name="Milliers 2 6" xfId="112"/>
    <cellStyle name="Milliers 2 7" xfId="113"/>
    <cellStyle name="Milliers 3" xfId="114"/>
    <cellStyle name="Milliers 4" xfId="115"/>
    <cellStyle name="Milliers 5" xfId="116"/>
    <cellStyle name="Milliers 6" xfId="117"/>
    <cellStyle name="Milliers 7" xfId="118"/>
    <cellStyle name="Milliers 7 2" xfId="119"/>
    <cellStyle name="Milliers 8" xfId="120"/>
    <cellStyle name="Milliers 9" xfId="121"/>
    <cellStyle name="Milliers 9 2" xfId="122"/>
    <cellStyle name="Milliers 9 3" xfId="123"/>
    <cellStyle name="Monétaire" xfId="124" builtinId="4"/>
    <cellStyle name="Monétaire 2" xfId="125"/>
    <cellStyle name="Monétaire 3" xfId="126"/>
    <cellStyle name="Monétaire 4" xfId="127"/>
    <cellStyle name="Monétaire 5" xfId="128"/>
    <cellStyle name="Monétaire 5 2" xfId="129"/>
    <cellStyle name="Monétaire 5 3" xfId="130"/>
    <cellStyle name="Monétaire 6" xfId="131"/>
    <cellStyle name="Monétaire 7" xfId="132"/>
    <cellStyle name="Monétaire 8" xfId="133"/>
    <cellStyle name="Monétaire_Feuil1" xfId="134"/>
    <cellStyle name="Neutral" xfId="135"/>
    <cellStyle name="Neutre 2" xfId="136"/>
    <cellStyle name="Neutre 3" xfId="137"/>
    <cellStyle name="Non défini" xfId="138"/>
    <cellStyle name="Non défini 2" xfId="139"/>
    <cellStyle name="Non défini 3" xfId="140"/>
    <cellStyle name="Non défini 4" xfId="141"/>
    <cellStyle name="Normal" xfId="0" builtinId="0"/>
    <cellStyle name="Normal 10" xfId="142"/>
    <cellStyle name="Normal 11" xfId="143"/>
    <cellStyle name="Normal 12" xfId="144"/>
    <cellStyle name="Normal 12 2" xfId="145"/>
    <cellStyle name="Normal 12 2 2" xfId="146"/>
    <cellStyle name="Normal 12 2 3" xfId="147"/>
    <cellStyle name="Normal 12 2 4" xfId="148"/>
    <cellStyle name="Normal 12 3" xfId="149"/>
    <cellStyle name="Normal 12 4" xfId="150"/>
    <cellStyle name="Normal 12 5" xfId="151"/>
    <cellStyle name="Normal 13" xfId="152"/>
    <cellStyle name="Normal 14" xfId="153"/>
    <cellStyle name="Normal 2" xfId="154"/>
    <cellStyle name="Normal 2 2" xfId="155"/>
    <cellStyle name="Normal 2 2 2" xfId="156"/>
    <cellStyle name="Normal 2 3" xfId="157"/>
    <cellStyle name="Normal 2 4" xfId="158"/>
    <cellStyle name="Normal 2 5" xfId="159"/>
    <cellStyle name="Normal 2 6" xfId="160"/>
    <cellStyle name="Normal 3" xfId="161"/>
    <cellStyle name="Normal 3 2" xfId="162"/>
    <cellStyle name="Normal 3 3" xfId="163"/>
    <cellStyle name="Normal 3 4" xfId="164"/>
    <cellStyle name="Normal 4" xfId="165"/>
    <cellStyle name="Normal 4 10" xfId="166"/>
    <cellStyle name="Normal 4 2" xfId="167"/>
    <cellStyle name="Normal 4 3" xfId="168"/>
    <cellStyle name="Normal 4 3 2" xfId="169"/>
    <cellStyle name="Normal 4 3 2 2" xfId="170"/>
    <cellStyle name="Normal 4 3 2 2 2" xfId="171"/>
    <cellStyle name="Normal 4 3 2 2 2 2" xfId="172"/>
    <cellStyle name="Normal 4 3 2 2 2 2 2" xfId="173"/>
    <cellStyle name="Normal 4 3 2 2 2 2 3" xfId="174"/>
    <cellStyle name="Normal 4 3 2 2 2 2 4" xfId="175"/>
    <cellStyle name="Normal 4 3 2 2 2 3" xfId="176"/>
    <cellStyle name="Normal 4 3 2 2 2 4" xfId="177"/>
    <cellStyle name="Normal 4 3 2 2 2 5" xfId="178"/>
    <cellStyle name="Normal 4 3 2 2 3" xfId="179"/>
    <cellStyle name="Normal 4 3 2 2 3 2" xfId="180"/>
    <cellStyle name="Normal 4 3 2 2 3 3" xfId="181"/>
    <cellStyle name="Normal 4 3 2 2 3 4" xfId="182"/>
    <cellStyle name="Normal 4 3 2 2 4" xfId="183"/>
    <cellStyle name="Normal 4 3 2 2 5" xfId="184"/>
    <cellStyle name="Normal 4 3 2 2 6" xfId="185"/>
    <cellStyle name="Normal 4 3 2 2 7" xfId="186"/>
    <cellStyle name="Normal 4 3 2 3" xfId="187"/>
    <cellStyle name="Normal 4 3 2 3 2" xfId="188"/>
    <cellStyle name="Normal 4 3 2 3 2 2" xfId="189"/>
    <cellStyle name="Normal 4 3 2 3 2 3" xfId="190"/>
    <cellStyle name="Normal 4 3 2 3 2 4" xfId="191"/>
    <cellStyle name="Normal 4 3 2 3 3" xfId="192"/>
    <cellStyle name="Normal 4 3 2 3 4" xfId="193"/>
    <cellStyle name="Normal 4 3 2 3 5" xfId="194"/>
    <cellStyle name="Normal 4 3 2 4" xfId="195"/>
    <cellStyle name="Normal 4 3 2 4 2" xfId="196"/>
    <cellStyle name="Normal 4 3 2 4 3" xfId="197"/>
    <cellStyle name="Normal 4 3 2 4 4" xfId="198"/>
    <cellStyle name="Normal 4 3 2 5" xfId="199"/>
    <cellStyle name="Normal 4 3 2 6" xfId="200"/>
    <cellStyle name="Normal 4 3 2 7" xfId="201"/>
    <cellStyle name="Normal 4 3 2 8" xfId="202"/>
    <cellStyle name="Normal 4 3 3" xfId="203"/>
    <cellStyle name="Normal 4 3 3 2" xfId="204"/>
    <cellStyle name="Normal 4 3 3 2 2" xfId="205"/>
    <cellStyle name="Normal 4 3 3 2 2 2" xfId="206"/>
    <cellStyle name="Normal 4 3 3 2 2 3" xfId="207"/>
    <cellStyle name="Normal 4 3 3 2 2 4" xfId="208"/>
    <cellStyle name="Normal 4 3 3 2 3" xfId="209"/>
    <cellStyle name="Normal 4 3 3 2 4" xfId="210"/>
    <cellStyle name="Normal 4 3 3 2 5" xfId="211"/>
    <cellStyle name="Normal 4 3 3 3" xfId="212"/>
    <cellStyle name="Normal 4 3 3 3 2" xfId="213"/>
    <cellStyle name="Normal 4 3 3 3 3" xfId="214"/>
    <cellStyle name="Normal 4 3 3 3 4" xfId="215"/>
    <cellStyle name="Normal 4 3 3 4" xfId="216"/>
    <cellStyle name="Normal 4 3 3 5" xfId="217"/>
    <cellStyle name="Normal 4 3 3 6" xfId="218"/>
    <cellStyle name="Normal 4 3 3 7" xfId="219"/>
    <cellStyle name="Normal 4 3 4" xfId="220"/>
    <cellStyle name="Normal 4 3 4 2" xfId="221"/>
    <cellStyle name="Normal 4 3 4 2 2" xfId="222"/>
    <cellStyle name="Normal 4 3 4 2 3" xfId="223"/>
    <cellStyle name="Normal 4 3 4 2 4" xfId="224"/>
    <cellStyle name="Normal 4 3 4 3" xfId="225"/>
    <cellStyle name="Normal 4 3 4 4" xfId="226"/>
    <cellStyle name="Normal 4 3 4 5" xfId="227"/>
    <cellStyle name="Normal 4 3 5" xfId="228"/>
    <cellStyle name="Normal 4 3 5 2" xfId="229"/>
    <cellStyle name="Normal 4 3 5 3" xfId="230"/>
    <cellStyle name="Normal 4 3 5 4" xfId="231"/>
    <cellStyle name="Normal 4 3 6" xfId="232"/>
    <cellStyle name="Normal 4 3 7" xfId="233"/>
    <cellStyle name="Normal 4 3 8" xfId="234"/>
    <cellStyle name="Normal 4 3 9" xfId="235"/>
    <cellStyle name="Normal 4 4" xfId="236"/>
    <cellStyle name="Normal 4 4 2" xfId="237"/>
    <cellStyle name="Normal 4 4 2 2" xfId="238"/>
    <cellStyle name="Normal 4 4 2 2 2" xfId="239"/>
    <cellStyle name="Normal 4 4 2 2 2 2" xfId="240"/>
    <cellStyle name="Normal 4 4 2 2 2 3" xfId="241"/>
    <cellStyle name="Normal 4 4 2 2 2 4" xfId="242"/>
    <cellStyle name="Normal 4 4 2 2 3" xfId="243"/>
    <cellStyle name="Normal 4 4 2 2 4" xfId="244"/>
    <cellStyle name="Normal 4 4 2 2 5" xfId="245"/>
    <cellStyle name="Normal 4 4 2 3" xfId="246"/>
    <cellStyle name="Normal 4 4 2 3 2" xfId="247"/>
    <cellStyle name="Normal 4 4 2 3 3" xfId="248"/>
    <cellStyle name="Normal 4 4 2 3 4" xfId="249"/>
    <cellStyle name="Normal 4 4 2 4" xfId="250"/>
    <cellStyle name="Normal 4 4 2 5" xfId="251"/>
    <cellStyle name="Normal 4 4 2 6" xfId="252"/>
    <cellStyle name="Normal 4 4 2 7" xfId="253"/>
    <cellStyle name="Normal 4 4 3" xfId="254"/>
    <cellStyle name="Normal 4 4 3 2" xfId="255"/>
    <cellStyle name="Normal 4 4 3 2 2" xfId="256"/>
    <cellStyle name="Normal 4 4 3 2 3" xfId="257"/>
    <cellStyle name="Normal 4 4 3 2 4" xfId="258"/>
    <cellStyle name="Normal 4 4 3 3" xfId="259"/>
    <cellStyle name="Normal 4 4 3 4" xfId="260"/>
    <cellStyle name="Normal 4 4 3 5" xfId="261"/>
    <cellStyle name="Normal 4 4 4" xfId="262"/>
    <cellStyle name="Normal 4 4 4 2" xfId="263"/>
    <cellStyle name="Normal 4 4 4 3" xfId="264"/>
    <cellStyle name="Normal 4 4 4 4" xfId="265"/>
    <cellStyle name="Normal 4 4 5" xfId="266"/>
    <cellStyle name="Normal 4 4 6" xfId="267"/>
    <cellStyle name="Normal 4 4 7" xfId="268"/>
    <cellStyle name="Normal 4 4 8" xfId="269"/>
    <cellStyle name="Normal 4 5" xfId="270"/>
    <cellStyle name="Normal 4 5 2" xfId="271"/>
    <cellStyle name="Normal 4 5 2 2" xfId="272"/>
    <cellStyle name="Normal 4 5 2 2 2" xfId="273"/>
    <cellStyle name="Normal 4 5 2 2 3" xfId="274"/>
    <cellStyle name="Normal 4 5 2 2 4" xfId="275"/>
    <cellStyle name="Normal 4 5 2 3" xfId="276"/>
    <cellStyle name="Normal 4 5 2 4" xfId="277"/>
    <cellStyle name="Normal 4 5 2 5" xfId="278"/>
    <cellStyle name="Normal 4 5 3" xfId="279"/>
    <cellStyle name="Normal 4 5 3 2" xfId="280"/>
    <cellStyle name="Normal 4 5 3 3" xfId="281"/>
    <cellStyle name="Normal 4 5 3 4" xfId="282"/>
    <cellStyle name="Normal 4 5 4" xfId="283"/>
    <cellStyle name="Normal 4 5 5" xfId="284"/>
    <cellStyle name="Normal 4 5 6" xfId="285"/>
    <cellStyle name="Normal 4 5 7" xfId="286"/>
    <cellStyle name="Normal 4 6" xfId="287"/>
    <cellStyle name="Normal 4 6 2" xfId="288"/>
    <cellStyle name="Normal 4 6 3" xfId="289"/>
    <cellStyle name="Normal 4 6 4" xfId="290"/>
    <cellStyle name="Normal 4 7" xfId="291"/>
    <cellStyle name="Normal 4 8" xfId="292"/>
    <cellStyle name="Normal 4 9" xfId="293"/>
    <cellStyle name="Normal 5" xfId="294"/>
    <cellStyle name="Normal 6" xfId="295"/>
    <cellStyle name="Normal 7" xfId="296"/>
    <cellStyle name="Normal 8" xfId="297"/>
    <cellStyle name="Normal 8 2" xfId="298"/>
    <cellStyle name="Normal 8 3" xfId="299"/>
    <cellStyle name="Normal 9" xfId="300"/>
    <cellStyle name="Normal 9 2" xfId="301"/>
    <cellStyle name="Normal_Classeur3" xfId="302"/>
    <cellStyle name="Normal_explication_écart_pour_budget" xfId="303"/>
    <cellStyle name="Normal_FL15_TX_Variation tx arrond_20141031_MG" xfId="304"/>
    <cellStyle name="Normal_Historique 2006-2012 et taux 2013_FINAL" xfId="305"/>
    <cellStyle name="Normal_Volet fiscalité 2010_20100109" xfId="306"/>
    <cellStyle name="Note" xfId="307"/>
    <cellStyle name="Note 2" xfId="308"/>
    <cellStyle name="Note 2 2" xfId="309"/>
    <cellStyle name="Note 3" xfId="310"/>
    <cellStyle name="Note 4" xfId="311"/>
    <cellStyle name="Output" xfId="312"/>
    <cellStyle name="Pourcentage" xfId="313" builtinId="5"/>
    <cellStyle name="Pourcentage 2" xfId="314"/>
    <cellStyle name="Pourcentage 3" xfId="315"/>
    <cellStyle name="Pourcentage 3 2" xfId="316"/>
    <cellStyle name="Pourcentage 3 3" xfId="317"/>
    <cellStyle name="Pourcentage 4" xfId="318"/>
    <cellStyle name="Pourcentage 5" xfId="319"/>
    <cellStyle name="Pourcentage 5 2" xfId="320"/>
    <cellStyle name="Pourcentage 6" xfId="321"/>
    <cellStyle name="Pourcentage 6 2" xfId="322"/>
    <cellStyle name="Pourcentage 7" xfId="323"/>
    <cellStyle name="Pourcentage 8" xfId="324"/>
    <cellStyle name="Pourcentage 9" xfId="325"/>
    <cellStyle name="Satisfaisant 2" xfId="326"/>
    <cellStyle name="Satisfaisant 3" xfId="327"/>
    <cellStyle name="Sortie 2" xfId="328"/>
    <cellStyle name="Sortie 3" xfId="329"/>
    <cellStyle name="Texte explicatif 2" xfId="330"/>
    <cellStyle name="Texte explicatif 3" xfId="331"/>
    <cellStyle name="Title" xfId="332"/>
    <cellStyle name="Titre 2" xfId="333"/>
    <cellStyle name="Titre 3" xfId="334"/>
    <cellStyle name="Titre 1 2" xfId="335"/>
    <cellStyle name="Titre 1 3" xfId="336"/>
    <cellStyle name="Titre 2 2" xfId="337"/>
    <cellStyle name="Titre 2 3" xfId="338"/>
    <cellStyle name="Titre 3 2" xfId="339"/>
    <cellStyle name="Titre 3 3" xfId="340"/>
    <cellStyle name="Titre 4 2" xfId="341"/>
    <cellStyle name="Titre 4 3" xfId="342"/>
    <cellStyle name="Total 2" xfId="343"/>
    <cellStyle name="Total 3" xfId="344"/>
    <cellStyle name="ubvention de fonctionnment au CIT" xfId="345"/>
    <cellStyle name="Vérification 2" xfId="346"/>
    <cellStyle name="Vérification 3" xfId="347"/>
    <cellStyle name="Warning Text" xfId="34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2</xdr:row>
      <xdr:rowOff>342900</xdr:rowOff>
    </xdr:from>
    <xdr:to>
      <xdr:col>37</xdr:col>
      <xdr:colOff>9525</xdr:colOff>
      <xdr:row>30</xdr:row>
      <xdr:rowOff>209550</xdr:rowOff>
    </xdr:to>
    <xdr:sp macro="" textlink="">
      <xdr:nvSpPr>
        <xdr:cNvPr id="2049" name="AutoShape 1"/>
        <xdr:cNvSpPr>
          <a:spLocks/>
        </xdr:cNvSpPr>
      </xdr:nvSpPr>
      <xdr:spPr bwMode="auto">
        <a:xfrm rot="5400000">
          <a:off x="26627138" y="3262312"/>
          <a:ext cx="5429250" cy="9525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ification/Fiscal/Planif_2006/Fiscalit&#233;_eau/Simulation/variation_2005-2004_statut_quo_ville%20centra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ification/Fiscal/Observatoire/variations%20charges%202001-2005-v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ification/Fiscal/Planif_2003/Modele_macro/base_s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if/Fiscal/Planif_2017/Mandats%20et%20demandes%20diverses/VLS&#233;/Compensation%20vignettes%202017/Vignettes%20403%20-%20R&#233;partition%20des%20revenus%2020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ification/Fiscal/Planif_2004/Modele_macro/assiette_s&#233;par&#233;e/tableau_d&#233;riv&#233;_model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urce_tranches"/>
      <sheetName val="Source_tranches (2)"/>
      <sheetName val="Graphique_var"/>
      <sheetName val="Source_SAS"/>
      <sheetName val="Tableau_charges_secteur"/>
      <sheetName val="Tr_secteurs"/>
      <sheetName val="Tableau_charges_arrond"/>
      <sheetName val="Tr_arrond"/>
      <sheetName val="Feuil1"/>
    </sheetNames>
    <sheetDataSet>
      <sheetData sheetId="0">
        <row r="6">
          <cell r="C6" t="str">
            <v>Baisse</v>
          </cell>
          <cell r="D6" t="str">
            <v>0 % à 2,1 %</v>
          </cell>
          <cell r="E6" t="str">
            <v>2,1 % à 5,0 %</v>
          </cell>
          <cell r="F6" t="str">
            <v>5,0 % à 10 %</v>
          </cell>
          <cell r="G6" t="str">
            <v>10 % et plus</v>
          </cell>
          <cell r="H6" t="str">
            <v>Total</v>
          </cell>
        </row>
        <row r="7">
          <cell r="B7" t="str">
            <v>Anjou</v>
          </cell>
          <cell r="C7">
            <v>9355</v>
          </cell>
          <cell r="D7">
            <v>981</v>
          </cell>
          <cell r="E7">
            <v>242</v>
          </cell>
          <cell r="F7">
            <v>49</v>
          </cell>
          <cell r="G7">
            <v>5</v>
          </cell>
          <cell r="H7">
            <v>10632</v>
          </cell>
        </row>
        <row r="8">
          <cell r="B8" t="str">
            <v>Baie d'Urfé</v>
          </cell>
          <cell r="D8">
            <v>3</v>
          </cell>
          <cell r="E8">
            <v>14</v>
          </cell>
          <cell r="F8">
            <v>1381</v>
          </cell>
          <cell r="G8">
            <v>44</v>
          </cell>
          <cell r="H8">
            <v>1442</v>
          </cell>
        </row>
        <row r="9">
          <cell r="B9" t="str">
            <v>Beaconsfield</v>
          </cell>
          <cell r="C9">
            <v>1582</v>
          </cell>
          <cell r="D9">
            <v>3394</v>
          </cell>
          <cell r="E9">
            <v>1465</v>
          </cell>
          <cell r="F9">
            <v>19</v>
          </cell>
          <cell r="G9">
            <v>4</v>
          </cell>
          <cell r="H9">
            <v>6464</v>
          </cell>
        </row>
        <row r="10">
          <cell r="B10" t="str">
            <v>Côte-Saint-Luc</v>
          </cell>
          <cell r="C10">
            <v>334</v>
          </cell>
          <cell r="D10">
            <v>1761</v>
          </cell>
          <cell r="E10">
            <v>3472</v>
          </cell>
          <cell r="F10">
            <v>2363</v>
          </cell>
          <cell r="G10">
            <v>41</v>
          </cell>
          <cell r="H10">
            <v>7971</v>
          </cell>
        </row>
        <row r="11">
          <cell r="B11" t="str">
            <v>Dollard-des-Ormeaux</v>
          </cell>
          <cell r="C11">
            <v>5741</v>
          </cell>
          <cell r="D11">
            <v>6665</v>
          </cell>
          <cell r="E11">
            <v>1151</v>
          </cell>
          <cell r="F11">
            <v>84</v>
          </cell>
          <cell r="G11">
            <v>13</v>
          </cell>
          <cell r="H11">
            <v>13654</v>
          </cell>
        </row>
        <row r="12">
          <cell r="B12" t="str">
            <v>Dorval</v>
          </cell>
          <cell r="C12">
            <v>2033</v>
          </cell>
          <cell r="D12">
            <v>1262</v>
          </cell>
          <cell r="E12">
            <v>1706</v>
          </cell>
          <cell r="F12">
            <v>201</v>
          </cell>
          <cell r="G12">
            <v>23</v>
          </cell>
          <cell r="H12">
            <v>5225</v>
          </cell>
        </row>
        <row r="13">
          <cell r="B13" t="str">
            <v>Hampstead</v>
          </cell>
          <cell r="C13">
            <v>40</v>
          </cell>
          <cell r="D13">
            <v>261</v>
          </cell>
          <cell r="E13">
            <v>414</v>
          </cell>
          <cell r="F13">
            <v>1087</v>
          </cell>
          <cell r="G13">
            <v>7</v>
          </cell>
          <cell r="H13">
            <v>1809</v>
          </cell>
        </row>
        <row r="14">
          <cell r="B14" t="str">
            <v>L'Ile-Bizard</v>
          </cell>
          <cell r="C14">
            <v>176</v>
          </cell>
          <cell r="D14">
            <v>116</v>
          </cell>
          <cell r="E14">
            <v>2525</v>
          </cell>
          <cell r="F14">
            <v>1740</v>
          </cell>
          <cell r="G14">
            <v>177</v>
          </cell>
          <cell r="H14">
            <v>4734</v>
          </cell>
        </row>
        <row r="15">
          <cell r="B15" t="str">
            <v>L'Ile-Dorval</v>
          </cell>
          <cell r="C15">
            <v>73</v>
          </cell>
          <cell r="H15">
            <v>73</v>
          </cell>
        </row>
        <row r="16">
          <cell r="B16" t="str">
            <v>Kirkland</v>
          </cell>
          <cell r="C16">
            <v>188</v>
          </cell>
          <cell r="D16">
            <v>1361</v>
          </cell>
          <cell r="E16">
            <v>4884</v>
          </cell>
          <cell r="F16">
            <v>132</v>
          </cell>
          <cell r="G16">
            <v>4</v>
          </cell>
          <cell r="H16">
            <v>6569</v>
          </cell>
        </row>
        <row r="17">
          <cell r="B17" t="str">
            <v>LaSalle</v>
          </cell>
          <cell r="C17">
            <v>13001</v>
          </cell>
          <cell r="D17">
            <v>2140</v>
          </cell>
          <cell r="E17">
            <v>312</v>
          </cell>
          <cell r="F17">
            <v>21</v>
          </cell>
          <cell r="G17">
            <v>14</v>
          </cell>
          <cell r="H17">
            <v>15488</v>
          </cell>
        </row>
        <row r="18">
          <cell r="B18" t="str">
            <v>Mont-Royal</v>
          </cell>
          <cell r="C18">
            <v>75</v>
          </cell>
          <cell r="D18">
            <v>155</v>
          </cell>
          <cell r="E18">
            <v>1094</v>
          </cell>
          <cell r="F18">
            <v>3280</v>
          </cell>
          <cell r="G18">
            <v>281</v>
          </cell>
          <cell r="H18">
            <v>4885</v>
          </cell>
        </row>
        <row r="19">
          <cell r="B19" t="str">
            <v>Montréal-Est</v>
          </cell>
          <cell r="C19">
            <v>29</v>
          </cell>
          <cell r="D19">
            <v>249</v>
          </cell>
          <cell r="E19">
            <v>487</v>
          </cell>
          <cell r="F19">
            <v>102</v>
          </cell>
          <cell r="G19">
            <v>28</v>
          </cell>
          <cell r="H19">
            <v>895</v>
          </cell>
        </row>
        <row r="20">
          <cell r="B20" t="str">
            <v>Montréal-Ouest</v>
          </cell>
          <cell r="C20">
            <v>28</v>
          </cell>
          <cell r="D20">
            <v>55</v>
          </cell>
          <cell r="E20">
            <v>639</v>
          </cell>
          <cell r="F20">
            <v>626</v>
          </cell>
          <cell r="G20">
            <v>141</v>
          </cell>
          <cell r="H20">
            <v>1489</v>
          </cell>
        </row>
        <row r="21">
          <cell r="B21" t="str">
            <v>Montréal-Nord</v>
          </cell>
          <cell r="C21">
            <v>10695</v>
          </cell>
          <cell r="D21">
            <v>1112</v>
          </cell>
          <cell r="E21">
            <v>254</v>
          </cell>
          <cell r="F21">
            <v>13</v>
          </cell>
          <cell r="H21">
            <v>12074</v>
          </cell>
        </row>
        <row r="22">
          <cell r="B22" t="str">
            <v>Outremont</v>
          </cell>
          <cell r="C22">
            <v>200</v>
          </cell>
          <cell r="D22">
            <v>1002</v>
          </cell>
          <cell r="E22">
            <v>2733</v>
          </cell>
          <cell r="F22">
            <v>1246</v>
          </cell>
          <cell r="G22">
            <v>88</v>
          </cell>
          <cell r="H22">
            <v>5269</v>
          </cell>
        </row>
        <row r="23">
          <cell r="B23" t="str">
            <v>Pierrefonds</v>
          </cell>
          <cell r="C23">
            <v>5739</v>
          </cell>
          <cell r="D23">
            <v>9381</v>
          </cell>
          <cell r="E23">
            <v>1187</v>
          </cell>
          <cell r="F23">
            <v>137</v>
          </cell>
          <cell r="G23">
            <v>40</v>
          </cell>
          <cell r="H23">
            <v>16484</v>
          </cell>
        </row>
        <row r="24">
          <cell r="B24" t="str">
            <v>Lachine</v>
          </cell>
          <cell r="C24">
            <v>3449</v>
          </cell>
          <cell r="D24">
            <v>3071</v>
          </cell>
          <cell r="E24">
            <v>2445</v>
          </cell>
          <cell r="F24">
            <v>68</v>
          </cell>
          <cell r="G24">
            <v>31</v>
          </cell>
          <cell r="H24">
            <v>9064</v>
          </cell>
        </row>
        <row r="25">
          <cell r="B25" t="str">
            <v>Pointe-Claire</v>
          </cell>
          <cell r="C25">
            <v>3</v>
          </cell>
          <cell r="D25">
            <v>16</v>
          </cell>
          <cell r="E25">
            <v>63</v>
          </cell>
          <cell r="F25">
            <v>6517</v>
          </cell>
          <cell r="G25">
            <v>2276</v>
          </cell>
          <cell r="H25">
            <v>8875</v>
          </cell>
        </row>
        <row r="26">
          <cell r="B26" t="str">
            <v>Roxboro</v>
          </cell>
          <cell r="C26">
            <v>268</v>
          </cell>
          <cell r="D26">
            <v>1334</v>
          </cell>
          <cell r="E26">
            <v>300</v>
          </cell>
          <cell r="F26">
            <v>13</v>
          </cell>
          <cell r="G26">
            <v>69</v>
          </cell>
          <cell r="H26">
            <v>1984</v>
          </cell>
        </row>
        <row r="27">
          <cell r="B27" t="str">
            <v>Senneville</v>
          </cell>
          <cell r="C27">
            <v>2</v>
          </cell>
          <cell r="E27">
            <v>3</v>
          </cell>
          <cell r="F27">
            <v>17</v>
          </cell>
          <cell r="G27">
            <v>358</v>
          </cell>
          <cell r="H27">
            <v>380</v>
          </cell>
        </row>
        <row r="28">
          <cell r="B28" t="str">
            <v>Ste-Anne-de-Bellevue</v>
          </cell>
          <cell r="C28">
            <v>42</v>
          </cell>
          <cell r="D28">
            <v>14</v>
          </cell>
          <cell r="E28">
            <v>1144</v>
          </cell>
          <cell r="F28">
            <v>143</v>
          </cell>
          <cell r="G28">
            <v>26</v>
          </cell>
          <cell r="H28">
            <v>1369</v>
          </cell>
        </row>
        <row r="29">
          <cell r="B29" t="str">
            <v>Ste-Geneviève</v>
          </cell>
          <cell r="C29">
            <v>666</v>
          </cell>
          <cell r="D29">
            <v>43</v>
          </cell>
          <cell r="E29">
            <v>1</v>
          </cell>
          <cell r="G29">
            <v>1</v>
          </cell>
          <cell r="H29">
            <v>711</v>
          </cell>
        </row>
        <row r="30">
          <cell r="B30" t="str">
            <v>St-Laurent</v>
          </cell>
          <cell r="C30">
            <v>1521</v>
          </cell>
          <cell r="D30">
            <v>213</v>
          </cell>
          <cell r="E30">
            <v>5269</v>
          </cell>
          <cell r="F30">
            <v>10841</v>
          </cell>
          <cell r="G30">
            <v>415</v>
          </cell>
          <cell r="H30">
            <v>18259</v>
          </cell>
        </row>
        <row r="31">
          <cell r="B31" t="str">
            <v>St-Léonard</v>
          </cell>
          <cell r="C31">
            <v>10000</v>
          </cell>
          <cell r="D31">
            <v>679</v>
          </cell>
          <cell r="E31">
            <v>79</v>
          </cell>
          <cell r="F31">
            <v>6</v>
          </cell>
          <cell r="H31">
            <v>10764</v>
          </cell>
        </row>
        <row r="32">
          <cell r="B32" t="str">
            <v>Verdun</v>
          </cell>
          <cell r="C32">
            <v>10364</v>
          </cell>
          <cell r="D32">
            <v>4010</v>
          </cell>
          <cell r="E32">
            <v>1146</v>
          </cell>
          <cell r="F32">
            <v>114</v>
          </cell>
          <cell r="G32">
            <v>2</v>
          </cell>
          <cell r="H32">
            <v>15636</v>
          </cell>
        </row>
        <row r="33">
          <cell r="B33" t="str">
            <v>Westmount</v>
          </cell>
          <cell r="C33">
            <v>35</v>
          </cell>
          <cell r="D33">
            <v>44</v>
          </cell>
          <cell r="E33">
            <v>496</v>
          </cell>
          <cell r="F33">
            <v>2605</v>
          </cell>
          <cell r="G33">
            <v>1957</v>
          </cell>
          <cell r="H33">
            <v>5137</v>
          </cell>
        </row>
        <row r="34">
          <cell r="B34" t="str">
            <v>Montréal</v>
          </cell>
          <cell r="C34">
            <v>131537</v>
          </cell>
          <cell r="D34">
            <v>33115</v>
          </cell>
          <cell r="E34">
            <v>17603</v>
          </cell>
          <cell r="F34">
            <v>4484</v>
          </cell>
          <cell r="G34">
            <v>772</v>
          </cell>
          <cell r="H34">
            <v>187511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teur-arrond."/>
      <sheetName val="arrond 2002-2004."/>
      <sheetName val="tous arrond 2004-2005"/>
      <sheetName val="tous arrond 2003-2004"/>
      <sheetName val="Résumé cumulé"/>
      <sheetName val="Cprez cum sect R+NR"/>
      <sheetName val="Cprez cum arr R+NR"/>
      <sheetName val="Cprez cumulé secteurs"/>
      <sheetName val="Cprez cumulé arr"/>
      <sheetName val="2001-2005 cumulé"/>
      <sheetName val="prel résidl"/>
      <sheetName val="Prel non résid"/>
      <sheetName val="Prelbudget 2005"/>
      <sheetName val="CPrez -arrond-cumulé"/>
      <sheetName val="TAB 3 COMPLET"/>
      <sheetName val="TAB 3"/>
      <sheetName val="Charges expliquées"/>
      <sheetName val="Tableau_texte crois"/>
      <sheetName val="Tableau_texte"/>
      <sheetName val="Canada-6villes"/>
      <sheetName val="Canada"/>
      <sheetName val="Variation total (3)"/>
      <sheetName val="Var (2)-fusion-défu"/>
      <sheetName val="Var cumulée HARMO"/>
      <sheetName val="Graphiq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F1" t="str">
            <v xml:space="preserve"> </v>
          </cell>
        </row>
        <row r="3">
          <cell r="AF3" t="str">
            <v>Charges fiscales cumulées des IMMEUBLES NON RÉSIDENTIELS</v>
          </cell>
        </row>
        <row r="4">
          <cell r="AF4" t="str">
            <v>et charges cumulées réelles (excluant l'inflation)</v>
          </cell>
        </row>
        <row r="5">
          <cell r="AF5" t="str">
            <v>2002-2005</v>
          </cell>
        </row>
        <row r="6">
          <cell r="AF6" t="str">
            <v>Par arrondissements</v>
          </cell>
        </row>
        <row r="9">
          <cell r="AF9" t="str">
            <v>Arrondissements</v>
          </cell>
          <cell r="AI9" t="str">
            <v>Cumulées</v>
          </cell>
          <cell r="AK9" t="str">
            <v>Cumulées réelles excluant l'inflation 1</v>
          </cell>
        </row>
        <row r="11">
          <cell r="AF11" t="str">
            <v>Ahuntsic-Cartierville</v>
          </cell>
          <cell r="AI11">
            <v>-5.5723390664019157E-2</v>
          </cell>
          <cell r="AK11">
            <v>-0.13772339066401917</v>
          </cell>
        </row>
        <row r="12">
          <cell r="AF12" t="str">
            <v>Anjou</v>
          </cell>
          <cell r="AI12">
            <v>0.20854091094196026</v>
          </cell>
          <cell r="AK12">
            <v>0.12654091094196024</v>
          </cell>
        </row>
        <row r="13">
          <cell r="AF13" t="str">
            <v>Beaconsfield-Baie d'Urfé</v>
          </cell>
          <cell r="AI13">
            <v>0.29886387982738172</v>
          </cell>
          <cell r="AK13">
            <v>0.2168638798273817</v>
          </cell>
        </row>
        <row r="14">
          <cell r="AF14" t="str">
            <v>Côte-des-Neiges–Notre-Dame-de-Grâce</v>
          </cell>
          <cell r="AI14">
            <v>-3.5577468911552855E-2</v>
          </cell>
          <cell r="AK14">
            <v>-0.11757746891155285</v>
          </cell>
        </row>
        <row r="15">
          <cell r="AF15" t="str">
            <v>Côte-Saint-Luc–Hampstead–
Montréal-Ouest</v>
          </cell>
          <cell r="AI15">
            <v>3.2546955154432622E-2</v>
          </cell>
          <cell r="AK15">
            <v>-4.9453044845567382E-2</v>
          </cell>
        </row>
        <row r="16">
          <cell r="AF16" t="str">
            <v>Dollard-Des Ormeaux–Roxboro</v>
          </cell>
          <cell r="AI16">
            <v>5.5978043966118385E-2</v>
          </cell>
          <cell r="AK16">
            <v>-2.6021956033881619E-2</v>
          </cell>
        </row>
        <row r="17">
          <cell r="AF17" t="str">
            <v>Dorval–L'Île-Dorval</v>
          </cell>
          <cell r="AI17">
            <v>0.17644103365189423</v>
          </cell>
          <cell r="AK17">
            <v>9.4441033651894227E-2</v>
          </cell>
        </row>
        <row r="18">
          <cell r="AF18" t="str">
            <v>Kirkland</v>
          </cell>
          <cell r="AI18">
            <v>0.14708527138108729</v>
          </cell>
          <cell r="AK18">
            <v>6.5085271381087287E-2</v>
          </cell>
        </row>
        <row r="19">
          <cell r="AF19" t="str">
            <v>Lachine</v>
          </cell>
          <cell r="AI19">
            <v>5.2044702033397061E-2</v>
          </cell>
          <cell r="AK19">
            <v>-2.9955297966602942E-2</v>
          </cell>
        </row>
        <row r="20">
          <cell r="AF20" t="str">
            <v>LaSalle</v>
          </cell>
          <cell r="AI20">
            <v>8.9703309880890925E-2</v>
          </cell>
          <cell r="AK20">
            <v>7.7033098808909212E-3</v>
          </cell>
        </row>
        <row r="21">
          <cell r="AF21" t="str">
            <v>L'Île-Bizard–Sainte-Geneviève–
Sainte-Anne-de-Bellevue</v>
          </cell>
          <cell r="AI21">
            <v>0.12320886542436593</v>
          </cell>
          <cell r="AK21">
            <v>4.1208865424365929E-2</v>
          </cell>
        </row>
        <row r="22">
          <cell r="AF22" t="str">
            <v>Mercier–Hochelaga-Maisonneuve</v>
          </cell>
          <cell r="AI22">
            <v>1.4002125642666331E-2</v>
          </cell>
          <cell r="AK22">
            <v>-6.7997874357333676E-2</v>
          </cell>
        </row>
        <row r="23">
          <cell r="AF23" t="str">
            <v>Montréal-Nord</v>
          </cell>
          <cell r="AI23">
            <v>4.3527248670772845E-2</v>
          </cell>
          <cell r="AK23">
            <v>-3.8472751329227159E-2</v>
          </cell>
        </row>
        <row r="24">
          <cell r="AF24" t="str">
            <v>Mont-Royal</v>
          </cell>
          <cell r="AI24">
            <v>0.28934624087861094</v>
          </cell>
          <cell r="AK24">
            <v>0.20734624087861092</v>
          </cell>
        </row>
        <row r="25">
          <cell r="AF25" t="str">
            <v>Outremont</v>
          </cell>
          <cell r="AI25">
            <v>0.2187140141348427</v>
          </cell>
          <cell r="AK25">
            <v>0.13671401413484269</v>
          </cell>
        </row>
        <row r="26">
          <cell r="AF26" t="str">
            <v>Pierrefonds-Senneville</v>
          </cell>
          <cell r="AI26">
            <v>0.20960209286983011</v>
          </cell>
          <cell r="AK26">
            <v>0.1276020928698301</v>
          </cell>
        </row>
        <row r="27">
          <cell r="AF27" t="str">
            <v>Plateau-Mont-Royal</v>
          </cell>
          <cell r="AI27">
            <v>-5.1210407780367499E-3</v>
          </cell>
          <cell r="AK27">
            <v>-8.7121040778036757E-2</v>
          </cell>
        </row>
        <row r="28">
          <cell r="AF28" t="str">
            <v>Pointe-Claire</v>
          </cell>
          <cell r="AI28">
            <v>0.22461452974388618</v>
          </cell>
          <cell r="AK28">
            <v>0.14261452974388616</v>
          </cell>
        </row>
        <row r="29">
          <cell r="AF29" t="str">
            <v>Rivière-des-Prairies–Pointe-aux-
Trembles–Montréal-Est</v>
          </cell>
          <cell r="AI29">
            <v>-1.5095013173612479E-2</v>
          </cell>
          <cell r="AK29">
            <v>-9.7095013173612479E-2</v>
          </cell>
        </row>
        <row r="30">
          <cell r="AF30" t="str">
            <v>Rosemont–La Petite-Patrie</v>
          </cell>
          <cell r="AI30">
            <v>-3.5176079569738852E-2</v>
          </cell>
          <cell r="AK30">
            <v>-0.11717607956973886</v>
          </cell>
        </row>
        <row r="31">
          <cell r="AF31" t="str">
            <v>Saint-Laurent</v>
          </cell>
          <cell r="AI31">
            <v>0.25196239751185678</v>
          </cell>
          <cell r="AK31">
            <v>0.16996239751185677</v>
          </cell>
        </row>
        <row r="32">
          <cell r="AF32" t="str">
            <v>Saint-Léonard</v>
          </cell>
          <cell r="AI32">
            <v>2.8665933389411258E-3</v>
          </cell>
          <cell r="AK32">
            <v>-7.9133406661058878E-2</v>
          </cell>
        </row>
        <row r="33">
          <cell r="AF33" t="str">
            <v>Sud-Ouest</v>
          </cell>
          <cell r="AI33">
            <v>-3.3229039853516149E-3</v>
          </cell>
          <cell r="AK33">
            <v>-8.5322903985351611E-2</v>
          </cell>
        </row>
        <row r="34">
          <cell r="AF34" t="str">
            <v>Verdun</v>
          </cell>
          <cell r="AI34">
            <v>-2.142993304438412E-2</v>
          </cell>
          <cell r="AK34">
            <v>-0.10342993304438412</v>
          </cell>
        </row>
        <row r="35">
          <cell r="AF35" t="str">
            <v>Ville-Marie</v>
          </cell>
          <cell r="AI35">
            <v>3.3453828997261875E-2</v>
          </cell>
          <cell r="AK35">
            <v>-4.8546171002738128E-2</v>
          </cell>
        </row>
        <row r="36">
          <cell r="AF36" t="str">
            <v>Villeray–Saint-Michel–Parc-Extension</v>
          </cell>
          <cell r="AI36">
            <v>-5.3547036420320285E-2</v>
          </cell>
          <cell r="AK36">
            <v>-0.13554703642032029</v>
          </cell>
        </row>
        <row r="37">
          <cell r="AF37" t="str">
            <v>Westmount</v>
          </cell>
          <cell r="AI37">
            <v>0.32972179694135617</v>
          </cell>
          <cell r="AK37">
            <v>0.24772179694135615</v>
          </cell>
        </row>
        <row r="38">
          <cell r="AK38" t="str">
            <v xml:space="preserve"> </v>
          </cell>
        </row>
        <row r="39">
          <cell r="AF39" t="str">
            <v>VILLE DE MONTRÉAL</v>
          </cell>
          <cell r="AI39">
            <v>7.1839626924941502E-2</v>
          </cell>
          <cell r="AK39">
            <v>-1.0160373075058501E-2</v>
          </cell>
        </row>
        <row r="41">
          <cell r="AF41" t="str">
            <v>1. Inflation estimée à 8,2 % au cours de la période.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resit"/>
      <sheetName val="nresi"/>
      <sheetName val="resi"/>
    </sheetNames>
    <sheetDataSet>
      <sheetData sheetId="0">
        <row r="2">
          <cell r="D2">
            <v>0</v>
          </cell>
          <cell r="E2">
            <v>26721</v>
          </cell>
          <cell r="F2">
            <v>87173</v>
          </cell>
          <cell r="G2">
            <v>82851</v>
          </cell>
          <cell r="H2">
            <v>64970</v>
          </cell>
          <cell r="I2">
            <v>29173.510574</v>
          </cell>
          <cell r="J2">
            <v>28423.631727</v>
          </cell>
          <cell r="K2">
            <v>27639.367403</v>
          </cell>
          <cell r="L2">
            <v>25554.013617074987</v>
          </cell>
          <cell r="M2">
            <v>24900.707646465005</v>
          </cell>
          <cell r="N2">
            <v>24213.191812399997</v>
          </cell>
          <cell r="O2">
            <v>2785159765</v>
          </cell>
          <cell r="P2">
            <v>2306942403</v>
          </cell>
          <cell r="Q2">
            <v>326712561</v>
          </cell>
          <cell r="R2">
            <v>1950081060</v>
          </cell>
          <cell r="S2">
            <v>22683010.810550012</v>
          </cell>
          <cell r="T2">
            <v>1930462</v>
          </cell>
          <cell r="U2">
            <v>292600291.06166041</v>
          </cell>
          <cell r="V2">
            <v>173326326.54959953</v>
          </cell>
          <cell r="W2">
            <v>43433268212</v>
          </cell>
        </row>
        <row r="3">
          <cell r="B3">
            <v>24707</v>
          </cell>
          <cell r="C3" t="str">
            <v>1G</v>
          </cell>
          <cell r="D3">
            <v>1</v>
          </cell>
          <cell r="E3">
            <v>101</v>
          </cell>
          <cell r="F3">
            <v>101</v>
          </cell>
          <cell r="G3">
            <v>103</v>
          </cell>
          <cell r="H3">
            <v>67</v>
          </cell>
          <cell r="I3">
            <v>1.5209999999999999</v>
          </cell>
          <cell r="J3">
            <v>1.3206</v>
          </cell>
          <cell r="K3">
            <v>1.1202000000000001</v>
          </cell>
          <cell r="L3">
            <v>1.5189868</v>
          </cell>
          <cell r="M3">
            <v>1.3186932</v>
          </cell>
          <cell r="N3">
            <v>1.1184000000000001</v>
          </cell>
          <cell r="O3">
            <v>212830</v>
          </cell>
          <cell r="P3">
            <v>69640</v>
          </cell>
          <cell r="Q3">
            <v>77390</v>
          </cell>
          <cell r="R3">
            <v>69640</v>
          </cell>
          <cell r="S3">
            <v>0</v>
          </cell>
          <cell r="T3">
            <v>0</v>
          </cell>
          <cell r="U3">
            <v>7667.3639999999996</v>
          </cell>
          <cell r="V3">
            <v>6190.9960000000019</v>
          </cell>
          <cell r="W3">
            <v>4107230</v>
          </cell>
        </row>
        <row r="4">
          <cell r="C4" t="str">
            <v>5M</v>
          </cell>
          <cell r="D4">
            <v>1</v>
          </cell>
          <cell r="E4">
            <v>24606</v>
          </cell>
          <cell r="F4">
            <v>21743</v>
          </cell>
          <cell r="G4">
            <v>77225</v>
          </cell>
          <cell r="H4">
            <v>60129</v>
          </cell>
          <cell r="I4">
            <v>26215.533206</v>
          </cell>
          <cell r="J4">
            <v>25523.718465000002</v>
          </cell>
          <cell r="K4">
            <v>24797.852703</v>
          </cell>
          <cell r="L4">
            <v>24972.930903630986</v>
          </cell>
          <cell r="M4">
            <v>24337.643087409004</v>
          </cell>
          <cell r="N4">
            <v>23668.275190299999</v>
          </cell>
          <cell r="O4">
            <v>2703595305</v>
          </cell>
          <cell r="P4">
            <v>2241586413</v>
          </cell>
          <cell r="Q4">
            <v>318089731</v>
          </cell>
          <cell r="R4">
            <v>1890925660</v>
          </cell>
          <cell r="S4">
            <v>21230744.090520013</v>
          </cell>
          <cell r="T4">
            <v>1169587</v>
          </cell>
          <cell r="U4">
            <v>284665311.97526038</v>
          </cell>
          <cell r="V4">
            <v>168099180.79359955</v>
          </cell>
          <cell r="W4">
            <v>42533339240</v>
          </cell>
        </row>
        <row r="5">
          <cell r="C5" t="str">
            <v>6P</v>
          </cell>
          <cell r="D5">
            <v>1</v>
          </cell>
          <cell r="E5">
            <v>2014</v>
          </cell>
          <cell r="F5">
            <v>65329</v>
          </cell>
          <cell r="G5">
            <v>5523</v>
          </cell>
          <cell r="H5">
            <v>4774</v>
          </cell>
          <cell r="I5">
            <v>2956.4563680000001</v>
          </cell>
          <cell r="J5">
            <v>2898.592662</v>
          </cell>
          <cell r="K5">
            <v>2840.3944999999999</v>
          </cell>
          <cell r="L5">
            <v>579.56372664400021</v>
          </cell>
          <cell r="M5">
            <v>561.74586585599968</v>
          </cell>
          <cell r="N5">
            <v>543.79822209999998</v>
          </cell>
          <cell r="O5">
            <v>81351630</v>
          </cell>
          <cell r="P5">
            <v>65286350</v>
          </cell>
          <cell r="Q5">
            <v>8545440</v>
          </cell>
          <cell r="R5">
            <v>59085760</v>
          </cell>
          <cell r="S5">
            <v>1452266.72003</v>
          </cell>
          <cell r="T5">
            <v>760875</v>
          </cell>
          <cell r="U5">
            <v>7927311.7224000078</v>
          </cell>
          <cell r="V5">
            <v>5220954.7599999905</v>
          </cell>
          <cell r="W5">
            <v>895821742</v>
          </cell>
        </row>
        <row r="6">
          <cell r="A6">
            <v>17</v>
          </cell>
          <cell r="B6" t="str">
            <v>Outremont</v>
          </cell>
          <cell r="C6" t="str">
            <v>1G</v>
          </cell>
          <cell r="D6">
            <v>7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25</v>
          </cell>
          <cell r="B7" t="str">
            <v>St-Laurent</v>
          </cell>
          <cell r="C7" t="str">
            <v>1G</v>
          </cell>
          <cell r="D7">
            <v>7</v>
          </cell>
          <cell r="E7">
            <v>2</v>
          </cell>
          <cell r="F7">
            <v>2</v>
          </cell>
          <cell r="G7">
            <v>2</v>
          </cell>
          <cell r="I7">
            <v>7.6E-3</v>
          </cell>
          <cell r="J7">
            <v>7.6E-3</v>
          </cell>
          <cell r="K7">
            <v>7.6E-3</v>
          </cell>
          <cell r="L7">
            <v>7.6E-3</v>
          </cell>
          <cell r="M7">
            <v>7.6E-3</v>
          </cell>
          <cell r="N7">
            <v>7.6E-3</v>
          </cell>
          <cell r="S7">
            <v>0</v>
          </cell>
          <cell r="T7">
            <v>0</v>
          </cell>
        </row>
        <row r="8">
          <cell r="A8">
            <v>29</v>
          </cell>
          <cell r="B8" t="str">
            <v>Westmount</v>
          </cell>
          <cell r="C8" t="str">
            <v>1G</v>
          </cell>
          <cell r="D8">
            <v>7</v>
          </cell>
          <cell r="E8">
            <v>34</v>
          </cell>
          <cell r="F8">
            <v>34</v>
          </cell>
          <cell r="G8">
            <v>34</v>
          </cell>
          <cell r="I8">
            <v>0.52233499999999999</v>
          </cell>
          <cell r="J8">
            <v>0.40646500000000002</v>
          </cell>
          <cell r="K8">
            <v>0.29060000000000002</v>
          </cell>
          <cell r="L8">
            <v>0.52233499999999999</v>
          </cell>
          <cell r="M8">
            <v>0.40646500000000002</v>
          </cell>
          <cell r="N8">
            <v>0.29060000000000002</v>
          </cell>
          <cell r="S8">
            <v>0</v>
          </cell>
          <cell r="T8">
            <v>0</v>
          </cell>
        </row>
        <row r="9">
          <cell r="A9">
            <v>30</v>
          </cell>
          <cell r="B9" t="str">
            <v>Montréal</v>
          </cell>
          <cell r="C9" t="str">
            <v>1G</v>
          </cell>
          <cell r="D9">
            <v>7</v>
          </cell>
          <cell r="E9">
            <v>65</v>
          </cell>
          <cell r="F9">
            <v>65</v>
          </cell>
          <cell r="G9">
            <v>67</v>
          </cell>
          <cell r="H9">
            <v>67</v>
          </cell>
          <cell r="I9">
            <v>0.99106499999999997</v>
          </cell>
          <cell r="J9">
            <v>0.90653499999999998</v>
          </cell>
          <cell r="K9">
            <v>0.82199999999999995</v>
          </cell>
          <cell r="L9">
            <v>0.98905180000000004</v>
          </cell>
          <cell r="M9">
            <v>0.90462819999999999</v>
          </cell>
          <cell r="N9">
            <v>0.82020000000000004</v>
          </cell>
          <cell r="O9">
            <v>212830</v>
          </cell>
          <cell r="P9">
            <v>69640</v>
          </cell>
          <cell r="Q9">
            <v>77390</v>
          </cell>
          <cell r="R9">
            <v>69640</v>
          </cell>
          <cell r="S9">
            <v>0</v>
          </cell>
          <cell r="T9">
            <v>0</v>
          </cell>
          <cell r="U9">
            <v>7667.3639999999996</v>
          </cell>
          <cell r="V9">
            <v>6190.9960000000019</v>
          </cell>
          <cell r="W9">
            <v>4107230</v>
          </cell>
        </row>
        <row r="11">
          <cell r="A11">
            <v>1</v>
          </cell>
          <cell r="B11" t="str">
            <v>Anjou</v>
          </cell>
          <cell r="C11" t="str">
            <v>5M</v>
          </cell>
          <cell r="D11">
            <v>7</v>
          </cell>
          <cell r="E11">
            <v>489</v>
          </cell>
          <cell r="F11">
            <v>87</v>
          </cell>
          <cell r="G11">
            <v>1476</v>
          </cell>
          <cell r="H11">
            <v>1476</v>
          </cell>
          <cell r="I11">
            <v>813.48689999999999</v>
          </cell>
          <cell r="J11">
            <v>813.48689999999999</v>
          </cell>
          <cell r="K11">
            <v>813.48689999999999</v>
          </cell>
          <cell r="L11">
            <v>809.93486600000006</v>
          </cell>
          <cell r="M11">
            <v>809.93486600000006</v>
          </cell>
          <cell r="N11">
            <v>809.93486600000006</v>
          </cell>
          <cell r="O11">
            <v>125280490</v>
          </cell>
          <cell r="P11">
            <v>115350430</v>
          </cell>
          <cell r="Q11">
            <v>7990910</v>
          </cell>
          <cell r="S11">
            <v>827409.98480000068</v>
          </cell>
          <cell r="T11">
            <v>0</v>
          </cell>
          <cell r="U11">
            <v>13645955.868999993</v>
          </cell>
          <cell r="W11">
            <v>3308574220</v>
          </cell>
        </row>
        <row r="12">
          <cell r="A12">
            <v>2</v>
          </cell>
          <cell r="B12" t="str">
            <v>Baie d'Urfé</v>
          </cell>
          <cell r="C12" t="str">
            <v>5M</v>
          </cell>
          <cell r="D12">
            <v>7</v>
          </cell>
          <cell r="E12">
            <v>58</v>
          </cell>
          <cell r="F12">
            <v>2</v>
          </cell>
          <cell r="G12">
            <v>96</v>
          </cell>
          <cell r="I12">
            <v>144.7997</v>
          </cell>
          <cell r="J12">
            <v>144.7997</v>
          </cell>
          <cell r="K12">
            <v>144.7997</v>
          </cell>
          <cell r="L12">
            <v>144.7997</v>
          </cell>
          <cell r="M12">
            <v>144.7997</v>
          </cell>
          <cell r="N12">
            <v>144.7997</v>
          </cell>
          <cell r="S12">
            <v>431811.10600000003</v>
          </cell>
          <cell r="T12">
            <v>0</v>
          </cell>
        </row>
        <row r="13">
          <cell r="A13">
            <v>3</v>
          </cell>
          <cell r="B13" t="str">
            <v>Beaconsfield</v>
          </cell>
          <cell r="C13" t="str">
            <v>5M</v>
          </cell>
          <cell r="D13">
            <v>7</v>
          </cell>
          <cell r="E13">
            <v>50</v>
          </cell>
          <cell r="F13">
            <v>17</v>
          </cell>
          <cell r="G13">
            <v>178</v>
          </cell>
          <cell r="I13">
            <v>31.473400000000002</v>
          </cell>
          <cell r="J13">
            <v>31.473400000000002</v>
          </cell>
          <cell r="K13">
            <v>31.473400000000002</v>
          </cell>
          <cell r="L13">
            <v>28.576439000000001</v>
          </cell>
          <cell r="M13">
            <v>28.576439000000001</v>
          </cell>
          <cell r="N13">
            <v>28.576439000000001</v>
          </cell>
          <cell r="S13">
            <v>91955.007730000012</v>
          </cell>
          <cell r="T13">
            <v>31590</v>
          </cell>
        </row>
        <row r="14">
          <cell r="A14">
            <v>4</v>
          </cell>
          <cell r="B14" t="str">
            <v>Côte-Saint-Luc</v>
          </cell>
          <cell r="C14" t="str">
            <v>5M</v>
          </cell>
          <cell r="D14">
            <v>7</v>
          </cell>
          <cell r="E14">
            <v>30</v>
          </cell>
          <cell r="F14">
            <v>1</v>
          </cell>
          <cell r="G14">
            <v>450</v>
          </cell>
          <cell r="H14">
            <v>450</v>
          </cell>
          <cell r="I14">
            <v>145.71693300000001</v>
          </cell>
          <cell r="J14">
            <v>129.35317699999999</v>
          </cell>
          <cell r="K14">
            <v>112.7581</v>
          </cell>
          <cell r="L14">
            <v>108.30172859999999</v>
          </cell>
          <cell r="M14">
            <v>96.757435400000006</v>
          </cell>
          <cell r="N14">
            <v>84.980320000000006</v>
          </cell>
          <cell r="O14">
            <v>22744110</v>
          </cell>
          <cell r="P14">
            <v>13656616</v>
          </cell>
          <cell r="Q14">
            <v>4228370</v>
          </cell>
          <cell r="S14">
            <v>848411.81524000003</v>
          </cell>
          <cell r="T14">
            <v>0</v>
          </cell>
          <cell r="U14">
            <v>2531936.6063999995</v>
          </cell>
          <cell r="W14">
            <v>1941493216</v>
          </cell>
        </row>
        <row r="15">
          <cell r="A15">
            <v>5</v>
          </cell>
          <cell r="B15" t="str">
            <v>Dollard-des-Ormeaux</v>
          </cell>
          <cell r="C15" t="str">
            <v>5M</v>
          </cell>
          <cell r="D15">
            <v>7</v>
          </cell>
          <cell r="E15">
            <v>127</v>
          </cell>
          <cell r="F15">
            <v>3</v>
          </cell>
          <cell r="G15">
            <v>675</v>
          </cell>
          <cell r="I15">
            <v>208.03030000000001</v>
          </cell>
          <cell r="J15">
            <v>208.03030000000001</v>
          </cell>
          <cell r="K15">
            <v>208.03030000000001</v>
          </cell>
          <cell r="L15">
            <v>208.03030000000001</v>
          </cell>
          <cell r="M15">
            <v>208.03030000000001</v>
          </cell>
          <cell r="N15">
            <v>208.03030000000001</v>
          </cell>
          <cell r="S15">
            <v>390</v>
          </cell>
          <cell r="T15">
            <v>0</v>
          </cell>
        </row>
        <row r="16">
          <cell r="A16">
            <v>6</v>
          </cell>
          <cell r="B16" t="str">
            <v>Dorval</v>
          </cell>
          <cell r="C16" t="str">
            <v>5M</v>
          </cell>
          <cell r="D16">
            <v>7</v>
          </cell>
          <cell r="E16">
            <v>541</v>
          </cell>
          <cell r="F16">
            <v>89</v>
          </cell>
          <cell r="G16">
            <v>1764</v>
          </cell>
          <cell r="I16">
            <v>993.05679999999995</v>
          </cell>
          <cell r="J16">
            <v>993.05679999999995</v>
          </cell>
          <cell r="K16">
            <v>993.05679999999995</v>
          </cell>
          <cell r="L16">
            <v>989.24036000000001</v>
          </cell>
          <cell r="M16">
            <v>989.24036000000001</v>
          </cell>
          <cell r="N16">
            <v>989.24036000000001</v>
          </cell>
          <cell r="S16">
            <v>0</v>
          </cell>
          <cell r="T16">
            <v>0</v>
          </cell>
        </row>
        <row r="17">
          <cell r="A17">
            <v>7</v>
          </cell>
          <cell r="B17" t="str">
            <v>Hampstead</v>
          </cell>
          <cell r="C17" t="str">
            <v>5M</v>
          </cell>
          <cell r="D17">
            <v>7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T17">
            <v>0</v>
          </cell>
          <cell r="V17">
            <v>0</v>
          </cell>
          <cell r="W17">
            <v>0</v>
          </cell>
        </row>
        <row r="18">
          <cell r="A18">
            <v>8</v>
          </cell>
          <cell r="B18" t="str">
            <v>L'Ile-Bizard</v>
          </cell>
          <cell r="C18" t="str">
            <v>5M</v>
          </cell>
          <cell r="D18">
            <v>7</v>
          </cell>
          <cell r="E18">
            <v>100</v>
          </cell>
          <cell r="F18">
            <v>80</v>
          </cell>
          <cell r="G18">
            <v>160</v>
          </cell>
          <cell r="I18">
            <v>43.0075</v>
          </cell>
          <cell r="J18">
            <v>43.0075</v>
          </cell>
          <cell r="K18">
            <v>43.0075</v>
          </cell>
          <cell r="L18">
            <v>33.272768499999998</v>
          </cell>
          <cell r="M18">
            <v>33.272768499999998</v>
          </cell>
          <cell r="N18">
            <v>33.272768499999998</v>
          </cell>
          <cell r="S18">
            <v>45550</v>
          </cell>
          <cell r="T18">
            <v>0</v>
          </cell>
        </row>
        <row r="19">
          <cell r="A19">
            <v>9</v>
          </cell>
          <cell r="B19" t="str">
            <v>Ile-Dorval</v>
          </cell>
          <cell r="C19" t="str">
            <v>5M</v>
          </cell>
          <cell r="D19">
            <v>7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T19">
            <v>0</v>
          </cell>
          <cell r="V19">
            <v>0</v>
          </cell>
          <cell r="W19">
            <v>0</v>
          </cell>
        </row>
        <row r="20">
          <cell r="A20">
            <v>10</v>
          </cell>
          <cell r="B20" t="str">
            <v>Kirkland</v>
          </cell>
          <cell r="C20" t="str">
            <v>5M</v>
          </cell>
          <cell r="D20">
            <v>7</v>
          </cell>
          <cell r="E20">
            <v>94</v>
          </cell>
          <cell r="F20">
            <v>3</v>
          </cell>
          <cell r="G20">
            <v>383</v>
          </cell>
          <cell r="I20">
            <v>316.3383</v>
          </cell>
          <cell r="J20">
            <v>316.3383</v>
          </cell>
          <cell r="K20">
            <v>316.3383</v>
          </cell>
          <cell r="L20">
            <v>316.3383</v>
          </cell>
          <cell r="M20">
            <v>316.3383</v>
          </cell>
          <cell r="N20">
            <v>316.3383</v>
          </cell>
          <cell r="S20">
            <v>1567025.5385999999</v>
          </cell>
          <cell r="T20">
            <v>0</v>
          </cell>
        </row>
        <row r="21">
          <cell r="A21">
            <v>12</v>
          </cell>
          <cell r="B21" t="str">
            <v>LaSalle</v>
          </cell>
          <cell r="C21" t="str">
            <v>5M</v>
          </cell>
          <cell r="D21">
            <v>7</v>
          </cell>
          <cell r="E21">
            <v>632</v>
          </cell>
          <cell r="F21">
            <v>333</v>
          </cell>
          <cell r="G21">
            <v>1837</v>
          </cell>
          <cell r="I21">
            <v>679.80573100000004</v>
          </cell>
          <cell r="J21">
            <v>656.20182899999998</v>
          </cell>
          <cell r="K21">
            <v>632.50149999999996</v>
          </cell>
          <cell r="L21">
            <v>668.43318522000027</v>
          </cell>
          <cell r="M21">
            <v>645.14176477999979</v>
          </cell>
          <cell r="N21">
            <v>621.75391200000001</v>
          </cell>
          <cell r="S21">
            <v>1675576.37</v>
          </cell>
          <cell r="T21">
            <v>217000</v>
          </cell>
        </row>
        <row r="22">
          <cell r="A22">
            <v>13</v>
          </cell>
          <cell r="B22" t="str">
            <v>Mont-Royal</v>
          </cell>
          <cell r="C22" t="str">
            <v>5M</v>
          </cell>
          <cell r="D22">
            <v>7</v>
          </cell>
          <cell r="E22">
            <v>274</v>
          </cell>
          <cell r="F22">
            <v>15</v>
          </cell>
          <cell r="G22">
            <v>1674</v>
          </cell>
          <cell r="H22">
            <v>1674</v>
          </cell>
          <cell r="I22">
            <v>514.94690000000003</v>
          </cell>
          <cell r="J22">
            <v>514.94690000000003</v>
          </cell>
          <cell r="K22">
            <v>514.94690000000003</v>
          </cell>
          <cell r="L22">
            <v>513.57066399999997</v>
          </cell>
          <cell r="M22">
            <v>513.57066399999997</v>
          </cell>
          <cell r="N22">
            <v>513.57066399999997</v>
          </cell>
          <cell r="O22">
            <v>87279980</v>
          </cell>
          <cell r="P22">
            <v>75120570</v>
          </cell>
          <cell r="Q22">
            <v>11932500</v>
          </cell>
          <cell r="S22">
            <v>1737087.8787200004</v>
          </cell>
          <cell r="T22">
            <v>0</v>
          </cell>
          <cell r="U22">
            <v>10742241.510000007</v>
          </cell>
          <cell r="W22">
            <v>1291604150</v>
          </cell>
        </row>
        <row r="23">
          <cell r="A23">
            <v>14</v>
          </cell>
          <cell r="B23" t="str">
            <v>Montréal-Est</v>
          </cell>
          <cell r="C23" t="str">
            <v>5M</v>
          </cell>
          <cell r="D23">
            <v>7</v>
          </cell>
          <cell r="E23">
            <v>251</v>
          </cell>
          <cell r="F23">
            <v>92</v>
          </cell>
          <cell r="G23">
            <v>357</v>
          </cell>
          <cell r="I23">
            <v>388.46380199999999</v>
          </cell>
          <cell r="J23">
            <v>388.46380199999999</v>
          </cell>
          <cell r="K23">
            <v>388.46380199999999</v>
          </cell>
          <cell r="L23">
            <v>385.82648599999999</v>
          </cell>
          <cell r="M23">
            <v>385.82648599999999</v>
          </cell>
          <cell r="N23">
            <v>385.82648599999999</v>
          </cell>
          <cell r="S23">
            <v>1433175.5167</v>
          </cell>
          <cell r="T23">
            <v>0</v>
          </cell>
        </row>
        <row r="24">
          <cell r="A24">
            <v>15</v>
          </cell>
          <cell r="B24" t="str">
            <v>Montréal-Ouest</v>
          </cell>
          <cell r="C24" t="str">
            <v>5M</v>
          </cell>
          <cell r="D24">
            <v>7</v>
          </cell>
          <cell r="E24">
            <v>50</v>
          </cell>
          <cell r="F24">
            <v>22</v>
          </cell>
          <cell r="G24">
            <v>188</v>
          </cell>
          <cell r="H24">
            <v>188</v>
          </cell>
          <cell r="I24">
            <v>15.994</v>
          </cell>
          <cell r="J24">
            <v>15.994</v>
          </cell>
          <cell r="K24">
            <v>15.994</v>
          </cell>
          <cell r="L24">
            <v>15.074756000000001</v>
          </cell>
          <cell r="M24">
            <v>15.074756000000001</v>
          </cell>
          <cell r="N24">
            <v>15.074756000000001</v>
          </cell>
          <cell r="O24">
            <v>2969260</v>
          </cell>
          <cell r="P24">
            <v>2252976</v>
          </cell>
          <cell r="Q24">
            <v>634600</v>
          </cell>
          <cell r="S24">
            <v>3718</v>
          </cell>
          <cell r="T24">
            <v>0</v>
          </cell>
          <cell r="U24">
            <v>243997.3008</v>
          </cell>
          <cell r="W24">
            <v>74276400</v>
          </cell>
        </row>
        <row r="25">
          <cell r="A25">
            <v>16</v>
          </cell>
          <cell r="B25" t="str">
            <v>Montréal-Nord</v>
          </cell>
          <cell r="C25" t="str">
            <v>5M</v>
          </cell>
          <cell r="D25">
            <v>7</v>
          </cell>
          <cell r="E25">
            <v>1130</v>
          </cell>
          <cell r="F25">
            <v>876</v>
          </cell>
          <cell r="G25">
            <v>1951</v>
          </cell>
          <cell r="H25">
            <v>1951</v>
          </cell>
          <cell r="I25">
            <v>423.96039999999999</v>
          </cell>
          <cell r="J25">
            <v>423.96039999999999</v>
          </cell>
          <cell r="K25">
            <v>423.96039999999999</v>
          </cell>
          <cell r="L25">
            <v>383.784539</v>
          </cell>
          <cell r="M25">
            <v>383.784539</v>
          </cell>
          <cell r="N25">
            <v>383.784539</v>
          </cell>
          <cell r="O25">
            <v>61205980</v>
          </cell>
          <cell r="P25">
            <v>53979686</v>
          </cell>
          <cell r="Q25">
            <v>5964710</v>
          </cell>
          <cell r="R25">
            <v>46236</v>
          </cell>
          <cell r="S25">
            <v>1683684.9</v>
          </cell>
          <cell r="T25">
            <v>0</v>
          </cell>
          <cell r="U25">
            <v>7260267.7670000037</v>
          </cell>
          <cell r="W25">
            <v>1032864950</v>
          </cell>
        </row>
        <row r="26">
          <cell r="A26">
            <v>17</v>
          </cell>
          <cell r="B26" t="str">
            <v>Outremont</v>
          </cell>
          <cell r="C26" t="str">
            <v>5M</v>
          </cell>
          <cell r="D26">
            <v>7</v>
          </cell>
          <cell r="E26">
            <v>261</v>
          </cell>
          <cell r="F26">
            <v>285</v>
          </cell>
          <cell r="G26">
            <v>579</v>
          </cell>
          <cell r="H26">
            <v>579</v>
          </cell>
          <cell r="I26">
            <v>114.7641</v>
          </cell>
          <cell r="J26">
            <v>114.7641</v>
          </cell>
          <cell r="K26">
            <v>114.7641</v>
          </cell>
          <cell r="L26">
            <v>71.610852499999993</v>
          </cell>
          <cell r="M26">
            <v>71.610852499999993</v>
          </cell>
          <cell r="N26">
            <v>71.610852499999993</v>
          </cell>
          <cell r="O26">
            <v>12202840</v>
          </cell>
          <cell r="P26">
            <v>9587570</v>
          </cell>
          <cell r="Q26">
            <v>1469390</v>
          </cell>
          <cell r="S26">
            <v>10132.274799999999</v>
          </cell>
          <cell r="T26">
            <v>193804</v>
          </cell>
          <cell r="U26">
            <v>1306785.7910000007</v>
          </cell>
          <cell r="W26">
            <v>342199374</v>
          </cell>
        </row>
        <row r="27">
          <cell r="A27">
            <v>18</v>
          </cell>
          <cell r="B27" t="str">
            <v>Pierrefonds</v>
          </cell>
          <cell r="C27" t="str">
            <v>5M</v>
          </cell>
          <cell r="D27">
            <v>7</v>
          </cell>
          <cell r="E27">
            <v>264</v>
          </cell>
          <cell r="F27">
            <v>98</v>
          </cell>
          <cell r="G27">
            <v>681</v>
          </cell>
          <cell r="H27">
            <v>681</v>
          </cell>
          <cell r="I27">
            <v>133.25819999999999</v>
          </cell>
          <cell r="J27">
            <v>133.25819999999999</v>
          </cell>
          <cell r="K27">
            <v>133.25819999999999</v>
          </cell>
          <cell r="L27">
            <v>126.51805299999999</v>
          </cell>
          <cell r="M27">
            <v>126.51805299999999</v>
          </cell>
          <cell r="N27">
            <v>126.51805299999999</v>
          </cell>
          <cell r="O27">
            <v>20164690</v>
          </cell>
          <cell r="P27">
            <v>17771700</v>
          </cell>
          <cell r="Q27">
            <v>1761880</v>
          </cell>
          <cell r="S27">
            <v>162199.95237999997</v>
          </cell>
          <cell r="T27">
            <v>66215</v>
          </cell>
          <cell r="U27">
            <v>1359535.05</v>
          </cell>
          <cell r="W27">
            <v>205275900</v>
          </cell>
        </row>
        <row r="28">
          <cell r="A28">
            <v>19</v>
          </cell>
          <cell r="B28" t="str">
            <v>Lachine</v>
          </cell>
          <cell r="C28" t="str">
            <v>5M</v>
          </cell>
          <cell r="D28">
            <v>7</v>
          </cell>
          <cell r="E28">
            <v>712</v>
          </cell>
          <cell r="F28">
            <v>455</v>
          </cell>
          <cell r="G28">
            <v>1729</v>
          </cell>
          <cell r="I28">
            <v>795.89145900000005</v>
          </cell>
          <cell r="J28">
            <v>757.44258200000002</v>
          </cell>
          <cell r="K28">
            <v>718.55050100000005</v>
          </cell>
          <cell r="L28">
            <v>702.37883534000002</v>
          </cell>
          <cell r="M28">
            <v>670.55206941000006</v>
          </cell>
          <cell r="N28">
            <v>638.28211390000001</v>
          </cell>
          <cell r="S28">
            <v>1467090.00348</v>
          </cell>
          <cell r="T28">
            <v>185640</v>
          </cell>
        </row>
        <row r="29">
          <cell r="A29">
            <v>20</v>
          </cell>
          <cell r="B29" t="str">
            <v>Pointe-Claire</v>
          </cell>
          <cell r="C29" t="str">
            <v>5M</v>
          </cell>
          <cell r="D29">
            <v>7</v>
          </cell>
          <cell r="E29">
            <v>407</v>
          </cell>
          <cell r="F29">
            <v>109</v>
          </cell>
          <cell r="G29">
            <v>1735</v>
          </cell>
          <cell r="I29">
            <v>973.31470000000002</v>
          </cell>
          <cell r="J29">
            <v>973.31470000000002</v>
          </cell>
          <cell r="K29">
            <v>973.31470000000002</v>
          </cell>
          <cell r="L29">
            <v>961.84831299999996</v>
          </cell>
          <cell r="M29">
            <v>961.84831299999996</v>
          </cell>
          <cell r="N29">
            <v>961.84831299999996</v>
          </cell>
          <cell r="S29">
            <v>2406233.6504999981</v>
          </cell>
          <cell r="T29">
            <v>0</v>
          </cell>
        </row>
        <row r="30">
          <cell r="A30">
            <v>21</v>
          </cell>
          <cell r="B30" t="str">
            <v>Roxboro</v>
          </cell>
          <cell r="C30" t="str">
            <v>5M</v>
          </cell>
          <cell r="D30">
            <v>7</v>
          </cell>
          <cell r="E30">
            <v>68</v>
          </cell>
          <cell r="F30">
            <v>49</v>
          </cell>
          <cell r="G30">
            <v>155</v>
          </cell>
          <cell r="I30">
            <v>17.362200000000001</v>
          </cell>
          <cell r="J30">
            <v>17.362200000000001</v>
          </cell>
          <cell r="K30">
            <v>17.362200000000001</v>
          </cell>
          <cell r="L30">
            <v>15.205004000000001</v>
          </cell>
          <cell r="M30">
            <v>15.205004000000001</v>
          </cell>
          <cell r="N30">
            <v>15.205004000000001</v>
          </cell>
          <cell r="S30">
            <v>36720</v>
          </cell>
          <cell r="T30">
            <v>0</v>
          </cell>
        </row>
        <row r="31">
          <cell r="A31">
            <v>22</v>
          </cell>
          <cell r="B31" t="str">
            <v>Senneville</v>
          </cell>
          <cell r="C31" t="str">
            <v>5M</v>
          </cell>
          <cell r="D31">
            <v>7</v>
          </cell>
          <cell r="E31">
            <v>9</v>
          </cell>
          <cell r="F31">
            <v>1</v>
          </cell>
          <cell r="G31">
            <v>9</v>
          </cell>
          <cell r="H31">
            <v>9</v>
          </cell>
          <cell r="I31">
            <v>24.818999999999999</v>
          </cell>
          <cell r="J31">
            <v>24.818999999999999</v>
          </cell>
          <cell r="K31">
            <v>24.818999999999999</v>
          </cell>
          <cell r="L31">
            <v>24.818999999999999</v>
          </cell>
          <cell r="M31">
            <v>24.818999999999999</v>
          </cell>
          <cell r="N31">
            <v>24.818999999999999</v>
          </cell>
          <cell r="O31">
            <v>3347850</v>
          </cell>
          <cell r="P31">
            <v>2688520</v>
          </cell>
          <cell r="Q31">
            <v>659330</v>
          </cell>
          <cell r="S31">
            <v>83934</v>
          </cell>
          <cell r="T31">
            <v>0</v>
          </cell>
          <cell r="U31">
            <v>361006.40003999998</v>
          </cell>
          <cell r="W31">
            <v>263448200</v>
          </cell>
        </row>
        <row r="32">
          <cell r="A32">
            <v>23</v>
          </cell>
          <cell r="B32" t="str">
            <v>Ste-Anne-de-Bellevue</v>
          </cell>
          <cell r="C32" t="str">
            <v>5M</v>
          </cell>
          <cell r="D32">
            <v>7</v>
          </cell>
          <cell r="E32">
            <v>80</v>
          </cell>
          <cell r="F32">
            <v>89</v>
          </cell>
          <cell r="G32">
            <v>120</v>
          </cell>
          <cell r="I32">
            <v>40.687600000000003</v>
          </cell>
          <cell r="J32">
            <v>40.687600000000003</v>
          </cell>
          <cell r="K32">
            <v>40.687600000000003</v>
          </cell>
          <cell r="L32">
            <v>35.960864999999998</v>
          </cell>
          <cell r="M32">
            <v>35.960864999999998</v>
          </cell>
          <cell r="N32">
            <v>35.960864999999998</v>
          </cell>
          <cell r="S32">
            <v>93078.084540000025</v>
          </cell>
          <cell r="T32">
            <v>0</v>
          </cell>
        </row>
        <row r="33">
          <cell r="A33">
            <v>24</v>
          </cell>
          <cell r="B33" t="str">
            <v>Ste-Geneviève</v>
          </cell>
          <cell r="C33" t="str">
            <v>5M</v>
          </cell>
          <cell r="D33">
            <v>7</v>
          </cell>
          <cell r="E33">
            <v>61</v>
          </cell>
          <cell r="F33">
            <v>59</v>
          </cell>
          <cell r="G33">
            <v>92</v>
          </cell>
          <cell r="I33">
            <v>12.764200000000001</v>
          </cell>
          <cell r="J33">
            <v>12.764200000000001</v>
          </cell>
          <cell r="K33">
            <v>12.764200000000001</v>
          </cell>
          <cell r="L33">
            <v>9.5786200000000008</v>
          </cell>
          <cell r="M33">
            <v>9.5786200000000008</v>
          </cell>
          <cell r="N33">
            <v>9.5786200000000008</v>
          </cell>
          <cell r="S33">
            <v>12098</v>
          </cell>
          <cell r="T33">
            <v>18875</v>
          </cell>
        </row>
        <row r="34">
          <cell r="A34">
            <v>25</v>
          </cell>
          <cell r="B34" t="str">
            <v>St-Laurent</v>
          </cell>
          <cell r="C34" t="str">
            <v>5M</v>
          </cell>
          <cell r="D34">
            <v>7</v>
          </cell>
          <cell r="E34">
            <v>1585</v>
          </cell>
          <cell r="F34">
            <v>489</v>
          </cell>
          <cell r="G34">
            <v>5638</v>
          </cell>
          <cell r="I34">
            <v>2791.087</v>
          </cell>
          <cell r="J34">
            <v>2791.087</v>
          </cell>
          <cell r="K34">
            <v>2791.087</v>
          </cell>
          <cell r="L34">
            <v>2747.5546119999999</v>
          </cell>
          <cell r="M34">
            <v>2747.5546119999999</v>
          </cell>
          <cell r="N34">
            <v>2747.5546119999999</v>
          </cell>
          <cell r="S34">
            <v>5043320.070440013</v>
          </cell>
          <cell r="T34">
            <v>0</v>
          </cell>
        </row>
        <row r="35">
          <cell r="A35">
            <v>26</v>
          </cell>
          <cell r="B35" t="str">
            <v>St-Léonard</v>
          </cell>
          <cell r="C35" t="str">
            <v>5M</v>
          </cell>
          <cell r="D35">
            <v>7</v>
          </cell>
          <cell r="E35">
            <v>831</v>
          </cell>
          <cell r="F35">
            <v>429</v>
          </cell>
          <cell r="G35">
            <v>2504</v>
          </cell>
          <cell r="H35">
            <v>2504</v>
          </cell>
          <cell r="I35">
            <v>830.32095500000003</v>
          </cell>
          <cell r="J35">
            <v>780.75240299999996</v>
          </cell>
          <cell r="K35">
            <v>730.54660000000001</v>
          </cell>
          <cell r="L35">
            <v>802.34085848700022</v>
          </cell>
          <cell r="M35">
            <v>754.36642491299983</v>
          </cell>
          <cell r="N35">
            <v>705.75474689999999</v>
          </cell>
          <cell r="O35">
            <v>119253981</v>
          </cell>
          <cell r="P35">
            <v>99920651</v>
          </cell>
          <cell r="Q35">
            <v>17240590</v>
          </cell>
          <cell r="S35">
            <v>1083740.5255899997</v>
          </cell>
          <cell r="T35">
            <v>243439</v>
          </cell>
          <cell r="U35">
            <v>12212301.965220002</v>
          </cell>
          <cell r="W35">
            <v>1847199800</v>
          </cell>
        </row>
        <row r="36">
          <cell r="A36">
            <v>28</v>
          </cell>
          <cell r="B36" t="str">
            <v>Verdun</v>
          </cell>
          <cell r="C36" t="str">
            <v>5M</v>
          </cell>
          <cell r="D36">
            <v>7</v>
          </cell>
          <cell r="E36">
            <v>644</v>
          </cell>
          <cell r="F36">
            <v>990</v>
          </cell>
          <cell r="G36">
            <v>1229</v>
          </cell>
          <cell r="I36">
            <v>273.408525</v>
          </cell>
          <cell r="J36">
            <v>246.121137</v>
          </cell>
          <cell r="K36">
            <v>217.97790000000001</v>
          </cell>
          <cell r="L36">
            <v>240.61481103499989</v>
          </cell>
          <cell r="M36">
            <v>216.28310184500009</v>
          </cell>
          <cell r="N36">
            <v>191.099625</v>
          </cell>
          <cell r="S36">
            <v>486401.41099999967</v>
          </cell>
          <cell r="T36">
            <v>213024</v>
          </cell>
        </row>
        <row r="37">
          <cell r="A37">
            <v>29</v>
          </cell>
          <cell r="B37" t="str">
            <v>Westmount</v>
          </cell>
          <cell r="C37" t="str">
            <v>5M</v>
          </cell>
          <cell r="D37">
            <v>7</v>
          </cell>
          <cell r="E37">
            <v>214</v>
          </cell>
          <cell r="F37">
            <v>121</v>
          </cell>
          <cell r="G37">
            <v>947</v>
          </cell>
          <cell r="I37">
            <v>212.49399099999999</v>
          </cell>
          <cell r="J37">
            <v>200.07249899999999</v>
          </cell>
          <cell r="K37">
            <v>185.63460000000001</v>
          </cell>
          <cell r="L37">
            <v>203.55598958999994</v>
          </cell>
          <cell r="M37">
            <v>191.19480041000006</v>
          </cell>
          <cell r="N37">
            <v>176.817204</v>
          </cell>
          <cell r="S37">
            <v>0</v>
          </cell>
          <cell r="T37">
            <v>0</v>
          </cell>
        </row>
        <row r="38">
          <cell r="A38">
            <v>30</v>
          </cell>
          <cell r="B38" t="str">
            <v>Montréal</v>
          </cell>
          <cell r="C38" t="str">
            <v>5M</v>
          </cell>
          <cell r="D38">
            <v>7</v>
          </cell>
          <cell r="E38">
            <v>15644</v>
          </cell>
          <cell r="F38">
            <v>16949</v>
          </cell>
          <cell r="G38">
            <v>50618</v>
          </cell>
          <cell r="H38">
            <v>50617</v>
          </cell>
          <cell r="I38">
            <v>15276.28061</v>
          </cell>
          <cell r="J38">
            <v>14752.159836000001</v>
          </cell>
          <cell r="K38">
            <v>14198.2685</v>
          </cell>
          <cell r="L38">
            <v>14425.760997358986</v>
          </cell>
          <cell r="M38">
            <v>13941.802992651006</v>
          </cell>
          <cell r="N38">
            <v>13428.0427705</v>
          </cell>
          <cell r="O38">
            <v>2249146124</v>
          </cell>
          <cell r="P38">
            <v>1851257694</v>
          </cell>
          <cell r="Q38">
            <v>266207451</v>
          </cell>
          <cell r="R38">
            <v>1890879424</v>
          </cell>
          <cell r="S38">
            <v>0</v>
          </cell>
          <cell r="T38">
            <v>0</v>
          </cell>
          <cell r="U38">
            <v>235001283.71580034</v>
          </cell>
          <cell r="V38">
            <v>168099180.79359955</v>
          </cell>
          <cell r="W38">
            <v>32226403030</v>
          </cell>
        </row>
        <row r="39">
          <cell r="A39">
            <v>1</v>
          </cell>
          <cell r="B39" t="str">
            <v>Anjou</v>
          </cell>
          <cell r="C39" t="str">
            <v>6P</v>
          </cell>
          <cell r="D39">
            <v>7</v>
          </cell>
          <cell r="E39">
            <v>12</v>
          </cell>
          <cell r="F39">
            <v>1288</v>
          </cell>
          <cell r="G39">
            <v>32</v>
          </cell>
          <cell r="H39">
            <v>32</v>
          </cell>
          <cell r="I39">
            <v>42.658700000000003</v>
          </cell>
          <cell r="J39">
            <v>42.658700000000003</v>
          </cell>
          <cell r="K39">
            <v>42.658700000000003</v>
          </cell>
          <cell r="L39">
            <v>3.3485930000000002</v>
          </cell>
          <cell r="M39">
            <v>3.3485930000000002</v>
          </cell>
          <cell r="N39">
            <v>3.3485930000000002</v>
          </cell>
          <cell r="O39">
            <v>1237710</v>
          </cell>
          <cell r="P39">
            <v>493050</v>
          </cell>
          <cell r="Q39">
            <v>74720</v>
          </cell>
          <cell r="R39">
            <v>160160</v>
          </cell>
          <cell r="S39">
            <v>94409.870599999995</v>
          </cell>
          <cell r="T39">
            <v>0</v>
          </cell>
          <cell r="U39">
            <v>58327.814999999995</v>
          </cell>
          <cell r="W39">
            <v>10287531</v>
          </cell>
        </row>
        <row r="40">
          <cell r="A40">
            <v>2</v>
          </cell>
          <cell r="B40" t="str">
            <v>Baie d'Urfé</v>
          </cell>
          <cell r="C40" t="str">
            <v>6P</v>
          </cell>
          <cell r="D40">
            <v>7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T40">
            <v>0</v>
          </cell>
          <cell r="V40">
            <v>0</v>
          </cell>
          <cell r="W40">
            <v>0</v>
          </cell>
        </row>
        <row r="41">
          <cell r="A41">
            <v>3</v>
          </cell>
          <cell r="B41" t="str">
            <v>Beaconsfield</v>
          </cell>
          <cell r="C41" t="str">
            <v>6P</v>
          </cell>
          <cell r="D41">
            <v>7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T41">
            <v>0</v>
          </cell>
          <cell r="V41">
            <v>0</v>
          </cell>
          <cell r="W41">
            <v>0</v>
          </cell>
        </row>
        <row r="42">
          <cell r="A42">
            <v>4</v>
          </cell>
          <cell r="B42" t="str">
            <v>Côte-Saint-Luc</v>
          </cell>
          <cell r="C42" t="str">
            <v>6P</v>
          </cell>
          <cell r="D42">
            <v>7</v>
          </cell>
          <cell r="E42">
            <v>6</v>
          </cell>
          <cell r="F42">
            <v>608</v>
          </cell>
          <cell r="G42">
            <v>9</v>
          </cell>
          <cell r="H42">
            <v>9</v>
          </cell>
          <cell r="I42">
            <v>29.761067000000001</v>
          </cell>
          <cell r="J42">
            <v>28.677833</v>
          </cell>
          <cell r="K42">
            <v>27.5946</v>
          </cell>
          <cell r="L42">
            <v>3.4111489000000006</v>
          </cell>
          <cell r="M42">
            <v>3.2638210999999999</v>
          </cell>
          <cell r="N42">
            <v>3.1164939999999999</v>
          </cell>
          <cell r="O42">
            <v>365210</v>
          </cell>
          <cell r="P42">
            <v>294340</v>
          </cell>
          <cell r="Q42">
            <v>68170</v>
          </cell>
          <cell r="S42">
            <v>40775.867409999992</v>
          </cell>
          <cell r="T42">
            <v>0</v>
          </cell>
          <cell r="U42">
            <v>54570.635999999999</v>
          </cell>
          <cell r="W42">
            <v>5292800</v>
          </cell>
        </row>
        <row r="43">
          <cell r="A43">
            <v>5</v>
          </cell>
          <cell r="B43" t="str">
            <v>Dollard-des-Ormeaux</v>
          </cell>
          <cell r="C43" t="str">
            <v>6P</v>
          </cell>
          <cell r="D43">
            <v>7</v>
          </cell>
          <cell r="E43">
            <v>1</v>
          </cell>
          <cell r="F43">
            <v>160</v>
          </cell>
          <cell r="G43">
            <v>1</v>
          </cell>
          <cell r="I43">
            <v>9.5</v>
          </cell>
          <cell r="J43">
            <v>9.5</v>
          </cell>
          <cell r="K43">
            <v>9.5</v>
          </cell>
          <cell r="L43">
            <v>1.9</v>
          </cell>
          <cell r="M43">
            <v>1.9</v>
          </cell>
          <cell r="N43">
            <v>1.9</v>
          </cell>
          <cell r="S43">
            <v>20800</v>
          </cell>
          <cell r="T43">
            <v>0</v>
          </cell>
        </row>
        <row r="44">
          <cell r="A44">
            <v>6</v>
          </cell>
          <cell r="B44" t="str">
            <v>Dorval</v>
          </cell>
          <cell r="C44" t="str">
            <v>6P</v>
          </cell>
          <cell r="D44">
            <v>7</v>
          </cell>
          <cell r="E44">
            <v>3</v>
          </cell>
          <cell r="F44">
            <v>130</v>
          </cell>
          <cell r="G44">
            <v>9</v>
          </cell>
          <cell r="I44">
            <v>4.2263000000000002</v>
          </cell>
          <cell r="J44">
            <v>4.2263000000000002</v>
          </cell>
          <cell r="K44">
            <v>4.2263000000000002</v>
          </cell>
          <cell r="L44">
            <v>0.61378600000000005</v>
          </cell>
          <cell r="M44">
            <v>0.61378600000000005</v>
          </cell>
          <cell r="N44">
            <v>0.61378600000000005</v>
          </cell>
          <cell r="S44">
            <v>0</v>
          </cell>
          <cell r="T44">
            <v>0</v>
          </cell>
        </row>
        <row r="45">
          <cell r="A45">
            <v>7</v>
          </cell>
          <cell r="B45" t="str">
            <v>Hampstead</v>
          </cell>
          <cell r="C45" t="str">
            <v>6P</v>
          </cell>
          <cell r="D45">
            <v>7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T45">
            <v>0</v>
          </cell>
          <cell r="V45">
            <v>0</v>
          </cell>
          <cell r="W45">
            <v>0</v>
          </cell>
        </row>
        <row r="46">
          <cell r="A46">
            <v>8</v>
          </cell>
          <cell r="B46" t="str">
            <v>L'Ile-Bizard</v>
          </cell>
          <cell r="C46" t="str">
            <v>6P</v>
          </cell>
          <cell r="D46">
            <v>7</v>
          </cell>
          <cell r="E46">
            <v>3</v>
          </cell>
          <cell r="F46">
            <v>20</v>
          </cell>
          <cell r="G46">
            <v>3</v>
          </cell>
          <cell r="I46">
            <v>0.53090000000000004</v>
          </cell>
          <cell r="J46">
            <v>0.53090000000000004</v>
          </cell>
          <cell r="K46">
            <v>0.53090000000000004</v>
          </cell>
          <cell r="L46">
            <v>6.8434999999999996E-2</v>
          </cell>
          <cell r="M46">
            <v>6.8434999999999996E-2</v>
          </cell>
          <cell r="N46">
            <v>6.8434999999999996E-2</v>
          </cell>
          <cell r="S46">
            <v>4010</v>
          </cell>
          <cell r="T46">
            <v>0</v>
          </cell>
        </row>
        <row r="47">
          <cell r="A47">
            <v>9</v>
          </cell>
          <cell r="B47" t="str">
            <v>Ile-Dorval</v>
          </cell>
          <cell r="C47" t="str">
            <v>6P</v>
          </cell>
          <cell r="D47">
            <v>7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T47">
            <v>0</v>
          </cell>
          <cell r="V47">
            <v>0</v>
          </cell>
          <cell r="W47">
            <v>0</v>
          </cell>
        </row>
        <row r="48">
          <cell r="A48">
            <v>10</v>
          </cell>
          <cell r="B48" t="str">
            <v>Kirkland</v>
          </cell>
          <cell r="C48" t="str">
            <v>6P</v>
          </cell>
          <cell r="D48">
            <v>7</v>
          </cell>
          <cell r="E48">
            <v>1</v>
          </cell>
          <cell r="F48">
            <v>198</v>
          </cell>
          <cell r="G48">
            <v>3</v>
          </cell>
          <cell r="I48">
            <v>9.1</v>
          </cell>
          <cell r="J48">
            <v>9.1</v>
          </cell>
          <cell r="K48">
            <v>9.1</v>
          </cell>
          <cell r="L48">
            <v>9.0999999999999998E-2</v>
          </cell>
          <cell r="M48">
            <v>9.0999999999999998E-2</v>
          </cell>
          <cell r="N48">
            <v>9.0999999999999998E-2</v>
          </cell>
          <cell r="S48">
            <v>42632.12</v>
          </cell>
          <cell r="T48">
            <v>0</v>
          </cell>
        </row>
        <row r="49">
          <cell r="A49">
            <v>12</v>
          </cell>
          <cell r="B49" t="str">
            <v>LaSalle</v>
          </cell>
          <cell r="C49" t="str">
            <v>6P</v>
          </cell>
          <cell r="D49">
            <v>7</v>
          </cell>
          <cell r="E49">
            <v>20</v>
          </cell>
          <cell r="F49">
            <v>1352</v>
          </cell>
          <cell r="G49">
            <v>69</v>
          </cell>
          <cell r="I49">
            <v>41.353831999999997</v>
          </cell>
          <cell r="J49">
            <v>40.396267999999999</v>
          </cell>
          <cell r="K49">
            <v>39.438699999999997</v>
          </cell>
          <cell r="L49">
            <v>4.7224618309999995</v>
          </cell>
          <cell r="M49">
            <v>4.597112569000001</v>
          </cell>
          <cell r="N49">
            <v>4.4717630000000002</v>
          </cell>
          <cell r="S49">
            <v>176750.32</v>
          </cell>
          <cell r="T49">
            <v>142100</v>
          </cell>
        </row>
        <row r="50">
          <cell r="A50">
            <v>13</v>
          </cell>
          <cell r="B50" t="str">
            <v>Mont-Royal</v>
          </cell>
          <cell r="C50" t="str">
            <v>6P</v>
          </cell>
          <cell r="D50">
            <v>7</v>
          </cell>
          <cell r="E50">
            <v>4</v>
          </cell>
          <cell r="F50">
            <v>207</v>
          </cell>
          <cell r="G50">
            <v>11</v>
          </cell>
          <cell r="H50">
            <v>11</v>
          </cell>
          <cell r="I50">
            <v>9.4087999999999994</v>
          </cell>
          <cell r="J50">
            <v>9.4087999999999994</v>
          </cell>
          <cell r="K50">
            <v>9.4087999999999994</v>
          </cell>
          <cell r="L50">
            <v>2.7710400000000002</v>
          </cell>
          <cell r="M50">
            <v>2.7710400000000002</v>
          </cell>
          <cell r="N50">
            <v>2.7710400000000002</v>
          </cell>
          <cell r="O50">
            <v>1181340</v>
          </cell>
          <cell r="P50">
            <v>1078350</v>
          </cell>
          <cell r="Q50">
            <v>102990</v>
          </cell>
          <cell r="S50">
            <v>12187.73</v>
          </cell>
          <cell r="T50">
            <v>0</v>
          </cell>
          <cell r="U50">
            <v>154204.04999999999</v>
          </cell>
          <cell r="W50">
            <v>12368400</v>
          </cell>
        </row>
        <row r="51">
          <cell r="A51">
            <v>14</v>
          </cell>
          <cell r="B51" t="str">
            <v>Montréal-Est</v>
          </cell>
          <cell r="C51" t="str">
            <v>6P</v>
          </cell>
          <cell r="D51">
            <v>7</v>
          </cell>
          <cell r="E51">
            <v>1</v>
          </cell>
          <cell r="F51">
            <v>6</v>
          </cell>
          <cell r="G51">
            <v>9</v>
          </cell>
          <cell r="I51">
            <v>0.90480000000000005</v>
          </cell>
          <cell r="J51">
            <v>0.90480000000000005</v>
          </cell>
          <cell r="K51">
            <v>0.90480000000000005</v>
          </cell>
          <cell r="L51">
            <v>0.90480000000000005</v>
          </cell>
          <cell r="M51">
            <v>0.90480000000000005</v>
          </cell>
          <cell r="N51">
            <v>0.90480000000000005</v>
          </cell>
          <cell r="S51">
            <v>1950.4</v>
          </cell>
          <cell r="T51">
            <v>0</v>
          </cell>
        </row>
        <row r="52">
          <cell r="A52">
            <v>15</v>
          </cell>
          <cell r="B52" t="str">
            <v>Montréal-Ouest</v>
          </cell>
          <cell r="C52" t="str">
            <v>6P</v>
          </cell>
          <cell r="D52">
            <v>7</v>
          </cell>
          <cell r="E52">
            <v>1</v>
          </cell>
          <cell r="F52">
            <v>9</v>
          </cell>
          <cell r="G52">
            <v>3</v>
          </cell>
          <cell r="H52">
            <v>3</v>
          </cell>
          <cell r="I52">
            <v>0.371</v>
          </cell>
          <cell r="J52">
            <v>0.371</v>
          </cell>
          <cell r="K52">
            <v>0.371</v>
          </cell>
          <cell r="L52">
            <v>0.1484</v>
          </cell>
          <cell r="M52">
            <v>0.1484</v>
          </cell>
          <cell r="N52">
            <v>0.1484</v>
          </cell>
          <cell r="O52">
            <v>35500</v>
          </cell>
          <cell r="P52">
            <v>35500</v>
          </cell>
          <cell r="S52">
            <v>1521</v>
          </cell>
          <cell r="T52">
            <v>0</v>
          </cell>
          <cell r="U52">
            <v>3844.65</v>
          </cell>
          <cell r="W52">
            <v>392200</v>
          </cell>
        </row>
        <row r="53">
          <cell r="A53">
            <v>16</v>
          </cell>
          <cell r="B53" t="str">
            <v>Montréal-Nord</v>
          </cell>
          <cell r="C53" t="str">
            <v>6P</v>
          </cell>
          <cell r="D53">
            <v>7</v>
          </cell>
          <cell r="E53">
            <v>79</v>
          </cell>
          <cell r="F53">
            <v>3893</v>
          </cell>
          <cell r="G53">
            <v>206</v>
          </cell>
          <cell r="H53">
            <v>206</v>
          </cell>
          <cell r="I53">
            <v>165.1728</v>
          </cell>
          <cell r="J53">
            <v>165.1728</v>
          </cell>
          <cell r="K53">
            <v>165.1728</v>
          </cell>
          <cell r="L53">
            <v>14.6045388</v>
          </cell>
          <cell r="M53">
            <v>14.6045388</v>
          </cell>
          <cell r="N53">
            <v>14.6045388</v>
          </cell>
          <cell r="O53">
            <v>3067930</v>
          </cell>
          <cell r="P53">
            <v>2234560</v>
          </cell>
          <cell r="Q53">
            <v>278210</v>
          </cell>
          <cell r="R53">
            <v>100000</v>
          </cell>
          <cell r="S53">
            <v>359904.8</v>
          </cell>
          <cell r="T53">
            <v>0</v>
          </cell>
          <cell r="U53">
            <v>300548.32</v>
          </cell>
          <cell r="W53">
            <v>35008800</v>
          </cell>
        </row>
        <row r="54">
          <cell r="A54">
            <v>17</v>
          </cell>
          <cell r="B54" t="str">
            <v>Outremont</v>
          </cell>
          <cell r="C54" t="str">
            <v>6P</v>
          </cell>
          <cell r="D54">
            <v>7</v>
          </cell>
          <cell r="E54">
            <v>53</v>
          </cell>
          <cell r="F54">
            <v>1693</v>
          </cell>
          <cell r="G54">
            <v>179</v>
          </cell>
          <cell r="H54">
            <v>179</v>
          </cell>
          <cell r="I54">
            <v>97.985699999999994</v>
          </cell>
          <cell r="J54">
            <v>97.985699999999994</v>
          </cell>
          <cell r="K54">
            <v>97.985699999999994</v>
          </cell>
          <cell r="L54">
            <v>16.452329199999998</v>
          </cell>
          <cell r="M54">
            <v>16.452329199999998</v>
          </cell>
          <cell r="N54">
            <v>16.452329199999998</v>
          </cell>
          <cell r="O54">
            <v>2780070</v>
          </cell>
          <cell r="P54">
            <v>2456890</v>
          </cell>
          <cell r="Q54">
            <v>279200</v>
          </cell>
          <cell r="S54">
            <v>18416.0851</v>
          </cell>
          <cell r="T54">
            <v>378144</v>
          </cell>
          <cell r="U54">
            <v>334874.10700000002</v>
          </cell>
          <cell r="W54">
            <v>19226211</v>
          </cell>
        </row>
        <row r="55">
          <cell r="A55">
            <v>18</v>
          </cell>
          <cell r="B55" t="str">
            <v>Pierrefonds</v>
          </cell>
          <cell r="C55" t="str">
            <v>6P</v>
          </cell>
          <cell r="D55">
            <v>7</v>
          </cell>
          <cell r="E55">
            <v>4</v>
          </cell>
          <cell r="F55">
            <v>437</v>
          </cell>
          <cell r="G55">
            <v>16</v>
          </cell>
          <cell r="H55">
            <v>16</v>
          </cell>
          <cell r="I55">
            <v>18.1492</v>
          </cell>
          <cell r="J55">
            <v>18.1492</v>
          </cell>
          <cell r="K55">
            <v>18.1492</v>
          </cell>
          <cell r="L55">
            <v>0.92905599999999999</v>
          </cell>
          <cell r="M55">
            <v>0.92905599999999999</v>
          </cell>
          <cell r="N55">
            <v>0.92905599999999999</v>
          </cell>
          <cell r="O55">
            <v>562750</v>
          </cell>
          <cell r="P55">
            <v>116400</v>
          </cell>
          <cell r="Q55">
            <v>57550</v>
          </cell>
          <cell r="R55">
            <v>97200</v>
          </cell>
          <cell r="S55">
            <v>32315</v>
          </cell>
          <cell r="T55">
            <v>38505</v>
          </cell>
          <cell r="U55">
            <v>8904.6</v>
          </cell>
          <cell r="W55">
            <v>6598100</v>
          </cell>
        </row>
        <row r="56">
          <cell r="A56">
            <v>19</v>
          </cell>
          <cell r="B56" t="str">
            <v>Lachine</v>
          </cell>
          <cell r="C56" t="str">
            <v>6P</v>
          </cell>
          <cell r="D56">
            <v>7</v>
          </cell>
          <cell r="E56">
            <v>18</v>
          </cell>
          <cell r="F56">
            <v>176</v>
          </cell>
          <cell r="G56">
            <v>33</v>
          </cell>
          <cell r="I56">
            <v>6.0908670000000003</v>
          </cell>
          <cell r="J56">
            <v>5.6178330000000001</v>
          </cell>
          <cell r="K56">
            <v>5.1448</v>
          </cell>
          <cell r="L56">
            <v>1.8689780200000001</v>
          </cell>
          <cell r="M56">
            <v>1.73265998</v>
          </cell>
          <cell r="N56">
            <v>1.5963419999999999</v>
          </cell>
          <cell r="S56">
            <v>41344.800000000003</v>
          </cell>
          <cell r="T56">
            <v>17765</v>
          </cell>
        </row>
        <row r="57">
          <cell r="A57">
            <v>20</v>
          </cell>
          <cell r="B57" t="str">
            <v>Pointe-Claire</v>
          </cell>
          <cell r="C57" t="str">
            <v>6P</v>
          </cell>
          <cell r="D57">
            <v>7</v>
          </cell>
          <cell r="E57">
            <v>2</v>
          </cell>
          <cell r="F57">
            <v>669</v>
          </cell>
          <cell r="G57">
            <v>13</v>
          </cell>
          <cell r="I57">
            <v>29.711200000000002</v>
          </cell>
          <cell r="J57">
            <v>29.711200000000002</v>
          </cell>
          <cell r="K57">
            <v>29.711200000000002</v>
          </cell>
          <cell r="L57">
            <v>1.5119119999999999</v>
          </cell>
          <cell r="M57">
            <v>1.5119119999999999</v>
          </cell>
          <cell r="N57">
            <v>1.5119119999999999</v>
          </cell>
          <cell r="S57">
            <v>93910.19</v>
          </cell>
          <cell r="T57">
            <v>0</v>
          </cell>
        </row>
        <row r="58">
          <cell r="A58">
            <v>21</v>
          </cell>
          <cell r="B58" t="str">
            <v>Roxboro</v>
          </cell>
          <cell r="C58" t="str">
            <v>6P</v>
          </cell>
          <cell r="D58">
            <v>7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T58">
            <v>0</v>
          </cell>
          <cell r="V58">
            <v>0</v>
          </cell>
          <cell r="W58">
            <v>0</v>
          </cell>
        </row>
        <row r="59">
          <cell r="A59">
            <v>22</v>
          </cell>
          <cell r="B59" t="str">
            <v>Senneville</v>
          </cell>
          <cell r="C59" t="str">
            <v>6P</v>
          </cell>
          <cell r="D59">
            <v>7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T59">
            <v>0</v>
          </cell>
          <cell r="V59">
            <v>0</v>
          </cell>
          <cell r="W59">
            <v>0</v>
          </cell>
        </row>
        <row r="60">
          <cell r="A60">
            <v>23</v>
          </cell>
          <cell r="B60" t="str">
            <v>Ste-Anne-de-Bellevue</v>
          </cell>
          <cell r="C60" t="str">
            <v>6P</v>
          </cell>
          <cell r="D60">
            <v>7</v>
          </cell>
          <cell r="E60">
            <v>2</v>
          </cell>
          <cell r="F60">
            <v>20</v>
          </cell>
          <cell r="G60">
            <v>9</v>
          </cell>
          <cell r="I60">
            <v>0.93</v>
          </cell>
          <cell r="J60">
            <v>0.93</v>
          </cell>
          <cell r="K60">
            <v>0.93</v>
          </cell>
          <cell r="L60">
            <v>0.33799800000000002</v>
          </cell>
          <cell r="M60">
            <v>0.33799800000000002</v>
          </cell>
          <cell r="N60">
            <v>0.33799800000000002</v>
          </cell>
          <cell r="S60">
            <v>2977.19884</v>
          </cell>
          <cell r="T60">
            <v>0</v>
          </cell>
        </row>
        <row r="61">
          <cell r="A61">
            <v>24</v>
          </cell>
          <cell r="B61" t="str">
            <v>Ste-Geneviève</v>
          </cell>
          <cell r="C61" t="str">
            <v>6P</v>
          </cell>
          <cell r="D61">
            <v>7</v>
          </cell>
          <cell r="E61">
            <v>2</v>
          </cell>
          <cell r="F61">
            <v>12</v>
          </cell>
          <cell r="G61">
            <v>4</v>
          </cell>
          <cell r="I61">
            <v>0.4914</v>
          </cell>
          <cell r="J61">
            <v>0.4914</v>
          </cell>
          <cell r="K61">
            <v>0.4914</v>
          </cell>
          <cell r="L61">
            <v>0.14091200000000001</v>
          </cell>
          <cell r="M61">
            <v>0.14091200000000001</v>
          </cell>
          <cell r="N61">
            <v>0.14091200000000001</v>
          </cell>
          <cell r="S61">
            <v>1750</v>
          </cell>
          <cell r="T61">
            <v>2000</v>
          </cell>
        </row>
        <row r="62">
          <cell r="A62">
            <v>25</v>
          </cell>
          <cell r="B62" t="str">
            <v>St-Laurent</v>
          </cell>
          <cell r="C62" t="str">
            <v>6P</v>
          </cell>
          <cell r="D62">
            <v>7</v>
          </cell>
          <cell r="E62">
            <v>30</v>
          </cell>
          <cell r="F62">
            <v>3291</v>
          </cell>
          <cell r="G62">
            <v>62</v>
          </cell>
          <cell r="I62">
            <v>123.0393</v>
          </cell>
          <cell r="J62">
            <v>123.0393</v>
          </cell>
          <cell r="K62">
            <v>123.0393</v>
          </cell>
          <cell r="L62">
            <v>3.3698872</v>
          </cell>
          <cell r="M62">
            <v>3.3698872</v>
          </cell>
          <cell r="N62">
            <v>3.3698872</v>
          </cell>
          <cell r="S62">
            <v>319010.39</v>
          </cell>
          <cell r="T62">
            <v>0</v>
          </cell>
        </row>
        <row r="63">
          <cell r="A63">
            <v>26</v>
          </cell>
          <cell r="B63" t="str">
            <v>St-Léonard</v>
          </cell>
          <cell r="C63" t="str">
            <v>6P</v>
          </cell>
          <cell r="D63">
            <v>7</v>
          </cell>
          <cell r="E63">
            <v>40</v>
          </cell>
          <cell r="F63">
            <v>875</v>
          </cell>
          <cell r="G63">
            <v>88</v>
          </cell>
          <cell r="H63">
            <v>88</v>
          </cell>
          <cell r="I63">
            <v>44.405698999999998</v>
          </cell>
          <cell r="J63">
            <v>42.350901</v>
          </cell>
          <cell r="K63">
            <v>40.296100000000003</v>
          </cell>
          <cell r="L63">
            <v>9.4667419399999968</v>
          </cell>
          <cell r="M63">
            <v>8.9266800600000007</v>
          </cell>
          <cell r="N63">
            <v>8.3866169999999993</v>
          </cell>
          <cell r="O63">
            <v>1513830</v>
          </cell>
          <cell r="P63">
            <v>1145760</v>
          </cell>
          <cell r="Q63">
            <v>334270</v>
          </cell>
          <cell r="S63">
            <v>96518.445320000013</v>
          </cell>
          <cell r="T63">
            <v>79929</v>
          </cell>
          <cell r="U63">
            <v>140034.78719999999</v>
          </cell>
          <cell r="W63">
            <v>16250300</v>
          </cell>
        </row>
        <row r="64">
          <cell r="A64">
            <v>28</v>
          </cell>
          <cell r="B64" t="str">
            <v>Verdun</v>
          </cell>
          <cell r="C64" t="str">
            <v>6P</v>
          </cell>
          <cell r="D64">
            <v>7</v>
          </cell>
          <cell r="E64">
            <v>59</v>
          </cell>
          <cell r="F64">
            <v>952</v>
          </cell>
          <cell r="G64">
            <v>115</v>
          </cell>
          <cell r="I64">
            <v>139.79489699999999</v>
          </cell>
          <cell r="J64">
            <v>132.01620299999999</v>
          </cell>
          <cell r="K64">
            <v>124.2375</v>
          </cell>
          <cell r="L64">
            <v>8.200297814999999</v>
          </cell>
          <cell r="M64">
            <v>7.4530815849999987</v>
          </cell>
          <cell r="N64">
            <v>6.705864</v>
          </cell>
          <cell r="S64">
            <v>91082.502760000018</v>
          </cell>
          <cell r="T64">
            <v>102432</v>
          </cell>
        </row>
        <row r="65">
          <cell r="A65">
            <v>29</v>
          </cell>
          <cell r="B65" t="str">
            <v>Westmount</v>
          </cell>
          <cell r="C65" t="str">
            <v>6P</v>
          </cell>
          <cell r="D65">
            <v>7</v>
          </cell>
          <cell r="E65">
            <v>24</v>
          </cell>
          <cell r="F65">
            <v>1818</v>
          </cell>
          <cell r="G65">
            <v>418</v>
          </cell>
          <cell r="I65">
            <v>253.28619900000001</v>
          </cell>
          <cell r="J65">
            <v>244.02200099999999</v>
          </cell>
          <cell r="K65">
            <v>234.7578</v>
          </cell>
          <cell r="L65">
            <v>92.576037582999987</v>
          </cell>
          <cell r="M65">
            <v>88.464672317000009</v>
          </cell>
          <cell r="N65">
            <v>84.353306000000003</v>
          </cell>
          <cell r="S65">
            <v>0</v>
          </cell>
          <cell r="T65">
            <v>0</v>
          </cell>
        </row>
        <row r="66">
          <cell r="A66">
            <v>30</v>
          </cell>
          <cell r="B66" t="str">
            <v>Montréal</v>
          </cell>
          <cell r="C66" t="str">
            <v>6P</v>
          </cell>
          <cell r="D66">
            <v>7</v>
          </cell>
          <cell r="E66">
            <v>1649</v>
          </cell>
          <cell r="F66">
            <v>47515</v>
          </cell>
          <cell r="G66">
            <v>4231</v>
          </cell>
          <cell r="H66">
            <v>4230</v>
          </cell>
          <cell r="I66">
            <v>1929.583707</v>
          </cell>
          <cell r="J66">
            <v>1893.3315230000001</v>
          </cell>
          <cell r="K66">
            <v>1856.7448999999999</v>
          </cell>
          <cell r="L66">
            <v>412.12537335500019</v>
          </cell>
          <cell r="M66">
            <v>400.11515104499972</v>
          </cell>
          <cell r="N66">
            <v>387.97514890000002</v>
          </cell>
          <cell r="O66">
            <v>70607290</v>
          </cell>
          <cell r="P66">
            <v>57431500</v>
          </cell>
          <cell r="Q66">
            <v>7350330</v>
          </cell>
          <cell r="R66">
            <v>58728400</v>
          </cell>
          <cell r="S66">
            <v>0</v>
          </cell>
          <cell r="T66">
            <v>0</v>
          </cell>
          <cell r="U66">
            <v>6872002.7572000083</v>
          </cell>
          <cell r="V66">
            <v>5220954.7599999905</v>
          </cell>
          <cell r="W66">
            <v>790397400</v>
          </cell>
        </row>
      </sheetData>
      <sheetData sheetId="1"/>
      <sheetData sheetId="2">
        <row r="1">
          <cell r="A1" t="str">
            <v>nocorp</v>
          </cell>
          <cell r="B1" t="str">
            <v>muni</v>
          </cell>
          <cell r="C1" t="str">
            <v>log</v>
          </cell>
          <cell r="D1" t="str">
            <v>_TYPE_</v>
          </cell>
          <cell r="E1" t="str">
            <v>_FREQ_</v>
          </cell>
          <cell r="F1" t="str">
            <v>logis</v>
          </cell>
          <cell r="G1" t="str">
            <v>ev2001</v>
          </cell>
          <cell r="H1" t="str">
            <v>ev2002</v>
          </cell>
          <cell r="I1" t="str">
            <v>ev2003</v>
          </cell>
        </row>
        <row r="2">
          <cell r="D2">
            <v>0</v>
          </cell>
          <cell r="E2">
            <v>363263</v>
          </cell>
          <cell r="F2">
            <v>794631</v>
          </cell>
          <cell r="G2">
            <v>59697.682107000001</v>
          </cell>
          <cell r="H2">
            <v>59512.4234</v>
          </cell>
          <cell r="I2">
            <v>59314.114051999997</v>
          </cell>
        </row>
        <row r="3">
          <cell r="C3" t="str">
            <v>1G</v>
          </cell>
          <cell r="D3">
            <v>1</v>
          </cell>
          <cell r="E3">
            <v>15167</v>
          </cell>
          <cell r="F3">
            <v>15689</v>
          </cell>
          <cell r="G3">
            <v>109.904183</v>
          </cell>
          <cell r="H3">
            <v>108.86011999999999</v>
          </cell>
          <cell r="I3">
            <v>108.06941</v>
          </cell>
        </row>
        <row r="4">
          <cell r="C4" t="str">
            <v>5M</v>
          </cell>
          <cell r="D4">
            <v>1</v>
          </cell>
          <cell r="E4">
            <v>330404</v>
          </cell>
          <cell r="F4">
            <v>513092</v>
          </cell>
          <cell r="G4">
            <v>51492.162282999998</v>
          </cell>
          <cell r="H4">
            <v>51537.878178999999</v>
          </cell>
          <cell r="I4">
            <v>51572.748771999999</v>
          </cell>
        </row>
        <row r="5">
          <cell r="C5" t="str">
            <v>6P</v>
          </cell>
          <cell r="D5">
            <v>1</v>
          </cell>
          <cell r="E5">
            <v>17692</v>
          </cell>
          <cell r="F5">
            <v>265850</v>
          </cell>
          <cell r="G5">
            <v>8095.6156410000003</v>
          </cell>
          <cell r="H5">
            <v>7865.685101</v>
          </cell>
          <cell r="I5">
            <v>7633.2958699999999</v>
          </cell>
        </row>
        <row r="6">
          <cell r="A6">
            <v>1</v>
          </cell>
          <cell r="B6" t="str">
            <v>Anjou</v>
          </cell>
          <cell r="C6" t="str">
            <v>1G</v>
          </cell>
          <cell r="D6">
            <v>7</v>
          </cell>
          <cell r="E6">
            <v>836</v>
          </cell>
          <cell r="F6">
            <v>836</v>
          </cell>
          <cell r="G6">
            <v>3.8435999999999999</v>
          </cell>
          <cell r="H6">
            <v>3.8435999999999999</v>
          </cell>
          <cell r="I6">
            <v>3.8435999999999999</v>
          </cell>
        </row>
        <row r="7">
          <cell r="A7">
            <v>2</v>
          </cell>
          <cell r="B7" t="str">
            <v>Baie d'Urfé</v>
          </cell>
          <cell r="C7" t="str">
            <v>1G</v>
          </cell>
          <cell r="D7">
            <v>7</v>
          </cell>
          <cell r="E7">
            <v>21</v>
          </cell>
          <cell r="F7">
            <v>21</v>
          </cell>
          <cell r="G7">
            <v>0.12909999999999999</v>
          </cell>
          <cell r="H7">
            <v>0.12909999999999999</v>
          </cell>
          <cell r="I7">
            <v>0.12909999999999999</v>
          </cell>
        </row>
        <row r="8">
          <cell r="A8">
            <v>3</v>
          </cell>
          <cell r="B8" t="str">
            <v>Beaconsfield</v>
          </cell>
          <cell r="C8" t="str">
            <v>1G</v>
          </cell>
          <cell r="D8">
            <v>7</v>
          </cell>
          <cell r="E8">
            <v>51</v>
          </cell>
          <cell r="F8">
            <v>51</v>
          </cell>
          <cell r="G8">
            <v>0.23749999999999999</v>
          </cell>
          <cell r="H8">
            <v>0.23749999999999999</v>
          </cell>
          <cell r="I8">
            <v>0.23749999999999999</v>
          </cell>
        </row>
        <row r="9">
          <cell r="A9">
            <v>4</v>
          </cell>
          <cell r="B9" t="str">
            <v>Côte-Saint-Luc</v>
          </cell>
          <cell r="C9" t="str">
            <v>1G</v>
          </cell>
          <cell r="D9">
            <v>7</v>
          </cell>
          <cell r="E9">
            <v>916</v>
          </cell>
          <cell r="F9">
            <v>916</v>
          </cell>
          <cell r="G9">
            <v>4.9523970000000004</v>
          </cell>
          <cell r="H9">
            <v>5.0218069999999999</v>
          </cell>
          <cell r="I9">
            <v>5.091202</v>
          </cell>
        </row>
        <row r="10">
          <cell r="A10">
            <v>5</v>
          </cell>
          <cell r="B10" t="str">
            <v>Dollard-des-Ormeaux</v>
          </cell>
          <cell r="C10" t="str">
            <v>1G</v>
          </cell>
          <cell r="D10">
            <v>7</v>
          </cell>
          <cell r="E10">
            <v>53</v>
          </cell>
          <cell r="F10">
            <v>53</v>
          </cell>
          <cell r="G10">
            <v>0.23269999999999999</v>
          </cell>
          <cell r="H10">
            <v>0.23269999999999999</v>
          </cell>
          <cell r="I10">
            <v>0.23269999999999999</v>
          </cell>
        </row>
        <row r="11">
          <cell r="A11">
            <v>6</v>
          </cell>
          <cell r="B11" t="str">
            <v>Dorval</v>
          </cell>
          <cell r="C11" t="str">
            <v>1G</v>
          </cell>
          <cell r="D11">
            <v>7</v>
          </cell>
          <cell r="E11">
            <v>200</v>
          </cell>
          <cell r="F11">
            <v>200</v>
          </cell>
          <cell r="G11">
            <v>1.39</v>
          </cell>
          <cell r="H11">
            <v>1.39</v>
          </cell>
          <cell r="I11">
            <v>1.39</v>
          </cell>
        </row>
        <row r="12">
          <cell r="A12">
            <v>7</v>
          </cell>
          <cell r="B12" t="str">
            <v>Hampstead</v>
          </cell>
          <cell r="C12" t="str">
            <v>1G</v>
          </cell>
          <cell r="D12">
            <v>7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>
            <v>8</v>
          </cell>
          <cell r="B13" t="str">
            <v>L'Ile-Bizard</v>
          </cell>
          <cell r="C13" t="str">
            <v>1G</v>
          </cell>
          <cell r="D13">
            <v>7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9</v>
          </cell>
          <cell r="B14" t="str">
            <v>L'Ile-Dorval</v>
          </cell>
          <cell r="C14" t="str">
            <v>1G</v>
          </cell>
          <cell r="D14">
            <v>7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10</v>
          </cell>
          <cell r="B15" t="str">
            <v>Kirkland</v>
          </cell>
          <cell r="C15" t="str">
            <v>1G</v>
          </cell>
          <cell r="D15">
            <v>7</v>
          </cell>
          <cell r="E15">
            <v>20</v>
          </cell>
          <cell r="F15">
            <v>20</v>
          </cell>
          <cell r="G15">
            <v>0.14119999999999999</v>
          </cell>
          <cell r="H15">
            <v>0.14119999999999999</v>
          </cell>
          <cell r="I15">
            <v>0.14119999999999999</v>
          </cell>
        </row>
        <row r="16">
          <cell r="A16">
            <v>12</v>
          </cell>
          <cell r="B16" t="str">
            <v>LaSalle</v>
          </cell>
          <cell r="C16" t="str">
            <v>1G</v>
          </cell>
          <cell r="D16">
            <v>7</v>
          </cell>
          <cell r="E16">
            <v>1008</v>
          </cell>
          <cell r="F16">
            <v>1465</v>
          </cell>
          <cell r="G16">
            <v>3.5824940000000001</v>
          </cell>
          <cell r="H16">
            <v>3.4572059999999998</v>
          </cell>
          <cell r="I16">
            <v>3.3319999999999999</v>
          </cell>
        </row>
        <row r="17">
          <cell r="A17">
            <v>13</v>
          </cell>
          <cell r="B17" t="str">
            <v>Mont-Royal</v>
          </cell>
          <cell r="C17" t="str">
            <v>1G</v>
          </cell>
          <cell r="D17">
            <v>7</v>
          </cell>
          <cell r="E17">
            <v>37</v>
          </cell>
          <cell r="F17">
            <v>37</v>
          </cell>
          <cell r="G17">
            <v>0.3322</v>
          </cell>
          <cell r="H17">
            <v>0.3322</v>
          </cell>
          <cell r="I17">
            <v>0.3322</v>
          </cell>
        </row>
        <row r="18">
          <cell r="A18">
            <v>14</v>
          </cell>
          <cell r="B18" t="str">
            <v>Montréal-Est</v>
          </cell>
          <cell r="C18" t="str">
            <v>1G</v>
          </cell>
          <cell r="D18">
            <v>7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15</v>
          </cell>
          <cell r="B19" t="str">
            <v>Montréal-0uest</v>
          </cell>
          <cell r="C19" t="str">
            <v>1G</v>
          </cell>
          <cell r="D19">
            <v>7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A20">
            <v>16</v>
          </cell>
          <cell r="B20" t="str">
            <v>Montréal-Nord</v>
          </cell>
          <cell r="C20" t="str">
            <v>1G</v>
          </cell>
          <cell r="D20">
            <v>7</v>
          </cell>
          <cell r="E20">
            <v>88</v>
          </cell>
          <cell r="F20">
            <v>88</v>
          </cell>
          <cell r="G20">
            <v>0.50450399999999995</v>
          </cell>
          <cell r="H20">
            <v>0.50450399999999995</v>
          </cell>
          <cell r="I20">
            <v>0.50450399999999995</v>
          </cell>
        </row>
        <row r="21">
          <cell r="A21">
            <v>17</v>
          </cell>
          <cell r="B21" t="str">
            <v>Outremont</v>
          </cell>
          <cell r="C21" t="str">
            <v>1G</v>
          </cell>
          <cell r="D21">
            <v>7</v>
          </cell>
          <cell r="E21">
            <v>228</v>
          </cell>
          <cell r="F21">
            <v>228</v>
          </cell>
          <cell r="G21">
            <v>2.7623000000000002</v>
          </cell>
          <cell r="H21">
            <v>2.7623000000000002</v>
          </cell>
          <cell r="I21">
            <v>2.7623000000000002</v>
          </cell>
        </row>
        <row r="22">
          <cell r="A22">
            <v>18</v>
          </cell>
          <cell r="B22" t="str">
            <v>Pierrefonds</v>
          </cell>
          <cell r="C22" t="str">
            <v>1G</v>
          </cell>
          <cell r="D22">
            <v>7</v>
          </cell>
          <cell r="E22">
            <v>277</v>
          </cell>
          <cell r="F22">
            <v>277</v>
          </cell>
          <cell r="G22">
            <v>1.0552999999999999</v>
          </cell>
          <cell r="H22">
            <v>1.0552999999999999</v>
          </cell>
          <cell r="I22">
            <v>1.0552999999999999</v>
          </cell>
        </row>
        <row r="23">
          <cell r="A23">
            <v>19</v>
          </cell>
          <cell r="B23" t="str">
            <v>Lachine</v>
          </cell>
          <cell r="C23" t="str">
            <v>1G</v>
          </cell>
          <cell r="D23">
            <v>7</v>
          </cell>
          <cell r="E23">
            <v>414</v>
          </cell>
          <cell r="F23">
            <v>414</v>
          </cell>
          <cell r="G23">
            <v>1.4363539999999999</v>
          </cell>
          <cell r="H23">
            <v>1.425346</v>
          </cell>
          <cell r="I23">
            <v>1.4144000000000001</v>
          </cell>
        </row>
        <row r="24">
          <cell r="A24">
            <v>20</v>
          </cell>
          <cell r="B24" t="str">
            <v>Pointe-Claire</v>
          </cell>
          <cell r="C24" t="str">
            <v>1G</v>
          </cell>
          <cell r="D24">
            <v>7</v>
          </cell>
          <cell r="E24">
            <v>43</v>
          </cell>
          <cell r="F24">
            <v>43</v>
          </cell>
          <cell r="G24">
            <v>0.2026</v>
          </cell>
          <cell r="H24">
            <v>0.2026</v>
          </cell>
          <cell r="I24">
            <v>0.2026</v>
          </cell>
        </row>
        <row r="25">
          <cell r="A25">
            <v>21</v>
          </cell>
          <cell r="B25" t="str">
            <v>Roxboro</v>
          </cell>
          <cell r="C25" t="str">
            <v>1G</v>
          </cell>
          <cell r="D25">
            <v>7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22</v>
          </cell>
          <cell r="B26" t="str">
            <v>Senneville</v>
          </cell>
          <cell r="C26" t="str">
            <v>1G</v>
          </cell>
          <cell r="D26">
            <v>7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23</v>
          </cell>
          <cell r="B27" t="str">
            <v>Ste-Anne-de-Bellevue</v>
          </cell>
          <cell r="C27" t="str">
            <v>1G</v>
          </cell>
          <cell r="D27">
            <v>7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24</v>
          </cell>
          <cell r="B28" t="str">
            <v>Ste-Geneviève</v>
          </cell>
          <cell r="C28" t="str">
            <v>1G</v>
          </cell>
          <cell r="D28">
            <v>7</v>
          </cell>
          <cell r="E28">
            <v>5</v>
          </cell>
          <cell r="F28">
            <v>5</v>
          </cell>
          <cell r="G28">
            <v>2.5000000000000001E-2</v>
          </cell>
          <cell r="H28">
            <v>2.5000000000000001E-2</v>
          </cell>
          <cell r="I28">
            <v>2.5000000000000001E-2</v>
          </cell>
        </row>
        <row r="29">
          <cell r="A29">
            <v>25</v>
          </cell>
          <cell r="B29" t="str">
            <v>St-Laurent</v>
          </cell>
          <cell r="C29" t="str">
            <v>1G</v>
          </cell>
          <cell r="D29">
            <v>7</v>
          </cell>
          <cell r="E29">
            <v>1714</v>
          </cell>
          <cell r="F29">
            <v>1714</v>
          </cell>
          <cell r="G29">
            <v>9.9974019999999992</v>
          </cell>
          <cell r="H29">
            <v>9.9974019999999992</v>
          </cell>
          <cell r="I29">
            <v>9.9974019999999992</v>
          </cell>
        </row>
        <row r="30">
          <cell r="A30">
            <v>26</v>
          </cell>
          <cell r="B30" t="str">
            <v>St-Léonard</v>
          </cell>
          <cell r="C30" t="str">
            <v>1G</v>
          </cell>
          <cell r="D30">
            <v>7</v>
          </cell>
          <cell r="E30">
            <v>343</v>
          </cell>
          <cell r="F30">
            <v>343</v>
          </cell>
          <cell r="G30">
            <v>2.0906210000000001</v>
          </cell>
          <cell r="H30">
            <v>1.914979</v>
          </cell>
          <cell r="I30">
            <v>1.7392000000000001</v>
          </cell>
        </row>
        <row r="31">
          <cell r="A31">
            <v>28</v>
          </cell>
          <cell r="B31" t="str">
            <v>Verdun</v>
          </cell>
          <cell r="C31" t="str">
            <v>1G</v>
          </cell>
          <cell r="D31">
            <v>7</v>
          </cell>
          <cell r="E31">
            <v>2366</v>
          </cell>
          <cell r="F31">
            <v>2366</v>
          </cell>
          <cell r="G31">
            <v>19.887943</v>
          </cell>
          <cell r="H31">
            <v>20.181256999999999</v>
          </cell>
          <cell r="I31">
            <v>20.474699999999999</v>
          </cell>
        </row>
        <row r="32">
          <cell r="A32">
            <v>29</v>
          </cell>
          <cell r="B32" t="str">
            <v>Westmount</v>
          </cell>
          <cell r="C32" t="str">
            <v>1G</v>
          </cell>
          <cell r="D32">
            <v>7</v>
          </cell>
          <cell r="E32">
            <v>348</v>
          </cell>
          <cell r="F32">
            <v>348</v>
          </cell>
          <cell r="G32">
            <v>5.2243240000000002</v>
          </cell>
          <cell r="H32">
            <v>5.231776</v>
          </cell>
          <cell r="I32">
            <v>5.2392000000000003</v>
          </cell>
        </row>
        <row r="33">
          <cell r="A33">
            <v>30</v>
          </cell>
          <cell r="B33" t="str">
            <v>Montréal</v>
          </cell>
          <cell r="C33" t="str">
            <v>1G</v>
          </cell>
          <cell r="D33">
            <v>7</v>
          </cell>
          <cell r="E33">
            <v>6199</v>
          </cell>
          <cell r="F33">
            <v>6264</v>
          </cell>
          <cell r="G33">
            <v>51.876643999999999</v>
          </cell>
          <cell r="H33">
            <v>50.774343000000002</v>
          </cell>
          <cell r="I33">
            <v>49.925302000000002</v>
          </cell>
        </row>
        <row r="34">
          <cell r="A34">
            <v>1</v>
          </cell>
          <cell r="B34" t="str">
            <v>Anjou</v>
          </cell>
          <cell r="C34" t="str">
            <v>5M</v>
          </cell>
          <cell r="D34">
            <v>7</v>
          </cell>
          <cell r="E34">
            <v>8371</v>
          </cell>
          <cell r="F34">
            <v>11854</v>
          </cell>
          <cell r="G34">
            <v>1108.178909</v>
          </cell>
          <cell r="H34">
            <v>1108.178909</v>
          </cell>
          <cell r="I34">
            <v>1108.178909</v>
          </cell>
        </row>
        <row r="35">
          <cell r="A35">
            <v>2</v>
          </cell>
          <cell r="B35" t="str">
            <v>Baie d'Urfé</v>
          </cell>
          <cell r="C35" t="str">
            <v>5M</v>
          </cell>
          <cell r="D35">
            <v>7</v>
          </cell>
          <cell r="E35">
            <v>1423</v>
          </cell>
          <cell r="F35">
            <v>1367</v>
          </cell>
          <cell r="G35">
            <v>318.09580199999999</v>
          </cell>
          <cell r="H35">
            <v>318.09580199999999</v>
          </cell>
          <cell r="I35">
            <v>318.09580199999999</v>
          </cell>
        </row>
        <row r="36">
          <cell r="A36">
            <v>3</v>
          </cell>
          <cell r="B36" t="str">
            <v>Beaconsfield</v>
          </cell>
          <cell r="C36" t="str">
            <v>5M</v>
          </cell>
          <cell r="D36">
            <v>7</v>
          </cell>
          <cell r="E36">
            <v>6385</v>
          </cell>
          <cell r="F36">
            <v>6239</v>
          </cell>
          <cell r="G36">
            <v>1251.4940019999999</v>
          </cell>
          <cell r="H36">
            <v>1251.4940019999999</v>
          </cell>
          <cell r="I36">
            <v>1251.4940019999999</v>
          </cell>
        </row>
        <row r="37">
          <cell r="A37">
            <v>4</v>
          </cell>
          <cell r="B37" t="str">
            <v>Côte-Saint-Luc</v>
          </cell>
          <cell r="C37" t="str">
            <v>5M</v>
          </cell>
          <cell r="D37">
            <v>7</v>
          </cell>
          <cell r="E37">
            <v>6790</v>
          </cell>
          <cell r="F37">
            <v>7363</v>
          </cell>
          <cell r="G37">
            <v>1344.647692</v>
          </cell>
          <cell r="H37">
            <v>1345.664841</v>
          </cell>
          <cell r="I37">
            <v>1345.3503250000001</v>
          </cell>
        </row>
        <row r="38">
          <cell r="A38">
            <v>5</v>
          </cell>
          <cell r="B38" t="str">
            <v>Dollard-des-Ormeaux</v>
          </cell>
          <cell r="C38" t="str">
            <v>5M</v>
          </cell>
          <cell r="D38">
            <v>7</v>
          </cell>
          <cell r="E38">
            <v>13266</v>
          </cell>
          <cell r="F38">
            <v>13169</v>
          </cell>
          <cell r="G38">
            <v>1851.428821</v>
          </cell>
          <cell r="H38">
            <v>1851.428821</v>
          </cell>
          <cell r="I38">
            <v>1851.428821</v>
          </cell>
        </row>
        <row r="39">
          <cell r="A39">
            <v>6</v>
          </cell>
          <cell r="B39" t="str">
            <v>Dorval</v>
          </cell>
          <cell r="C39" t="str">
            <v>5M</v>
          </cell>
          <cell r="D39">
            <v>7</v>
          </cell>
          <cell r="E39">
            <v>4913</v>
          </cell>
          <cell r="F39">
            <v>4957</v>
          </cell>
          <cell r="G39">
            <v>717.676108</v>
          </cell>
          <cell r="H39">
            <v>717.676108</v>
          </cell>
          <cell r="I39">
            <v>717.676108</v>
          </cell>
        </row>
        <row r="40">
          <cell r="A40">
            <v>7</v>
          </cell>
          <cell r="B40" t="str">
            <v>Hampstead</v>
          </cell>
          <cell r="C40" t="str">
            <v>5M</v>
          </cell>
          <cell r="D40">
            <v>7</v>
          </cell>
          <cell r="E40">
            <v>1791</v>
          </cell>
          <cell r="F40">
            <v>2042</v>
          </cell>
          <cell r="G40">
            <v>646.47659999999996</v>
          </cell>
          <cell r="H40">
            <v>646.47659999999996</v>
          </cell>
          <cell r="I40">
            <v>646.47659999999996</v>
          </cell>
        </row>
        <row r="41">
          <cell r="A41">
            <v>8</v>
          </cell>
          <cell r="B41" t="str">
            <v>L'Ile-Bizard</v>
          </cell>
          <cell r="C41" t="str">
            <v>5M</v>
          </cell>
          <cell r="D41">
            <v>7</v>
          </cell>
          <cell r="E41">
            <v>4638</v>
          </cell>
          <cell r="F41">
            <v>4477</v>
          </cell>
          <cell r="G41">
            <v>689.634905</v>
          </cell>
          <cell r="H41">
            <v>689.634905</v>
          </cell>
          <cell r="I41">
            <v>689.634905</v>
          </cell>
        </row>
        <row r="42">
          <cell r="A42">
            <v>9</v>
          </cell>
          <cell r="B42" t="str">
            <v>L'Ile-Dorval</v>
          </cell>
          <cell r="C42" t="str">
            <v>5M</v>
          </cell>
          <cell r="D42">
            <v>7</v>
          </cell>
          <cell r="E42">
            <v>59</v>
          </cell>
          <cell r="F42">
            <v>58</v>
          </cell>
          <cell r="G42">
            <v>3.9256000000000002</v>
          </cell>
          <cell r="H42">
            <v>3.9256000000000002</v>
          </cell>
          <cell r="I42">
            <v>3.9256000000000002</v>
          </cell>
        </row>
        <row r="43">
          <cell r="A43">
            <v>10</v>
          </cell>
          <cell r="B43" t="str">
            <v>Kirkland</v>
          </cell>
          <cell r="C43" t="str">
            <v>5M</v>
          </cell>
          <cell r="D43">
            <v>7</v>
          </cell>
          <cell r="E43">
            <v>6363</v>
          </cell>
          <cell r="F43">
            <v>6306</v>
          </cell>
          <cell r="G43">
            <v>1160.5194200000001</v>
          </cell>
          <cell r="H43">
            <v>1160.5194200000001</v>
          </cell>
          <cell r="I43">
            <v>1160.5194200000001</v>
          </cell>
        </row>
        <row r="44">
          <cell r="A44">
            <v>12</v>
          </cell>
          <cell r="B44" t="str">
            <v>LaSalle</v>
          </cell>
          <cell r="C44" t="str">
            <v>5M</v>
          </cell>
          <cell r="D44">
            <v>7</v>
          </cell>
          <cell r="E44">
            <v>13790</v>
          </cell>
          <cell r="F44">
            <v>27794</v>
          </cell>
          <cell r="G44">
            <v>1974.0497</v>
          </cell>
          <cell r="H44">
            <v>1961.666444</v>
          </cell>
          <cell r="I44">
            <v>1949.2420010000001</v>
          </cell>
        </row>
        <row r="45">
          <cell r="A45">
            <v>13</v>
          </cell>
          <cell r="B45" t="str">
            <v>Mont-Royal</v>
          </cell>
          <cell r="C45" t="str">
            <v>5M</v>
          </cell>
          <cell r="D45">
            <v>7</v>
          </cell>
          <cell r="E45">
            <v>4776</v>
          </cell>
          <cell r="F45">
            <v>5160</v>
          </cell>
          <cell r="G45">
            <v>1675.202</v>
          </cell>
          <cell r="H45">
            <v>1675.202</v>
          </cell>
          <cell r="I45">
            <v>1675.202</v>
          </cell>
        </row>
        <row r="46">
          <cell r="A46">
            <v>14</v>
          </cell>
          <cell r="B46" t="str">
            <v>Montréal-Est</v>
          </cell>
          <cell r="C46" t="str">
            <v>5M</v>
          </cell>
          <cell r="D46">
            <v>7</v>
          </cell>
          <cell r="E46">
            <v>856</v>
          </cell>
          <cell r="F46">
            <v>1182</v>
          </cell>
          <cell r="G46">
            <v>98.186503999999999</v>
          </cell>
          <cell r="H46">
            <v>98.186503999999999</v>
          </cell>
          <cell r="I46">
            <v>98.186503999999999</v>
          </cell>
        </row>
        <row r="47">
          <cell r="A47">
            <v>15</v>
          </cell>
          <cell r="B47" t="str">
            <v>Montréal-Ouest</v>
          </cell>
          <cell r="C47" t="str">
            <v>5M</v>
          </cell>
          <cell r="D47">
            <v>7</v>
          </cell>
          <cell r="E47">
            <v>1475</v>
          </cell>
          <cell r="F47">
            <v>1809</v>
          </cell>
          <cell r="G47">
            <v>315.77839999999998</v>
          </cell>
          <cell r="H47">
            <v>315.77839999999998</v>
          </cell>
          <cell r="I47">
            <v>315.77839999999998</v>
          </cell>
        </row>
        <row r="48">
          <cell r="A48">
            <v>16</v>
          </cell>
          <cell r="B48" t="str">
            <v>Montréal-Nord</v>
          </cell>
          <cell r="C48" t="str">
            <v>5M</v>
          </cell>
          <cell r="D48">
            <v>7</v>
          </cell>
          <cell r="E48">
            <v>10528</v>
          </cell>
          <cell r="F48">
            <v>19185</v>
          </cell>
          <cell r="G48">
            <v>1374.9434000000001</v>
          </cell>
          <cell r="H48">
            <v>1374.9434000000001</v>
          </cell>
          <cell r="I48">
            <v>1374.9434000000001</v>
          </cell>
        </row>
        <row r="49">
          <cell r="A49">
            <v>17</v>
          </cell>
          <cell r="B49" t="str">
            <v>Outremont</v>
          </cell>
          <cell r="C49" t="str">
            <v>5M</v>
          </cell>
          <cell r="D49">
            <v>7</v>
          </cell>
          <cell r="E49">
            <v>4638</v>
          </cell>
          <cell r="F49">
            <v>6175</v>
          </cell>
          <cell r="G49">
            <v>1441.6578999999999</v>
          </cell>
          <cell r="H49">
            <v>1441.6578999999999</v>
          </cell>
          <cell r="I49">
            <v>1441.6578999999999</v>
          </cell>
        </row>
        <row r="50">
          <cell r="A50">
            <v>18</v>
          </cell>
          <cell r="B50" t="str">
            <v>Pierrefonds</v>
          </cell>
          <cell r="C50" t="str">
            <v>5M</v>
          </cell>
          <cell r="D50">
            <v>7</v>
          </cell>
          <cell r="E50">
            <v>15286</v>
          </cell>
          <cell r="F50">
            <v>15305</v>
          </cell>
          <cell r="G50">
            <v>1747.7273230000001</v>
          </cell>
          <cell r="H50">
            <v>1747.7273230000001</v>
          </cell>
          <cell r="I50">
            <v>1747.7273230000001</v>
          </cell>
        </row>
        <row r="51">
          <cell r="A51">
            <v>19</v>
          </cell>
          <cell r="B51" t="str">
            <v>Lachine</v>
          </cell>
          <cell r="C51" t="str">
            <v>5M</v>
          </cell>
          <cell r="D51">
            <v>7</v>
          </cell>
          <cell r="E51">
            <v>8080</v>
          </cell>
          <cell r="F51">
            <v>11825</v>
          </cell>
          <cell r="G51">
            <v>978.38803299999995</v>
          </cell>
          <cell r="H51">
            <v>974.176153</v>
          </cell>
          <cell r="I51">
            <v>969.94603400000005</v>
          </cell>
        </row>
        <row r="52">
          <cell r="A52">
            <v>20</v>
          </cell>
          <cell r="B52" t="str">
            <v>Pointe-Claire</v>
          </cell>
          <cell r="C52" t="str">
            <v>5M</v>
          </cell>
          <cell r="D52">
            <v>7</v>
          </cell>
          <cell r="E52">
            <v>8787</v>
          </cell>
          <cell r="F52">
            <v>8820</v>
          </cell>
          <cell r="G52">
            <v>1244.8712009999999</v>
          </cell>
          <cell r="H52">
            <v>1244.8712009999999</v>
          </cell>
          <cell r="I52">
            <v>1244.8712009999999</v>
          </cell>
        </row>
        <row r="53">
          <cell r="A53">
            <v>21</v>
          </cell>
          <cell r="B53" t="str">
            <v>Roxboro</v>
          </cell>
          <cell r="C53" t="str">
            <v>5M</v>
          </cell>
          <cell r="D53">
            <v>7</v>
          </cell>
          <cell r="E53">
            <v>1994</v>
          </cell>
          <cell r="F53">
            <v>2017</v>
          </cell>
          <cell r="G53">
            <v>202.11320000000001</v>
          </cell>
          <cell r="H53">
            <v>202.11320000000001</v>
          </cell>
          <cell r="I53">
            <v>202.11320000000001</v>
          </cell>
        </row>
        <row r="54">
          <cell r="A54">
            <v>22</v>
          </cell>
          <cell r="B54" t="str">
            <v>Senneville</v>
          </cell>
          <cell r="C54" t="str">
            <v>5M</v>
          </cell>
          <cell r="D54">
            <v>7</v>
          </cell>
          <cell r="E54">
            <v>381</v>
          </cell>
          <cell r="F54">
            <v>361</v>
          </cell>
          <cell r="G54">
            <v>124.50020000000001</v>
          </cell>
          <cell r="H54">
            <v>124.50020000000001</v>
          </cell>
          <cell r="I54">
            <v>124.50020000000001</v>
          </cell>
        </row>
        <row r="55">
          <cell r="A55">
            <v>23</v>
          </cell>
          <cell r="B55" t="str">
            <v>Ste-Anne-de-Bellevue</v>
          </cell>
          <cell r="C55" t="str">
            <v>5M</v>
          </cell>
          <cell r="D55">
            <v>7</v>
          </cell>
          <cell r="E55">
            <v>1230</v>
          </cell>
          <cell r="F55">
            <v>1453</v>
          </cell>
          <cell r="G55">
            <v>164.3194</v>
          </cell>
          <cell r="H55">
            <v>164.3194</v>
          </cell>
          <cell r="I55">
            <v>164.3194</v>
          </cell>
        </row>
        <row r="56">
          <cell r="A56">
            <v>24</v>
          </cell>
          <cell r="B56" t="str">
            <v>Ste-Geneviève</v>
          </cell>
          <cell r="C56" t="str">
            <v>5M</v>
          </cell>
          <cell r="D56">
            <v>7</v>
          </cell>
          <cell r="E56">
            <v>630</v>
          </cell>
          <cell r="F56">
            <v>833</v>
          </cell>
          <cell r="G56">
            <v>67.830302000000003</v>
          </cell>
          <cell r="H56">
            <v>67.830302000000003</v>
          </cell>
          <cell r="I56">
            <v>67.830302000000003</v>
          </cell>
        </row>
        <row r="57">
          <cell r="A57">
            <v>25</v>
          </cell>
          <cell r="B57" t="str">
            <v>St-Laurent</v>
          </cell>
          <cell r="C57" t="str">
            <v>5M</v>
          </cell>
          <cell r="D57">
            <v>7</v>
          </cell>
          <cell r="E57">
            <v>14889</v>
          </cell>
          <cell r="F57">
            <v>19027</v>
          </cell>
          <cell r="G57">
            <v>2450.7211219999999</v>
          </cell>
          <cell r="H57">
            <v>2450.7211219999999</v>
          </cell>
          <cell r="I57">
            <v>2450.7211219999999</v>
          </cell>
        </row>
        <row r="58">
          <cell r="A58">
            <v>26</v>
          </cell>
          <cell r="B58" t="str">
            <v>St-Léonard</v>
          </cell>
          <cell r="C58" t="str">
            <v>5M</v>
          </cell>
          <cell r="D58">
            <v>7</v>
          </cell>
          <cell r="E58">
            <v>10177</v>
          </cell>
          <cell r="F58">
            <v>25094</v>
          </cell>
          <cell r="G58">
            <v>2127.770751</v>
          </cell>
          <cell r="H58">
            <v>2136.2035449999998</v>
          </cell>
          <cell r="I58">
            <v>2144.0026130000001</v>
          </cell>
        </row>
        <row r="59">
          <cell r="A59">
            <v>28</v>
          </cell>
          <cell r="B59" t="str">
            <v>Verdun</v>
          </cell>
          <cell r="C59" t="str">
            <v>5M</v>
          </cell>
          <cell r="D59">
            <v>7</v>
          </cell>
          <cell r="E59">
            <v>11336</v>
          </cell>
          <cell r="F59">
            <v>18812</v>
          </cell>
          <cell r="G59">
            <v>1612.4403620000001</v>
          </cell>
          <cell r="H59">
            <v>1618.859729</v>
          </cell>
          <cell r="I59">
            <v>1626.0711040000001</v>
          </cell>
        </row>
        <row r="60">
          <cell r="A60">
            <v>29</v>
          </cell>
          <cell r="B60" t="str">
            <v>Westmount</v>
          </cell>
          <cell r="C60" t="str">
            <v>5M</v>
          </cell>
          <cell r="D60">
            <v>7</v>
          </cell>
          <cell r="E60">
            <v>4687</v>
          </cell>
          <cell r="F60">
            <v>5102</v>
          </cell>
          <cell r="G60">
            <v>2042.8642520000001</v>
          </cell>
          <cell r="H60">
            <v>2157.5533719999999</v>
          </cell>
          <cell r="I60">
            <v>2270.3864020000001</v>
          </cell>
        </row>
        <row r="61">
          <cell r="A61">
            <v>30</v>
          </cell>
          <cell r="B61" t="str">
            <v>Montréal</v>
          </cell>
          <cell r="C61" t="str">
            <v>5M</v>
          </cell>
          <cell r="D61">
            <v>7</v>
          </cell>
          <cell r="E61">
            <v>162865</v>
          </cell>
          <cell r="F61">
            <v>285306</v>
          </cell>
          <cell r="G61">
            <v>22756.720374</v>
          </cell>
          <cell r="H61">
            <v>22688.472976000001</v>
          </cell>
          <cell r="I61">
            <v>22612.469174000002</v>
          </cell>
        </row>
        <row r="62">
          <cell r="A62">
            <v>1</v>
          </cell>
          <cell r="B62" t="str">
            <v>Anjou</v>
          </cell>
          <cell r="C62" t="str">
            <v>6P</v>
          </cell>
          <cell r="D62">
            <v>7</v>
          </cell>
          <cell r="E62">
            <v>323</v>
          </cell>
          <cell r="F62">
            <v>5183</v>
          </cell>
          <cell r="G62">
            <v>153.64089999999999</v>
          </cell>
          <cell r="H62">
            <v>153.64089999999999</v>
          </cell>
          <cell r="I62">
            <v>153.64089999999999</v>
          </cell>
        </row>
        <row r="63">
          <cell r="A63">
            <v>2</v>
          </cell>
          <cell r="B63" t="str">
            <v>Baie d'Urfé</v>
          </cell>
          <cell r="C63" t="str">
            <v>6P</v>
          </cell>
          <cell r="D63">
            <v>7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A64">
            <v>3</v>
          </cell>
          <cell r="B64" t="str">
            <v>Beaconsfield</v>
          </cell>
          <cell r="C64" t="str">
            <v>6P</v>
          </cell>
          <cell r="D64">
            <v>7</v>
          </cell>
          <cell r="E64">
            <v>9</v>
          </cell>
          <cell r="F64">
            <v>450</v>
          </cell>
          <cell r="G64">
            <v>18.004200000000001</v>
          </cell>
          <cell r="H64">
            <v>18.004200000000001</v>
          </cell>
          <cell r="I64">
            <v>18.004200000000001</v>
          </cell>
        </row>
        <row r="65">
          <cell r="A65">
            <v>4</v>
          </cell>
          <cell r="B65" t="str">
            <v>Côte-Saint-Luc</v>
          </cell>
          <cell r="C65" t="str">
            <v>6P</v>
          </cell>
          <cell r="D65">
            <v>7</v>
          </cell>
          <cell r="E65">
            <v>77</v>
          </cell>
          <cell r="F65">
            <v>6186</v>
          </cell>
          <cell r="G65">
            <v>258.61763400000001</v>
          </cell>
          <cell r="H65">
            <v>254.07896600000001</v>
          </cell>
          <cell r="I65">
            <v>249.5403</v>
          </cell>
        </row>
        <row r="66">
          <cell r="A66">
            <v>5</v>
          </cell>
          <cell r="B66" t="str">
            <v>Dollard-des-Ormeaux</v>
          </cell>
          <cell r="C66" t="str">
            <v>6P</v>
          </cell>
          <cell r="D66">
            <v>7</v>
          </cell>
          <cell r="E66">
            <v>51</v>
          </cell>
          <cell r="F66">
            <v>2883</v>
          </cell>
          <cell r="G66">
            <v>92.908900000000003</v>
          </cell>
          <cell r="H66">
            <v>92.908900000000003</v>
          </cell>
          <cell r="I66">
            <v>92.908900000000003</v>
          </cell>
        </row>
        <row r="67">
          <cell r="A67">
            <v>6</v>
          </cell>
          <cell r="B67" t="str">
            <v>Dorval</v>
          </cell>
          <cell r="C67" t="str">
            <v>6P</v>
          </cell>
          <cell r="D67">
            <v>7</v>
          </cell>
          <cell r="E67">
            <v>100</v>
          </cell>
          <cell r="F67">
            <v>2916</v>
          </cell>
          <cell r="G67">
            <v>88.256200000000007</v>
          </cell>
          <cell r="H67">
            <v>88.256200000000007</v>
          </cell>
          <cell r="I67">
            <v>88.256200000000007</v>
          </cell>
        </row>
        <row r="68">
          <cell r="A68">
            <v>7</v>
          </cell>
          <cell r="B68" t="str">
            <v>Hampstead</v>
          </cell>
          <cell r="C68" t="str">
            <v>6P</v>
          </cell>
          <cell r="D68">
            <v>7</v>
          </cell>
          <cell r="E68">
            <v>21</v>
          </cell>
          <cell r="F68">
            <v>606</v>
          </cell>
          <cell r="G68">
            <v>18.829499999999999</v>
          </cell>
          <cell r="H68">
            <v>18.829499999999999</v>
          </cell>
          <cell r="I68">
            <v>18.829499999999999</v>
          </cell>
        </row>
        <row r="69">
          <cell r="A69">
            <v>8</v>
          </cell>
          <cell r="B69" t="str">
            <v>L'Ile-Bizard</v>
          </cell>
          <cell r="C69" t="str">
            <v>6P</v>
          </cell>
          <cell r="D69">
            <v>7</v>
          </cell>
          <cell r="E69">
            <v>22</v>
          </cell>
          <cell r="F69">
            <v>260</v>
          </cell>
          <cell r="G69">
            <v>7.4427000000000003</v>
          </cell>
          <cell r="H69">
            <v>7.4427000000000003</v>
          </cell>
          <cell r="I69">
            <v>7.4427000000000003</v>
          </cell>
        </row>
        <row r="70">
          <cell r="A70">
            <v>9</v>
          </cell>
          <cell r="B70" t="str">
            <v>L'Ile-Dorval</v>
          </cell>
          <cell r="C70" t="str">
            <v>6P</v>
          </cell>
          <cell r="D70">
            <v>7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A71">
            <v>10</v>
          </cell>
          <cell r="B71" t="str">
            <v>Kirkland</v>
          </cell>
          <cell r="C71" t="str">
            <v>6P</v>
          </cell>
          <cell r="D71">
            <v>7</v>
          </cell>
          <cell r="E71">
            <v>1</v>
          </cell>
          <cell r="F71">
            <v>121</v>
          </cell>
          <cell r="G71">
            <v>4.6349999999999998</v>
          </cell>
          <cell r="H71">
            <v>4.6349999999999998</v>
          </cell>
          <cell r="I71">
            <v>4.6349999999999998</v>
          </cell>
        </row>
        <row r="72">
          <cell r="A72">
            <v>12</v>
          </cell>
          <cell r="B72" t="str">
            <v>LaSalle</v>
          </cell>
          <cell r="C72" t="str">
            <v>6P</v>
          </cell>
          <cell r="D72">
            <v>7</v>
          </cell>
          <cell r="E72">
            <v>235</v>
          </cell>
          <cell r="F72">
            <v>5869</v>
          </cell>
          <cell r="G72">
            <v>157.047695</v>
          </cell>
          <cell r="H72">
            <v>150.608405</v>
          </cell>
          <cell r="I72">
            <v>144.16909999999999</v>
          </cell>
        </row>
        <row r="73">
          <cell r="A73">
            <v>13</v>
          </cell>
          <cell r="B73" t="str">
            <v>Mont-Royal</v>
          </cell>
          <cell r="C73" t="str">
            <v>6P</v>
          </cell>
          <cell r="D73">
            <v>7</v>
          </cell>
          <cell r="E73">
            <v>74</v>
          </cell>
          <cell r="F73">
            <v>2227</v>
          </cell>
          <cell r="G73">
            <v>90.852099999999993</v>
          </cell>
          <cell r="H73">
            <v>90.852099999999993</v>
          </cell>
          <cell r="I73">
            <v>90.852099999999993</v>
          </cell>
        </row>
        <row r="74">
          <cell r="A74">
            <v>14</v>
          </cell>
          <cell r="B74" t="str">
            <v>Montréal-Est</v>
          </cell>
          <cell r="C74" t="str">
            <v>6P</v>
          </cell>
          <cell r="D74">
            <v>7</v>
          </cell>
          <cell r="E74">
            <v>38</v>
          </cell>
          <cell r="F74">
            <v>389</v>
          </cell>
          <cell r="G74">
            <v>12.085900000000001</v>
          </cell>
          <cell r="H74">
            <v>12.085900000000001</v>
          </cell>
          <cell r="I74">
            <v>12.085900000000001</v>
          </cell>
        </row>
        <row r="75">
          <cell r="A75">
            <v>15</v>
          </cell>
          <cell r="B75" t="str">
            <v>Montréal-Ouest</v>
          </cell>
          <cell r="C75" t="str">
            <v>6P</v>
          </cell>
          <cell r="D75">
            <v>7</v>
          </cell>
          <cell r="E75">
            <v>12</v>
          </cell>
          <cell r="F75">
            <v>121</v>
          </cell>
          <cell r="G75">
            <v>2.7730999999999999</v>
          </cell>
          <cell r="H75">
            <v>2.7730999999999999</v>
          </cell>
          <cell r="I75">
            <v>2.7730999999999999</v>
          </cell>
        </row>
        <row r="76">
          <cell r="A76">
            <v>16</v>
          </cell>
          <cell r="B76" t="str">
            <v>Montréal-Nord</v>
          </cell>
          <cell r="C76" t="str">
            <v>6P</v>
          </cell>
          <cell r="D76">
            <v>7</v>
          </cell>
          <cell r="E76">
            <v>1410</v>
          </cell>
          <cell r="F76">
            <v>14309</v>
          </cell>
          <cell r="G76">
            <v>373.27330000000001</v>
          </cell>
          <cell r="H76">
            <v>373.27330000000001</v>
          </cell>
          <cell r="I76">
            <v>373.27330000000001</v>
          </cell>
        </row>
        <row r="77">
          <cell r="A77">
            <v>17</v>
          </cell>
          <cell r="B77" t="str">
            <v>Outremont</v>
          </cell>
          <cell r="C77" t="str">
            <v>6P</v>
          </cell>
          <cell r="D77">
            <v>7</v>
          </cell>
          <cell r="E77">
            <v>103</v>
          </cell>
          <cell r="F77">
            <v>2000</v>
          </cell>
          <cell r="G77">
            <v>103.997</v>
          </cell>
          <cell r="H77">
            <v>103.997</v>
          </cell>
          <cell r="I77">
            <v>103.997</v>
          </cell>
        </row>
        <row r="78">
          <cell r="A78">
            <v>18</v>
          </cell>
          <cell r="B78" t="str">
            <v>Pierrefonds</v>
          </cell>
          <cell r="C78" t="str">
            <v>6P</v>
          </cell>
          <cell r="D78">
            <v>7</v>
          </cell>
          <cell r="E78">
            <v>234</v>
          </cell>
          <cell r="F78">
            <v>5104</v>
          </cell>
          <cell r="G78">
            <v>143.0515</v>
          </cell>
          <cell r="H78">
            <v>143.0515</v>
          </cell>
          <cell r="I78">
            <v>143.0515</v>
          </cell>
        </row>
        <row r="79">
          <cell r="A79">
            <v>19</v>
          </cell>
          <cell r="B79" t="str">
            <v>Lachine</v>
          </cell>
          <cell r="C79" t="str">
            <v>6P</v>
          </cell>
          <cell r="D79">
            <v>7</v>
          </cell>
          <cell r="E79">
            <v>450</v>
          </cell>
          <cell r="F79">
            <v>6906</v>
          </cell>
          <cell r="G79">
            <v>182.97582700000001</v>
          </cell>
          <cell r="H79">
            <v>172.34017299999999</v>
          </cell>
          <cell r="I79">
            <v>161.69669999999999</v>
          </cell>
        </row>
        <row r="80">
          <cell r="A80">
            <v>20</v>
          </cell>
          <cell r="B80" t="str">
            <v>Pointe-Claire</v>
          </cell>
          <cell r="C80" t="str">
            <v>6P</v>
          </cell>
          <cell r="D80">
            <v>7</v>
          </cell>
          <cell r="E80">
            <v>59</v>
          </cell>
          <cell r="F80">
            <v>2291</v>
          </cell>
          <cell r="G80">
            <v>100.3219</v>
          </cell>
          <cell r="H80">
            <v>100.3219</v>
          </cell>
          <cell r="I80">
            <v>100.3219</v>
          </cell>
        </row>
        <row r="81">
          <cell r="A81">
            <v>21</v>
          </cell>
          <cell r="B81" t="str">
            <v>Roxboro</v>
          </cell>
          <cell r="C81" t="str">
            <v>6P</v>
          </cell>
          <cell r="D81">
            <v>7</v>
          </cell>
          <cell r="E81">
            <v>3</v>
          </cell>
          <cell r="F81">
            <v>84</v>
          </cell>
          <cell r="G81">
            <v>2.1591999999999998</v>
          </cell>
          <cell r="H81">
            <v>2.1591999999999998</v>
          </cell>
          <cell r="I81">
            <v>2.1591999999999998</v>
          </cell>
        </row>
        <row r="82">
          <cell r="A82">
            <v>22</v>
          </cell>
          <cell r="B82" t="str">
            <v>Senneville</v>
          </cell>
          <cell r="C82" t="str">
            <v>6P</v>
          </cell>
          <cell r="D82">
            <v>7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A83">
            <v>23</v>
          </cell>
          <cell r="B83" t="str">
            <v>Ste-Anne-de-Bellevue</v>
          </cell>
          <cell r="C83" t="str">
            <v>6P</v>
          </cell>
          <cell r="D83">
            <v>7</v>
          </cell>
          <cell r="E83">
            <v>36</v>
          </cell>
          <cell r="F83">
            <v>475</v>
          </cell>
          <cell r="G83">
            <v>13.888999999999999</v>
          </cell>
          <cell r="H83">
            <v>13.888999999999999</v>
          </cell>
          <cell r="I83">
            <v>13.888999999999999</v>
          </cell>
        </row>
        <row r="84">
          <cell r="A84">
            <v>24</v>
          </cell>
          <cell r="B84" t="str">
            <v>Ste-Geneviève</v>
          </cell>
          <cell r="C84" t="str">
            <v>6P</v>
          </cell>
          <cell r="D84">
            <v>7</v>
          </cell>
          <cell r="E84">
            <v>55</v>
          </cell>
          <cell r="F84">
            <v>732</v>
          </cell>
          <cell r="G84">
            <v>19.752600000000001</v>
          </cell>
          <cell r="H84">
            <v>19.752600000000001</v>
          </cell>
          <cell r="I84">
            <v>19.752600000000001</v>
          </cell>
        </row>
        <row r="85">
          <cell r="A85">
            <v>25</v>
          </cell>
          <cell r="B85" t="str">
            <v>St-Laurent</v>
          </cell>
          <cell r="C85" t="str">
            <v>6P</v>
          </cell>
          <cell r="D85">
            <v>7</v>
          </cell>
          <cell r="E85">
            <v>277</v>
          </cell>
          <cell r="F85">
            <v>11004</v>
          </cell>
          <cell r="G85">
            <v>351.18650000000002</v>
          </cell>
          <cell r="H85">
            <v>351.18650000000002</v>
          </cell>
          <cell r="I85">
            <v>351.18650000000002</v>
          </cell>
        </row>
        <row r="86">
          <cell r="A86">
            <v>26</v>
          </cell>
          <cell r="B86" t="str">
            <v>St-Léonard</v>
          </cell>
          <cell r="C86" t="str">
            <v>6P</v>
          </cell>
          <cell r="D86">
            <v>7</v>
          </cell>
          <cell r="E86">
            <v>185</v>
          </cell>
          <cell r="F86">
            <v>3729</v>
          </cell>
          <cell r="G86">
            <v>118.748363</v>
          </cell>
          <cell r="H86">
            <v>116.284437</v>
          </cell>
          <cell r="I86">
            <v>113.8205</v>
          </cell>
        </row>
        <row r="87">
          <cell r="A87">
            <v>28</v>
          </cell>
          <cell r="B87" t="str">
            <v>Verdun</v>
          </cell>
          <cell r="C87" t="str">
            <v>6P</v>
          </cell>
          <cell r="D87">
            <v>7</v>
          </cell>
          <cell r="E87">
            <v>1105</v>
          </cell>
          <cell r="F87">
            <v>9421</v>
          </cell>
          <cell r="G87">
            <v>245.33949699999999</v>
          </cell>
          <cell r="H87">
            <v>226.98419100000001</v>
          </cell>
          <cell r="I87">
            <v>208.62889999999999</v>
          </cell>
        </row>
        <row r="88">
          <cell r="A88">
            <v>29</v>
          </cell>
          <cell r="B88" t="str">
            <v>Westmount</v>
          </cell>
          <cell r="C88" t="str">
            <v>6P</v>
          </cell>
          <cell r="D88">
            <v>7</v>
          </cell>
          <cell r="E88">
            <v>86</v>
          </cell>
          <cell r="F88">
            <v>2823</v>
          </cell>
          <cell r="G88">
            <v>159.76049900000001</v>
          </cell>
          <cell r="H88">
            <v>158.14460099999999</v>
          </cell>
          <cell r="I88">
            <v>156.52869999999999</v>
          </cell>
        </row>
        <row r="89">
          <cell r="A89">
            <v>30</v>
          </cell>
          <cell r="B89" t="str">
            <v>Montréal</v>
          </cell>
          <cell r="C89" t="str">
            <v>6P</v>
          </cell>
          <cell r="D89">
            <v>7</v>
          </cell>
          <cell r="E89">
            <v>12726</v>
          </cell>
          <cell r="F89">
            <v>179761</v>
          </cell>
          <cell r="G89">
            <v>5376.0666259999998</v>
          </cell>
          <cell r="H89">
            <v>5190.1848280000004</v>
          </cell>
          <cell r="I89">
            <v>5001.8521700000001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ommaire - Répartition"/>
      <sheetName val="Détail - Répartition"/>
      <sheetName val="Occupation_%"/>
      <sheetName val="Revenus"/>
    </sheetNames>
    <sheetDataSet>
      <sheetData sheetId="0" refreshError="1"/>
      <sheetData sheetId="1" refreshError="1"/>
      <sheetData sheetId="2">
        <row r="10">
          <cell r="C10">
            <v>0.43569999999999998</v>
          </cell>
          <cell r="D10">
            <v>0.45440000000000003</v>
          </cell>
          <cell r="E10">
            <v>0.44979999999999998</v>
          </cell>
          <cell r="F10">
            <v>0.33639999999999998</v>
          </cell>
          <cell r="G10">
            <v>0.29980000000000001</v>
          </cell>
          <cell r="H10">
            <v>0.2606</v>
          </cell>
          <cell r="I10">
            <v>0.30840000000000001</v>
          </cell>
          <cell r="J10">
            <v>0.2349</v>
          </cell>
          <cell r="K10">
            <v>0.19939999999999999</v>
          </cell>
          <cell r="L10">
            <v>0.20949999999999999</v>
          </cell>
          <cell r="M10">
            <v>0.22850000000000001</v>
          </cell>
          <cell r="N10">
            <v>0.21029999999999999</v>
          </cell>
        </row>
        <row r="12">
          <cell r="C12">
            <v>0.2923</v>
          </cell>
          <cell r="D12">
            <v>0.30180000000000001</v>
          </cell>
          <cell r="E12">
            <v>0.3276</v>
          </cell>
          <cell r="F12">
            <v>0.33260000000000001</v>
          </cell>
          <cell r="G12">
            <v>0.32829999999999998</v>
          </cell>
          <cell r="H12">
            <v>0.33129999999999998</v>
          </cell>
          <cell r="I12">
            <v>0.2964</v>
          </cell>
          <cell r="J12">
            <v>0.21010000000000001</v>
          </cell>
          <cell r="K12">
            <v>0.22389999999999999</v>
          </cell>
          <cell r="L12">
            <v>0.22239999999999999</v>
          </cell>
          <cell r="M12">
            <v>0.2185</v>
          </cell>
          <cell r="N12">
            <v>0.1817</v>
          </cell>
        </row>
        <row r="14">
          <cell r="C14">
            <v>0.1527</v>
          </cell>
          <cell r="D14">
            <v>0.1275</v>
          </cell>
          <cell r="E14">
            <v>0.10100000000000001</v>
          </cell>
          <cell r="F14">
            <v>0.17319999999999999</v>
          </cell>
          <cell r="G14">
            <v>0.21379999999999999</v>
          </cell>
          <cell r="H14">
            <v>0.20469999999999999</v>
          </cell>
          <cell r="I14">
            <v>0.1517</v>
          </cell>
          <cell r="J14">
            <v>0.16619999999999999</v>
          </cell>
          <cell r="K14">
            <v>0.152</v>
          </cell>
          <cell r="L14">
            <v>0.122</v>
          </cell>
          <cell r="M14">
            <v>0.11310000000000001</v>
          </cell>
          <cell r="N14">
            <v>0.11890000000000001</v>
          </cell>
        </row>
        <row r="16">
          <cell r="C16">
            <v>0.1193</v>
          </cell>
          <cell r="D16">
            <v>0.1163</v>
          </cell>
          <cell r="E16">
            <v>0.1216</v>
          </cell>
          <cell r="F16">
            <v>0.15340000000000001</v>
          </cell>
          <cell r="G16">
            <v>0.15340000000000001</v>
          </cell>
          <cell r="H16">
            <v>0.1923</v>
          </cell>
          <cell r="I16">
            <v>0.16370000000000001</v>
          </cell>
          <cell r="J16">
            <v>0.15629999999999999</v>
          </cell>
          <cell r="K16">
            <v>0.1613</v>
          </cell>
          <cell r="L16">
            <v>0.1608</v>
          </cell>
          <cell r="M16">
            <v>0.14760000000000001</v>
          </cell>
          <cell r="N16">
            <v>0.17230000000000001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3.0999999999999999E-3</v>
          </cell>
          <cell r="G18">
            <v>2.3E-3</v>
          </cell>
          <cell r="H18">
            <v>5.4999999999999997E-3</v>
          </cell>
          <cell r="I18">
            <v>3.6700000000000003E-2</v>
          </cell>
          <cell r="J18">
            <v>0.12189999999999999</v>
          </cell>
          <cell r="K18">
            <v>0.115</v>
          </cell>
          <cell r="L18">
            <v>0.10299999999999999</v>
          </cell>
          <cell r="M18">
            <v>0.11609999999999999</v>
          </cell>
          <cell r="N18">
            <v>0.1148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1.2999999999999999E-3</v>
          </cell>
          <cell r="G20">
            <v>2.3999999999999998E-3</v>
          </cell>
          <cell r="H20">
            <v>5.5999999999999999E-3</v>
          </cell>
          <cell r="I20">
            <v>4.3099999999999999E-2</v>
          </cell>
          <cell r="J20">
            <v>0.1106</v>
          </cell>
          <cell r="K20">
            <v>0.1484</v>
          </cell>
          <cell r="L20">
            <v>0.18229999999999999</v>
          </cell>
          <cell r="M20">
            <v>0.1762</v>
          </cell>
          <cell r="N20">
            <v>0.20200000000000001</v>
          </cell>
        </row>
        <row r="25">
          <cell r="C25">
            <v>0.3518</v>
          </cell>
          <cell r="D25">
            <v>0.38979999999999998</v>
          </cell>
          <cell r="E25">
            <v>0.36520000000000002</v>
          </cell>
          <cell r="F25">
            <v>0.30580000000000002</v>
          </cell>
          <cell r="G25">
            <v>0.3029</v>
          </cell>
          <cell r="H25">
            <v>0.33210000000000001</v>
          </cell>
          <cell r="I25">
            <v>0.2636</v>
          </cell>
          <cell r="J25">
            <v>0.21329999999999999</v>
          </cell>
          <cell r="K25">
            <v>0.20200000000000001</v>
          </cell>
          <cell r="L25">
            <v>0.17929999999999999</v>
          </cell>
          <cell r="M25">
            <v>0.19420000000000001</v>
          </cell>
          <cell r="N25">
            <v>0.1696</v>
          </cell>
        </row>
        <row r="27">
          <cell r="C27">
            <v>0.28760000000000002</v>
          </cell>
          <cell r="D27">
            <v>0.27779999999999999</v>
          </cell>
          <cell r="E27">
            <v>0.28499999999999998</v>
          </cell>
          <cell r="F27">
            <v>0.32669999999999999</v>
          </cell>
          <cell r="G27">
            <v>0.32140000000000002</v>
          </cell>
          <cell r="H27">
            <v>0.30030000000000001</v>
          </cell>
          <cell r="I27">
            <v>0.28520000000000001</v>
          </cell>
          <cell r="J27">
            <v>0.26869999999999999</v>
          </cell>
          <cell r="K27">
            <v>0.27560000000000001</v>
          </cell>
          <cell r="L27">
            <v>0.24809999999999999</v>
          </cell>
          <cell r="M27">
            <v>0.23960000000000001</v>
          </cell>
          <cell r="N27">
            <v>0.25530000000000003</v>
          </cell>
        </row>
        <row r="29">
          <cell r="C29">
            <v>0.23250000000000001</v>
          </cell>
          <cell r="D29">
            <v>0.215</v>
          </cell>
          <cell r="E29">
            <v>0.22359999999999999</v>
          </cell>
          <cell r="F29">
            <v>0.23430000000000001</v>
          </cell>
          <cell r="G29">
            <v>0.25559999999999999</v>
          </cell>
          <cell r="H29">
            <v>0.23630000000000001</v>
          </cell>
          <cell r="I29">
            <v>0.26619999999999999</v>
          </cell>
          <cell r="J29">
            <v>0.24909999999999999</v>
          </cell>
          <cell r="K29">
            <v>0.22209999999999999</v>
          </cell>
          <cell r="L29">
            <v>0.24129999999999999</v>
          </cell>
          <cell r="M29">
            <v>0.23319999999999999</v>
          </cell>
          <cell r="N29">
            <v>0.22539999999999999</v>
          </cell>
        </row>
        <row r="31">
          <cell r="C31">
            <v>0.12809999999999999</v>
          </cell>
          <cell r="D31">
            <v>0.1174</v>
          </cell>
          <cell r="E31">
            <v>0.12620000000000001</v>
          </cell>
          <cell r="F31">
            <v>0.13320000000000001</v>
          </cell>
          <cell r="G31">
            <v>0.1201</v>
          </cell>
          <cell r="H31">
            <v>0.1234</v>
          </cell>
          <cell r="I31">
            <v>0.12959999999999999</v>
          </cell>
          <cell r="J31">
            <v>0.1237</v>
          </cell>
          <cell r="K31">
            <v>0.11360000000000001</v>
          </cell>
          <cell r="L31">
            <v>0.1048</v>
          </cell>
          <cell r="M31">
            <v>0.1235</v>
          </cell>
          <cell r="N31">
            <v>0.1079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7.0000000000000001E-3</v>
          </cell>
          <cell r="I33">
            <v>3.1099999999999999E-2</v>
          </cell>
          <cell r="J33">
            <v>7.4200000000000002E-2</v>
          </cell>
          <cell r="K33">
            <v>9.4700000000000006E-2</v>
          </cell>
          <cell r="L33">
            <v>0.11509999999999999</v>
          </cell>
          <cell r="M33">
            <v>0.1067</v>
          </cell>
          <cell r="N33">
            <v>0.115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8.9999999999999998E-4</v>
          </cell>
          <cell r="I35">
            <v>2.4299999999999999E-2</v>
          </cell>
          <cell r="J35">
            <v>7.0999999999999994E-2</v>
          </cell>
          <cell r="K35">
            <v>9.1999999999999998E-2</v>
          </cell>
          <cell r="L35">
            <v>0.1114</v>
          </cell>
          <cell r="M35">
            <v>0.1028</v>
          </cell>
          <cell r="N35">
            <v>0.1268</v>
          </cell>
        </row>
      </sheetData>
      <sheetData sheetId="3">
        <row r="28">
          <cell r="F28">
            <v>8750</v>
          </cell>
          <cell r="G28">
            <v>8750</v>
          </cell>
          <cell r="H28">
            <v>9749.9959999999992</v>
          </cell>
          <cell r="I28">
            <v>10833.329333333333</v>
          </cell>
          <cell r="J28">
            <v>11833.334333333332</v>
          </cell>
          <cell r="K28">
            <v>11833.334333333332</v>
          </cell>
          <cell r="L28">
            <v>15916.667666666666</v>
          </cell>
          <cell r="M28">
            <v>18583.355666666666</v>
          </cell>
          <cell r="N28">
            <v>20666.668166666666</v>
          </cell>
          <cell r="O28">
            <v>21000.001499999998</v>
          </cell>
          <cell r="P28">
            <v>21000.001499999998</v>
          </cell>
          <cell r="Q28">
            <v>21000.001499999998</v>
          </cell>
        </row>
        <row r="35">
          <cell r="F35">
            <v>28333.333333333332</v>
          </cell>
          <cell r="G35">
            <v>28333.333333333332</v>
          </cell>
          <cell r="H35">
            <v>28333.333333333332</v>
          </cell>
          <cell r="I35">
            <v>28333.333333333332</v>
          </cell>
          <cell r="J35">
            <v>28333.333333333332</v>
          </cell>
          <cell r="K35">
            <v>28333.333333333332</v>
          </cell>
          <cell r="L35">
            <v>28333.333333333332</v>
          </cell>
          <cell r="M35">
            <v>33333.373333333329</v>
          </cell>
          <cell r="N35">
            <v>33333.373333333329</v>
          </cell>
          <cell r="O35">
            <v>38166.706666666665</v>
          </cell>
          <cell r="P35">
            <v>38166.706666666665</v>
          </cell>
          <cell r="Q35">
            <v>38166.706666666665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tableau1"/>
      <sheetName val="tableau2"/>
      <sheetName val="t2special"/>
      <sheetName val="tableau3"/>
      <sheetName val="t3special"/>
      <sheetName val="tableau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4840E8"/>
    <pageSetUpPr fitToPage="1"/>
  </sheetPr>
  <dimension ref="A2:R56"/>
  <sheetViews>
    <sheetView tabSelected="1" zoomScale="85" zoomScaleNormal="85" workbookViewId="0">
      <selection activeCell="C64" sqref="C64"/>
    </sheetView>
  </sheetViews>
  <sheetFormatPr baseColWidth="10" defaultRowHeight="12.75"/>
  <cols>
    <col min="1" max="1" width="32.42578125" style="2" bestFit="1" customWidth="1"/>
    <col min="2" max="2" width="0.85546875" style="2" customWidth="1"/>
    <col min="3" max="8" width="11.42578125" style="2"/>
    <col min="9" max="9" width="12.42578125" style="2" bestFit="1" customWidth="1"/>
    <col min="10" max="19" width="11.42578125" style="2"/>
    <col min="20" max="20" width="12.42578125" style="2" customWidth="1"/>
    <col min="21" max="23" width="11.42578125" style="2"/>
    <col min="24" max="24" width="0.85546875" style="2" customWidth="1"/>
    <col min="25" max="26" width="11.42578125" style="2"/>
    <col min="27" max="27" width="0.85546875" style="2" customWidth="1"/>
    <col min="28" max="28" width="11.42578125" style="2"/>
    <col min="29" max="29" width="12" style="2" customWidth="1"/>
    <col min="30" max="16384" width="11.42578125" style="2"/>
  </cols>
  <sheetData>
    <row r="2" spans="1:18" ht="15.75">
      <c r="A2" s="1" t="s">
        <v>36</v>
      </c>
      <c r="B2" s="1"/>
    </row>
    <row r="3" spans="1:18" ht="13.5" thickBot="1">
      <c r="B3" s="160"/>
      <c r="C3" s="160"/>
      <c r="D3" s="160"/>
      <c r="E3" s="160"/>
      <c r="F3" s="160"/>
      <c r="G3" s="160"/>
      <c r="K3" s="160"/>
      <c r="L3" s="160"/>
      <c r="M3" s="160"/>
      <c r="N3" s="192"/>
      <c r="P3" s="160"/>
      <c r="Q3" s="192"/>
      <c r="R3" s="160"/>
    </row>
    <row r="4" spans="1:18" ht="16.5" thickBot="1">
      <c r="A4" s="20" t="s">
        <v>162</v>
      </c>
      <c r="B4" s="163"/>
      <c r="C4" s="31">
        <f ca="1">Indexation!C5</f>
        <v>0.01</v>
      </c>
      <c r="D4" s="167"/>
      <c r="E4" s="167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</row>
    <row r="5" spans="1:18" ht="16.5" thickBot="1">
      <c r="A5" s="37"/>
      <c r="B5" s="163"/>
      <c r="C5" s="169"/>
      <c r="D5" s="169"/>
      <c r="E5" s="169"/>
      <c r="G5" s="160"/>
      <c r="H5" s="160"/>
      <c r="I5" s="160"/>
      <c r="J5" s="160"/>
      <c r="K5" s="160"/>
      <c r="L5" s="160"/>
      <c r="M5" s="160"/>
      <c r="N5" s="160"/>
      <c r="P5" s="160"/>
      <c r="Q5" s="160"/>
      <c r="R5" s="160"/>
    </row>
    <row r="6" spans="1:18" ht="7.5" customHeight="1">
      <c r="A6" s="351" t="s">
        <v>0</v>
      </c>
      <c r="B6" s="170"/>
      <c r="C6" s="171"/>
      <c r="D6" s="71"/>
      <c r="E6" s="114"/>
      <c r="F6" s="71"/>
      <c r="G6" s="171"/>
      <c r="H6" s="171"/>
      <c r="I6" s="71"/>
      <c r="J6" s="171"/>
      <c r="K6" s="171"/>
      <c r="L6" s="171"/>
      <c r="N6" s="160"/>
      <c r="P6" s="160"/>
      <c r="Q6" s="160"/>
      <c r="R6" s="160"/>
    </row>
    <row r="7" spans="1:18" ht="45">
      <c r="A7" s="351"/>
      <c r="B7" s="162"/>
      <c r="C7" s="191" t="s">
        <v>193</v>
      </c>
      <c r="D7" s="97" t="s">
        <v>88</v>
      </c>
      <c r="E7" s="187" t="s">
        <v>195</v>
      </c>
      <c r="F7" s="198" t="s">
        <v>196</v>
      </c>
      <c r="G7" s="198" t="s">
        <v>197</v>
      </c>
      <c r="H7" s="108" t="s">
        <v>81</v>
      </c>
      <c r="I7" s="108" t="s">
        <v>82</v>
      </c>
      <c r="J7" s="191" t="s">
        <v>302</v>
      </c>
      <c r="K7" s="95" t="s">
        <v>198</v>
      </c>
      <c r="L7" s="191" t="s">
        <v>96</v>
      </c>
      <c r="N7" s="160"/>
      <c r="Q7" s="160"/>
      <c r="R7" s="160"/>
    </row>
    <row r="8" spans="1:18">
      <c r="A8" s="33"/>
      <c r="B8" s="155"/>
      <c r="C8" s="189" t="s">
        <v>1</v>
      </c>
      <c r="D8" s="98" t="s">
        <v>1</v>
      </c>
      <c r="E8" s="188" t="s">
        <v>1</v>
      </c>
      <c r="F8" s="197" t="s">
        <v>1</v>
      </c>
      <c r="G8" s="197" t="s">
        <v>1</v>
      </c>
      <c r="H8" s="109" t="s">
        <v>1</v>
      </c>
      <c r="I8" s="109" t="s">
        <v>1</v>
      </c>
      <c r="J8" s="189" t="s">
        <v>1</v>
      </c>
      <c r="K8" s="96" t="s">
        <v>1</v>
      </c>
      <c r="L8" s="189" t="s">
        <v>1</v>
      </c>
    </row>
    <row r="9" spans="1:18">
      <c r="A9" s="7" t="s">
        <v>4</v>
      </c>
      <c r="B9" s="156"/>
      <c r="C9" s="100">
        <v>62162.825922076387</v>
      </c>
      <c r="D9" s="195">
        <f>C9*C$4</f>
        <v>621.62825922076388</v>
      </c>
      <c r="E9" s="193">
        <v>293.64236131598477</v>
      </c>
      <c r="F9" s="199">
        <v>48.702735300000001</v>
      </c>
      <c r="G9" s="199">
        <v>101.51434702460391</v>
      </c>
      <c r="H9" s="115">
        <f ca="1">Aménagement!L16+Bibliothèques!W10+Sport!K18+Culture!M18+Santé!L8+Parcs!BL22+Voirie!AJ10</f>
        <v>-66.894091647446629</v>
      </c>
      <c r="I9" s="115">
        <f ca="1">Parcs!BM22+Voirie!AK10</f>
        <v>7.8888976071674355</v>
      </c>
      <c r="J9" s="194">
        <f>SUM(C9:I9)</f>
        <v>63169.308430897465</v>
      </c>
      <c r="K9" s="196">
        <f ca="1">'Ajust. post transferts'!T11</f>
        <v>-11831.100000000002</v>
      </c>
      <c r="L9" s="194">
        <f>J9+K9-0.1</f>
        <v>51338.10843089746</v>
      </c>
    </row>
    <row r="10" spans="1:18">
      <c r="A10" s="7" t="s">
        <v>15</v>
      </c>
      <c r="B10" s="156"/>
      <c r="C10" s="100">
        <v>59985.599011400409</v>
      </c>
      <c r="D10" s="195">
        <f>C10*C$4</f>
        <v>599.85599011400416</v>
      </c>
      <c r="E10" s="193">
        <v>-114.65903593870726</v>
      </c>
      <c r="F10" s="199">
        <v>44.424789400000002</v>
      </c>
      <c r="G10" s="199">
        <v>0</v>
      </c>
      <c r="H10" s="115">
        <f ca="1">Aménagement!L17+Bibliothèques!W11+Sport!K19+Culture!M19+Santé!L9+Parcs!BL23+Voirie!AJ11</f>
        <v>-62.245116100625971</v>
      </c>
      <c r="I10" s="115">
        <f ca="1">Parcs!BM23+Voirie!AK11</f>
        <v>-24.979535815801071</v>
      </c>
      <c r="J10" s="194">
        <f>C10+D10+E10+F10+G10+H10+I10</f>
        <v>60427.996103059282</v>
      </c>
      <c r="K10" s="196">
        <f ca="1">'Ajust. post transferts'!T22</f>
        <v>-9852.7000000000007</v>
      </c>
      <c r="L10" s="194">
        <f>J10+K10+0.1</f>
        <v>50575.396103059284</v>
      </c>
    </row>
    <row r="11" spans="1:18" ht="13.5" thickBot="1">
      <c r="A11" s="269" t="s">
        <v>17</v>
      </c>
      <c r="B11" s="282"/>
      <c r="C11" s="283">
        <v>47321.75986889848</v>
      </c>
      <c r="D11" s="284">
        <f>C11*C$4</f>
        <v>473.21759868898482</v>
      </c>
      <c r="E11" s="285">
        <v>-606.08058423323621</v>
      </c>
      <c r="F11" s="286">
        <v>45.521699900000002</v>
      </c>
      <c r="G11" s="286">
        <v>64.428946660606442</v>
      </c>
      <c r="H11" s="287">
        <f ca="1">Aménagement!L18+Bibliothèques!W12+Sport!K20+Culture!M20+Santé!L10+Parcs!BL24+Voirie!AJ12</f>
        <v>212.73130495286077</v>
      </c>
      <c r="I11" s="287">
        <f ca="1">Parcs!BM24+Voirie!AK12</f>
        <v>-73.221865250450477</v>
      </c>
      <c r="J11" s="288">
        <f>C11+D11+E11+F11+G11+H11+I11</f>
        <v>47438.356969617242</v>
      </c>
      <c r="K11" s="289">
        <f ca="1">'Ajust. post transferts'!T24</f>
        <v>-7299.6</v>
      </c>
      <c r="L11" s="288">
        <f>J11+K11</f>
        <v>40138.756969617243</v>
      </c>
    </row>
    <row r="12" spans="1:18" ht="13.5" thickBot="1">
      <c r="R12" s="192"/>
    </row>
    <row r="13" spans="1:18" ht="16.5" thickBot="1">
      <c r="A13" s="20" t="s">
        <v>29</v>
      </c>
      <c r="B13" s="1"/>
      <c r="C13" s="31">
        <f ca="1">Indexation!C6</f>
        <v>0.01</v>
      </c>
      <c r="D13" s="32"/>
      <c r="E13" s="32"/>
      <c r="R13" s="192"/>
    </row>
    <row r="14" spans="1:18" ht="16.5" thickBot="1">
      <c r="A14" s="37"/>
      <c r="B14" s="1"/>
      <c r="C14" s="38"/>
      <c r="D14" s="38"/>
      <c r="E14" s="38"/>
      <c r="I14" s="160"/>
      <c r="R14" s="192"/>
    </row>
    <row r="15" spans="1:18" ht="6.75" customHeight="1">
      <c r="A15" s="351" t="s">
        <v>0</v>
      </c>
      <c r="B15" s="39"/>
      <c r="C15" s="71"/>
      <c r="D15" s="71"/>
      <c r="E15" s="114"/>
      <c r="F15" s="79"/>
      <c r="G15" s="71"/>
      <c r="H15" s="190"/>
      <c r="I15" s="171"/>
      <c r="J15" s="79"/>
      <c r="K15" s="79"/>
      <c r="L15" s="79"/>
      <c r="R15" s="192"/>
    </row>
    <row r="16" spans="1:18" ht="78.75">
      <c r="A16" s="351"/>
      <c r="B16" s="34"/>
      <c r="C16" s="99" t="s">
        <v>96</v>
      </c>
      <c r="D16" s="97" t="s">
        <v>88</v>
      </c>
      <c r="E16" s="28" t="s">
        <v>199</v>
      </c>
      <c r="F16" s="28" t="s">
        <v>95</v>
      </c>
      <c r="G16" s="187" t="s">
        <v>199</v>
      </c>
      <c r="H16" s="108" t="s">
        <v>81</v>
      </c>
      <c r="I16" s="108" t="s">
        <v>82</v>
      </c>
      <c r="J16" s="99" t="s">
        <v>89</v>
      </c>
      <c r="K16" s="95" t="s">
        <v>108</v>
      </c>
      <c r="L16" s="99" t="s">
        <v>109</v>
      </c>
      <c r="R16" s="192"/>
    </row>
    <row r="17" spans="1:18">
      <c r="A17" s="33"/>
      <c r="B17" s="5"/>
      <c r="C17" s="80" t="s">
        <v>1</v>
      </c>
      <c r="D17" s="98" t="s">
        <v>1</v>
      </c>
      <c r="E17" s="6" t="s">
        <v>1</v>
      </c>
      <c r="F17" s="6" t="s">
        <v>1</v>
      </c>
      <c r="G17" s="188"/>
      <c r="H17" s="109" t="s">
        <v>1</v>
      </c>
      <c r="I17" s="109" t="s">
        <v>1</v>
      </c>
      <c r="J17" s="80" t="s">
        <v>1</v>
      </c>
      <c r="K17" s="96" t="s">
        <v>1</v>
      </c>
      <c r="L17" s="80" t="s">
        <v>1</v>
      </c>
      <c r="R17" s="192"/>
    </row>
    <row r="18" spans="1:18">
      <c r="A18" s="7" t="s">
        <v>4</v>
      </c>
      <c r="B18" s="7"/>
      <c r="C18" s="194">
        <f>L9</f>
        <v>51338.10843089746</v>
      </c>
      <c r="D18" s="195">
        <f>C18*C$13</f>
        <v>513.38108430897466</v>
      </c>
      <c r="E18" s="40">
        <f>(E9)*(1+C$13)</f>
        <v>296.5787849291446</v>
      </c>
      <c r="F18" s="184">
        <v>200.81426868987811</v>
      </c>
      <c r="G18" s="193">
        <f>SUM(E18:F18)</f>
        <v>497.39305361902268</v>
      </c>
      <c r="H18" s="115">
        <f ca="1">Aménagement!L24+Bibliothèques!W20+Culture!M26+Sport!K26+Santé!L16+Parcs!BL32+Voirie!AJ20</f>
        <v>-89.019201452858624</v>
      </c>
      <c r="I18" s="115">
        <f ca="1">Parcs!BM32+Voirie!AK20</f>
        <v>-5.0575558328607579</v>
      </c>
      <c r="J18" s="100">
        <f>C18+D18+G18+H18+I18</f>
        <v>52254.805811539736</v>
      </c>
      <c r="K18" s="103">
        <f ca="1">'Ajust. post transferts'!K37</f>
        <v>-78.100000000000009</v>
      </c>
      <c r="L18" s="100">
        <f>J18+K18</f>
        <v>52176.705811539738</v>
      </c>
      <c r="R18" s="192"/>
    </row>
    <row r="19" spans="1:18">
      <c r="A19" s="249" t="s">
        <v>15</v>
      </c>
      <c r="B19" s="249"/>
      <c r="C19" s="257">
        <f>L10</f>
        <v>50575.396103059284</v>
      </c>
      <c r="D19" s="258">
        <f>C19*C$13</f>
        <v>505.75396103059285</v>
      </c>
      <c r="E19" s="259">
        <f>(E10)*(1+C$13)</f>
        <v>-115.80562629809434</v>
      </c>
      <c r="F19" s="260">
        <v>-175.97596148608719</v>
      </c>
      <c r="G19" s="261">
        <f>SUM(E19:F19)</f>
        <v>-291.78158778418151</v>
      </c>
      <c r="H19" s="262">
        <f ca="1">Aménagement!L25+Bibliothèques!W21+Culture!M27+Sport!K27+Santé!L17+Parcs!BL33+Voirie!AJ21</f>
        <v>1993.0169737553513</v>
      </c>
      <c r="I19" s="262">
        <f ca="1">Parcs!BM33+Voirie!AK21</f>
        <v>-27.801272906215093</v>
      </c>
      <c r="J19" s="263">
        <f>C19+D19+G19+H19+I19</f>
        <v>52754.584177154829</v>
      </c>
      <c r="K19" s="103">
        <f ca="1">'Ajust. post transferts'!K48</f>
        <v>-495.50000000000006</v>
      </c>
      <c r="L19" s="100">
        <f>J19+K19</f>
        <v>52259.084177154829</v>
      </c>
      <c r="R19" s="192"/>
    </row>
    <row r="20" spans="1:18" ht="13.5" thickBot="1">
      <c r="A20" s="269" t="s">
        <v>17</v>
      </c>
      <c r="B20" s="269"/>
      <c r="C20" s="288">
        <f>L11</f>
        <v>40138.756969617243</v>
      </c>
      <c r="D20" s="284">
        <f>C20*C$13</f>
        <v>401.38756969617242</v>
      </c>
      <c r="E20" s="290">
        <f>(E11)*(1+C$13)</f>
        <v>-612.14139007556855</v>
      </c>
      <c r="F20" s="291">
        <v>109.30717117754251</v>
      </c>
      <c r="G20" s="285">
        <f>SUM(E20:F20)</f>
        <v>-502.83421889802605</v>
      </c>
      <c r="H20" s="287">
        <f ca="1">Aménagement!L26+Bibliothèques!W22+Culture!M28+Sport!K28+Santé!L18+Parcs!BL34+Voirie!AJ22</f>
        <v>74.23101570742655</v>
      </c>
      <c r="I20" s="287">
        <f ca="1">Parcs!BM34+Voirie!AK22</f>
        <v>34.60973423752948</v>
      </c>
      <c r="J20" s="283">
        <f>C20+D20+G20+H20+I20</f>
        <v>40146.151070360342</v>
      </c>
      <c r="K20" s="292">
        <f ca="1">'Ajust. post transferts'!K50</f>
        <v>-37.800000000000004</v>
      </c>
      <c r="L20" s="283">
        <f>J20+K20</f>
        <v>40108.351070360339</v>
      </c>
      <c r="R20" s="192"/>
    </row>
    <row r="21" spans="1:18" ht="13.5" thickBot="1">
      <c r="R21" s="192"/>
    </row>
    <row r="22" spans="1:18" ht="16.5" thickBot="1">
      <c r="A22" s="20" t="s">
        <v>30</v>
      </c>
      <c r="B22" s="1"/>
      <c r="C22" s="31">
        <f ca="1">Indexation!C7</f>
        <v>1.4999999999999999E-2</v>
      </c>
      <c r="D22" s="32"/>
      <c r="E22" s="32"/>
    </row>
    <row r="23" spans="1:18" ht="16.5" thickBot="1">
      <c r="A23" s="37"/>
      <c r="B23" s="1"/>
      <c r="C23" s="38"/>
      <c r="D23" s="38"/>
      <c r="E23" s="38"/>
    </row>
    <row r="24" spans="1:18" ht="6.75" customHeight="1">
      <c r="A24" s="351" t="s">
        <v>0</v>
      </c>
      <c r="B24" s="39"/>
      <c r="C24" s="114"/>
      <c r="D24" s="79"/>
      <c r="E24" s="71"/>
      <c r="F24" s="79"/>
      <c r="G24" s="79"/>
      <c r="H24" s="79"/>
      <c r="I24" s="79"/>
      <c r="J24" s="79"/>
      <c r="O24" s="153"/>
    </row>
    <row r="25" spans="1:18" ht="45">
      <c r="A25" s="351"/>
      <c r="B25" s="34"/>
      <c r="C25" s="99" t="s">
        <v>109</v>
      </c>
      <c r="D25" s="97" t="s">
        <v>88</v>
      </c>
      <c r="E25" s="187" t="s">
        <v>194</v>
      </c>
      <c r="F25" s="108" t="s">
        <v>81</v>
      </c>
      <c r="G25" s="108" t="s">
        <v>82</v>
      </c>
      <c r="H25" s="99" t="s">
        <v>90</v>
      </c>
      <c r="I25" s="95" t="s">
        <v>159</v>
      </c>
      <c r="J25" s="99" t="s">
        <v>160</v>
      </c>
    </row>
    <row r="26" spans="1:18">
      <c r="A26" s="33"/>
      <c r="B26" s="5"/>
      <c r="C26" s="80" t="s">
        <v>1</v>
      </c>
      <c r="D26" s="98" t="s">
        <v>1</v>
      </c>
      <c r="E26" s="188" t="s">
        <v>1</v>
      </c>
      <c r="F26" s="109" t="s">
        <v>1</v>
      </c>
      <c r="G26" s="109" t="s">
        <v>1</v>
      </c>
      <c r="H26" s="80" t="s">
        <v>1</v>
      </c>
      <c r="I26" s="96" t="s">
        <v>1</v>
      </c>
      <c r="J26" s="80" t="s">
        <v>1</v>
      </c>
    </row>
    <row r="27" spans="1:18">
      <c r="A27" s="7" t="s">
        <v>4</v>
      </c>
      <c r="B27" s="7"/>
      <c r="C27" s="100">
        <f>L18</f>
        <v>52176.705811539738</v>
      </c>
      <c r="D27" s="195">
        <f>C27*C$22</f>
        <v>782.65058717309603</v>
      </c>
      <c r="E27" s="193">
        <f>G18*(1+C$22)</f>
        <v>504.85394942330799</v>
      </c>
      <c r="F27" s="115">
        <f ca="1">Aménagement!L32+Bibliothèques!W30+Culture!M34+Sport!K34+Santé!L25+Parcs!BL42+Voirie!AJ30</f>
        <v>-6.6258825704143876</v>
      </c>
      <c r="G27" s="115">
        <f ca="1">Parcs!BM42+Voirie!AK30</f>
        <v>-45.067287243153572</v>
      </c>
      <c r="H27" s="100">
        <f>L18+D27+E27+F27+G27</f>
        <v>53412.517178322574</v>
      </c>
      <c r="I27" s="103">
        <f ca="1">'Ajust. post transferts'!K63</f>
        <v>-175.59999999999997</v>
      </c>
      <c r="J27" s="100">
        <f>H27+I27+0.1</f>
        <v>53237.017178322574</v>
      </c>
    </row>
    <row r="28" spans="1:18">
      <c r="A28" s="7" t="s">
        <v>15</v>
      </c>
      <c r="B28" s="7"/>
      <c r="C28" s="100">
        <f>L19</f>
        <v>52259.084177154829</v>
      </c>
      <c r="D28" s="258">
        <f>C28*C$22</f>
        <v>783.88626265732239</v>
      </c>
      <c r="E28" s="193">
        <f>G19*(1+C$22)</f>
        <v>-296.15831160094422</v>
      </c>
      <c r="F28" s="115">
        <f ca="1">Aménagement!L33+Bibliothèques!W31+Culture!M35+Sport!K35+Santé!L26+Parcs!BL43+Voirie!AJ31</f>
        <v>148.66120671733722</v>
      </c>
      <c r="G28" s="115">
        <f ca="1">Parcs!BM43+Voirie!AK31</f>
        <v>103.92654286336739</v>
      </c>
      <c r="H28" s="100">
        <f>L19+D28+E28+F28+G28</f>
        <v>52999.399877791911</v>
      </c>
      <c r="I28" s="103">
        <f ca="1">'Ajust. post transferts'!K74</f>
        <v>-317</v>
      </c>
      <c r="J28" s="100">
        <f>H28+I28</f>
        <v>52682.399877791911</v>
      </c>
    </row>
    <row r="29" spans="1:18" ht="13.5" thickBot="1">
      <c r="A29" s="269" t="s">
        <v>17</v>
      </c>
      <c r="B29" s="269"/>
      <c r="C29" s="283">
        <f>L20</f>
        <v>40108.351070360339</v>
      </c>
      <c r="D29" s="284">
        <f>C29*C$22</f>
        <v>601.62526605540506</v>
      </c>
      <c r="E29" s="285">
        <f>G20*(1+C$22)</f>
        <v>-510.37673218149638</v>
      </c>
      <c r="F29" s="287">
        <f ca="1">Aménagement!L34+Bibliothèques!W32+Culture!M36+Sport!K36+Santé!L27+Parcs!BL44+Voirie!AJ32</f>
        <v>86.679254869124875</v>
      </c>
      <c r="G29" s="287">
        <f ca="1">Parcs!BM44+Voirie!AK32</f>
        <v>-43.045614504710464</v>
      </c>
      <c r="H29" s="283">
        <f>L20+D29+E29+F29+G29</f>
        <v>40243.233244598654</v>
      </c>
      <c r="I29" s="292">
        <f ca="1">'Ajust. post transferts'!K76</f>
        <v>-253.8</v>
      </c>
      <c r="J29" s="283">
        <f>H29+I29-0.2</f>
        <v>39989.233244598654</v>
      </c>
    </row>
    <row r="30" spans="1:18" ht="13.5" thickBot="1">
      <c r="R30" s="192"/>
    </row>
    <row r="31" spans="1:18" ht="16.5" thickBot="1">
      <c r="A31" s="20" t="s">
        <v>206</v>
      </c>
      <c r="B31" s="1"/>
      <c r="C31" s="31">
        <f ca="1">Indexation!C8</f>
        <v>0.01</v>
      </c>
      <c r="D31" s="32"/>
      <c r="E31" s="32"/>
    </row>
    <row r="32" spans="1:18" ht="16.5" thickBot="1">
      <c r="A32" s="37"/>
      <c r="B32" s="1"/>
      <c r="C32" s="38"/>
      <c r="D32" s="38"/>
      <c r="E32" s="38"/>
    </row>
    <row r="33" spans="1:12" ht="6.75" customHeight="1">
      <c r="A33" s="351" t="s">
        <v>0</v>
      </c>
      <c r="B33" s="39"/>
      <c r="C33" s="114"/>
      <c r="D33" s="79"/>
      <c r="E33" s="71"/>
      <c r="F33" s="79"/>
      <c r="G33" s="79"/>
      <c r="H33" s="79"/>
      <c r="I33" s="79"/>
      <c r="J33" s="79"/>
      <c r="K33" s="79"/>
      <c r="L33" s="79"/>
    </row>
    <row r="34" spans="1:12" ht="45">
      <c r="A34" s="351"/>
      <c r="B34" s="34"/>
      <c r="C34" s="99" t="s">
        <v>160</v>
      </c>
      <c r="D34" s="97" t="s">
        <v>88</v>
      </c>
      <c r="E34" s="204" t="s">
        <v>230</v>
      </c>
      <c r="F34" s="204" t="s">
        <v>231</v>
      </c>
      <c r="G34" s="204" t="s">
        <v>232</v>
      </c>
      <c r="H34" s="108" t="s">
        <v>81</v>
      </c>
      <c r="I34" s="108" t="s">
        <v>82</v>
      </c>
      <c r="J34" s="99" t="s">
        <v>233</v>
      </c>
      <c r="K34" s="95" t="s">
        <v>234</v>
      </c>
      <c r="L34" s="99" t="s">
        <v>250</v>
      </c>
    </row>
    <row r="35" spans="1:12">
      <c r="A35" s="33"/>
      <c r="B35" s="5"/>
      <c r="C35" s="80" t="s">
        <v>1</v>
      </c>
      <c r="D35" s="98" t="s">
        <v>1</v>
      </c>
      <c r="E35" s="205" t="s">
        <v>1</v>
      </c>
      <c r="F35" s="205" t="s">
        <v>1</v>
      </c>
      <c r="G35" s="205" t="s">
        <v>1</v>
      </c>
      <c r="H35" s="109" t="s">
        <v>1</v>
      </c>
      <c r="I35" s="109" t="s">
        <v>1</v>
      </c>
      <c r="J35" s="80" t="s">
        <v>1</v>
      </c>
      <c r="K35" s="96" t="s">
        <v>1</v>
      </c>
      <c r="L35" s="80" t="s">
        <v>1</v>
      </c>
    </row>
    <row r="36" spans="1:12">
      <c r="A36" s="7" t="s">
        <v>4</v>
      </c>
      <c r="B36" s="7"/>
      <c r="C36" s="100">
        <f>J27</f>
        <v>53237.017178322574</v>
      </c>
      <c r="D36" s="195">
        <f>C36*C$31</f>
        <v>532.37017178322571</v>
      </c>
      <c r="E36" s="206">
        <v>380.13200000000001</v>
      </c>
      <c r="F36" s="206">
        <v>69.81</v>
      </c>
      <c r="G36" s="206">
        <v>225.0575</v>
      </c>
      <c r="H36" s="115">
        <f ca="1">Aménagement!L40+Bibliothèques!W40+Culture!M42+Sport!K42+Santé!L33+Parcs!BL52+Voirie!AJ40</f>
        <v>-29.89071690395863</v>
      </c>
      <c r="I36" s="115">
        <f ca="1">Parcs!BM52+Voirie!AK40</f>
        <v>-92.123108965555105</v>
      </c>
      <c r="J36" s="100">
        <f>C36+D36+E36+F36+G36+H36+I36</f>
        <v>54322.37302423628</v>
      </c>
      <c r="K36" s="103">
        <f ca="1">'Ajust. post transferts'!O89</f>
        <v>-226.90000000000009</v>
      </c>
      <c r="L36" s="100">
        <f>J36+K36</f>
        <v>54095.473024236278</v>
      </c>
    </row>
    <row r="37" spans="1:12">
      <c r="A37" s="249" t="s">
        <v>15</v>
      </c>
      <c r="B37" s="249"/>
      <c r="C37" s="263">
        <f>J28</f>
        <v>52682.399877791911</v>
      </c>
      <c r="D37" s="258">
        <f>C37*C$31</f>
        <v>526.82399877791909</v>
      </c>
      <c r="E37" s="265">
        <v>357.1875</v>
      </c>
      <c r="F37" s="265">
        <v>147.261</v>
      </c>
      <c r="G37" s="265">
        <v>150.00399999999999</v>
      </c>
      <c r="H37" s="262">
        <f ca="1">Aménagement!L41+Bibliothèques!W41+Culture!M43+Sport!K43+Santé!L34+Parcs!BL53+Voirie!AJ41</f>
        <v>-52.34169449508105</v>
      </c>
      <c r="I37" s="262">
        <f ca="1">Parcs!BM53+Voirie!AK41</f>
        <v>-78.587702696132368</v>
      </c>
      <c r="J37" s="263">
        <f>C37+D37+E37+F37+G37+H37+I37</f>
        <v>53732.746979378615</v>
      </c>
      <c r="K37" s="103">
        <f ca="1">'Ajust. post transferts'!O100</f>
        <v>-122</v>
      </c>
      <c r="L37" s="100">
        <f>J37+K37+0.1</f>
        <v>53610.846979378613</v>
      </c>
    </row>
    <row r="38" spans="1:12" ht="13.5" thickBot="1">
      <c r="A38" s="269" t="s">
        <v>17</v>
      </c>
      <c r="B38" s="269"/>
      <c r="C38" s="283">
        <f>J29</f>
        <v>39989.233244598654</v>
      </c>
      <c r="D38" s="284">
        <f>C38*C$31</f>
        <v>399.89233244598654</v>
      </c>
      <c r="E38" s="293">
        <v>127.547</v>
      </c>
      <c r="F38" s="293">
        <v>87.081500000000005</v>
      </c>
      <c r="G38" s="293">
        <v>73.986999999999995</v>
      </c>
      <c r="H38" s="287">
        <f ca="1">Aménagement!L42+Bibliothèques!W42+Culture!M44+Sport!K44+Santé!L35+Parcs!BL54+Voirie!AJ42</f>
        <v>145.2247698982238</v>
      </c>
      <c r="I38" s="287">
        <f ca="1">Parcs!BM54+Voirie!AK42</f>
        <v>-0.79583659819365593</v>
      </c>
      <c r="J38" s="283">
        <f>C38+D38+E38+F38+G38+H38+I38</f>
        <v>40822.170010344678</v>
      </c>
      <c r="K38" s="292">
        <f ca="1">'Ajust. post transferts'!O102</f>
        <v>-93.900000000000048</v>
      </c>
      <c r="L38" s="283">
        <f>J38+K38-0.1</f>
        <v>40728.170010344678</v>
      </c>
    </row>
    <row r="39" spans="1:12" ht="13.5" thickBot="1"/>
    <row r="40" spans="1:12" ht="16.5" thickBot="1">
      <c r="A40" s="20" t="s">
        <v>209</v>
      </c>
      <c r="B40" s="1"/>
      <c r="C40" s="31">
        <f ca="1">Indexation!C9</f>
        <v>0.01</v>
      </c>
      <c r="D40" s="32"/>
      <c r="E40" s="32"/>
    </row>
    <row r="41" spans="1:12" ht="16.5" thickBot="1">
      <c r="A41" s="37"/>
      <c r="B41" s="1"/>
      <c r="C41" s="38"/>
      <c r="D41" s="38"/>
      <c r="E41" s="38"/>
    </row>
    <row r="42" spans="1:12" ht="6.75" customHeight="1">
      <c r="A42" s="351" t="s">
        <v>0</v>
      </c>
      <c r="B42" s="39"/>
      <c r="C42" s="114"/>
      <c r="D42" s="79"/>
      <c r="E42" s="71"/>
      <c r="F42" s="79"/>
      <c r="G42" s="79"/>
      <c r="H42" s="79"/>
      <c r="I42" s="79"/>
      <c r="J42" s="79"/>
      <c r="K42" s="79"/>
      <c r="L42" s="79"/>
    </row>
    <row r="43" spans="1:12" ht="45">
      <c r="A43" s="351"/>
      <c r="B43" s="34"/>
      <c r="C43" s="99" t="s">
        <v>250</v>
      </c>
      <c r="D43" s="97" t="s">
        <v>88</v>
      </c>
      <c r="E43" s="204" t="s">
        <v>230</v>
      </c>
      <c r="F43" s="204" t="s">
        <v>231</v>
      </c>
      <c r="G43" s="204" t="s">
        <v>232</v>
      </c>
      <c r="H43" s="108" t="s">
        <v>81</v>
      </c>
      <c r="I43" s="108" t="s">
        <v>82</v>
      </c>
      <c r="J43" s="99" t="s">
        <v>252</v>
      </c>
      <c r="K43" s="95" t="s">
        <v>251</v>
      </c>
      <c r="L43" s="99" t="s">
        <v>259</v>
      </c>
    </row>
    <row r="44" spans="1:12">
      <c r="A44" s="33"/>
      <c r="B44" s="5"/>
      <c r="C44" s="80" t="s">
        <v>1</v>
      </c>
      <c r="D44" s="98" t="s">
        <v>1</v>
      </c>
      <c r="E44" s="205" t="s">
        <v>1</v>
      </c>
      <c r="F44" s="205" t="s">
        <v>1</v>
      </c>
      <c r="G44" s="205" t="s">
        <v>1</v>
      </c>
      <c r="H44" s="109" t="s">
        <v>1</v>
      </c>
      <c r="I44" s="109" t="s">
        <v>1</v>
      </c>
      <c r="J44" s="80" t="s">
        <v>1</v>
      </c>
      <c r="K44" s="96" t="s">
        <v>1</v>
      </c>
      <c r="L44" s="80" t="s">
        <v>1</v>
      </c>
    </row>
    <row r="45" spans="1:12">
      <c r="A45" s="7" t="s">
        <v>4</v>
      </c>
      <c r="B45" s="7"/>
      <c r="C45" s="100">
        <f>L36</f>
        <v>54095.473024236278</v>
      </c>
      <c r="D45" s="195">
        <f>C45*C$40</f>
        <v>540.95473024236276</v>
      </c>
      <c r="E45" s="206">
        <f>E36*(1+C$40)</f>
        <v>383.93331999999998</v>
      </c>
      <c r="F45" s="206">
        <f>F36*(1+C$40)</f>
        <v>70.508099999999999</v>
      </c>
      <c r="G45" s="206">
        <f>G36*(1+C$40)</f>
        <v>227.308075</v>
      </c>
      <c r="H45" s="115">
        <f ca="1">Aménagement!L48+Bibliothèques!W50+Culture!M50+Sport!K50+Santé!L41+Parcs!BL62+Voirie!AJ50</f>
        <v>133.15107742188337</v>
      </c>
      <c r="I45" s="115">
        <f ca="1">Parcs!BM62+Voirie!AK50</f>
        <v>67.024723225309927</v>
      </c>
      <c r="J45" s="100">
        <f>C45+D45+E45+F45+G45+H45+I45</f>
        <v>55518.353050125828</v>
      </c>
      <c r="K45" s="103">
        <f ca="1">'Ajust. post transferts'!K117</f>
        <v>541.29999999999995</v>
      </c>
      <c r="L45" s="100">
        <f>J45+K45</f>
        <v>56059.653050125831</v>
      </c>
    </row>
    <row r="46" spans="1:12">
      <c r="A46" s="7" t="s">
        <v>15</v>
      </c>
      <c r="B46" s="7"/>
      <c r="C46" s="100">
        <f>L37</f>
        <v>53610.846979378613</v>
      </c>
      <c r="D46" s="258">
        <f>C46*C$40</f>
        <v>536.10846979378618</v>
      </c>
      <c r="E46" s="206">
        <f>E37*(1+C$40)</f>
        <v>360.75937499999998</v>
      </c>
      <c r="F46" s="206">
        <f>F37*(1+C$40)</f>
        <v>148.73361</v>
      </c>
      <c r="G46" s="206">
        <f>G37*(1+C$40)</f>
        <v>151.50404</v>
      </c>
      <c r="H46" s="115">
        <f ca="1">Aménagement!L49+Bibliothèques!W51+Culture!M51+Sport!K51+Santé!L42+Parcs!BL63+Voirie!AJ51</f>
        <v>98.233779406229331</v>
      </c>
      <c r="I46" s="115">
        <f ca="1">Parcs!BM63+Voirie!AK51</f>
        <v>34.467843899142714</v>
      </c>
      <c r="J46" s="100">
        <f>C46+D46+E46+F46+G46+H46+I46</f>
        <v>54940.654097477767</v>
      </c>
      <c r="K46" s="103">
        <f ca="1">'Ajust. post transferts'!K128</f>
        <v>-334.9</v>
      </c>
      <c r="L46" s="100">
        <f>J46+K46-0.1</f>
        <v>54605.654097477767</v>
      </c>
    </row>
    <row r="47" spans="1:12" ht="13.5" thickBot="1">
      <c r="A47" s="269" t="s">
        <v>17</v>
      </c>
      <c r="B47" s="269"/>
      <c r="C47" s="283">
        <f>L38</f>
        <v>40728.170010344678</v>
      </c>
      <c r="D47" s="284">
        <f>C47*C$40</f>
        <v>407.28170010344678</v>
      </c>
      <c r="E47" s="293">
        <f>E38*(1+C$40)</f>
        <v>128.82247000000001</v>
      </c>
      <c r="F47" s="293">
        <f>F38*(1+C$40)</f>
        <v>87.952315000000013</v>
      </c>
      <c r="G47" s="293">
        <f>G38*(1+C$40)</f>
        <v>74.726869999999991</v>
      </c>
      <c r="H47" s="287">
        <f ca="1">Aménagement!L50+Bibliothèques!W52+Culture!M52+Sport!K52+Santé!L43+Parcs!BL64+Voirie!AJ52</f>
        <v>135.18112183940119</v>
      </c>
      <c r="I47" s="287">
        <f ca="1">Parcs!BM64+Voirie!AK52</f>
        <v>20.92369884453479</v>
      </c>
      <c r="J47" s="283">
        <f>C47+D47+E47+F47+G47+H47+I47</f>
        <v>41583.058186132061</v>
      </c>
      <c r="K47" s="292">
        <f ca="1">'Ajust. post transferts'!K130</f>
        <v>-106.89999999999996</v>
      </c>
      <c r="L47" s="283">
        <f>J47+K47</f>
        <v>41476.158186132059</v>
      </c>
    </row>
    <row r="48" spans="1:12" ht="13.5" thickBot="1"/>
    <row r="49" spans="1:9" ht="16.5" thickBot="1">
      <c r="A49" s="20" t="s">
        <v>212</v>
      </c>
      <c r="B49" s="1"/>
      <c r="C49" s="31">
        <f ca="1">Indexation!C10</f>
        <v>0.01</v>
      </c>
      <c r="D49" s="32"/>
      <c r="E49" s="32"/>
    </row>
    <row r="50" spans="1:9" ht="16.5" thickBot="1">
      <c r="A50" s="37"/>
      <c r="B50" s="1"/>
      <c r="C50" s="38"/>
      <c r="D50" s="38"/>
      <c r="E50" s="38"/>
    </row>
    <row r="51" spans="1:9" ht="6.75" customHeight="1">
      <c r="A51" s="351" t="s">
        <v>0</v>
      </c>
      <c r="B51" s="39"/>
      <c r="C51" s="114"/>
      <c r="D51" s="79"/>
      <c r="E51" s="71"/>
      <c r="F51" s="79"/>
      <c r="G51" s="79"/>
      <c r="H51" s="79"/>
      <c r="I51" s="79"/>
    </row>
    <row r="52" spans="1:9" ht="45">
      <c r="A52" s="351"/>
      <c r="B52" s="34"/>
      <c r="C52" s="99" t="s">
        <v>259</v>
      </c>
      <c r="D52" s="97" t="s">
        <v>88</v>
      </c>
      <c r="E52" s="108" t="s">
        <v>81</v>
      </c>
      <c r="F52" s="108" t="s">
        <v>82</v>
      </c>
      <c r="G52" s="99" t="s">
        <v>260</v>
      </c>
      <c r="H52" s="95" t="s">
        <v>261</v>
      </c>
      <c r="I52" s="99" t="s">
        <v>297</v>
      </c>
    </row>
    <row r="53" spans="1:9">
      <c r="A53" s="33"/>
      <c r="B53" s="5"/>
      <c r="C53" s="80" t="s">
        <v>1</v>
      </c>
      <c r="D53" s="98" t="s">
        <v>1</v>
      </c>
      <c r="E53" s="109" t="s">
        <v>1</v>
      </c>
      <c r="F53" s="109" t="s">
        <v>1</v>
      </c>
      <c r="G53" s="80" t="s">
        <v>1</v>
      </c>
      <c r="H53" s="96" t="s">
        <v>1</v>
      </c>
      <c r="I53" s="80" t="s">
        <v>1</v>
      </c>
    </row>
    <row r="54" spans="1:9">
      <c r="A54" s="7" t="s">
        <v>4</v>
      </c>
      <c r="B54" s="7"/>
      <c r="C54" s="100">
        <f>L45</f>
        <v>56059.653050125831</v>
      </c>
      <c r="D54" s="195">
        <f>C54*C$49</f>
        <v>560.59653050125837</v>
      </c>
      <c r="E54" s="115">
        <f ca="1">Aménagement!L56+Bibliothèques!W60+Culture!L58+Sport!K58+Santé!O49+Parcs!BL72+Voirie!AJ60</f>
        <v>104.25392534814878</v>
      </c>
      <c r="F54" s="115">
        <f ca="1">Parcs!BM72+Voirie!AK60</f>
        <v>20.784230885710556</v>
      </c>
      <c r="G54" s="100">
        <f>C54+D54+E54+F54</f>
        <v>56745.287736860948</v>
      </c>
      <c r="H54" s="103">
        <f ca="1">'Ajust. post transferts'!J144</f>
        <v>289.39999999999998</v>
      </c>
      <c r="I54" s="100">
        <f>G54+H54</f>
        <v>57034.687736860949</v>
      </c>
    </row>
    <row r="55" spans="1:9">
      <c r="A55" s="249" t="s">
        <v>15</v>
      </c>
      <c r="B55" s="249"/>
      <c r="C55" s="263">
        <f>L46</f>
        <v>54605.654097477767</v>
      </c>
      <c r="D55" s="258">
        <f>C55*C$49</f>
        <v>546.0565409747777</v>
      </c>
      <c r="E55" s="262">
        <f ca="1">Aménagement!L57+Bibliothèques!W61+Culture!L59+Sport!K59+Santé!O50+Parcs!BL73+Voirie!AJ61</f>
        <v>124.27202372168844</v>
      </c>
      <c r="F55" s="262">
        <f ca="1">Parcs!BM73+Voirie!AK61</f>
        <v>11.911902609182508</v>
      </c>
      <c r="G55" s="263">
        <f>C55+D55+E55+F55</f>
        <v>55287.894564783412</v>
      </c>
      <c r="H55" s="266">
        <f ca="1">'Ajust. post transferts'!J155</f>
        <v>667</v>
      </c>
      <c r="I55" s="263">
        <f>G55+H55+0.1</f>
        <v>55954.99456478341</v>
      </c>
    </row>
    <row r="56" spans="1:9" ht="13.5" thickBot="1">
      <c r="A56" s="269" t="s">
        <v>17</v>
      </c>
      <c r="B56" s="269"/>
      <c r="C56" s="283">
        <f>L47</f>
        <v>41476.158186132059</v>
      </c>
      <c r="D56" s="284">
        <f>C56*C$49</f>
        <v>414.76158186132062</v>
      </c>
      <c r="E56" s="287">
        <f ca="1">Aménagement!L58+Bibliothèques!W62+Culture!L60+Sport!K60+Santé!O51+Parcs!BL74+Voirie!AJ62</f>
        <v>100.75639424006884</v>
      </c>
      <c r="F56" s="287">
        <f ca="1">Parcs!BM74+Voirie!AK62</f>
        <v>256.1101959419675</v>
      </c>
      <c r="G56" s="283">
        <f>C56+D56+E56+F56</f>
        <v>42247.786358175414</v>
      </c>
      <c r="H56" s="292">
        <f ca="1">'Ajust. post transferts'!J157</f>
        <v>695</v>
      </c>
      <c r="I56" s="283">
        <f>G56+H56+0.1</f>
        <v>42942.886358175412</v>
      </c>
    </row>
  </sheetData>
  <mergeCells count="6">
    <mergeCell ref="A51:A52"/>
    <mergeCell ref="A15:A16"/>
    <mergeCell ref="A24:A25"/>
    <mergeCell ref="A6:A7"/>
    <mergeCell ref="A33:A34"/>
    <mergeCell ref="A42:A43"/>
  </mergeCells>
  <phoneticPr fontId="0" type="noConversion"/>
  <pageMargins left="0.74803149606299213" right="0.95" top="0.47244094488188981" bottom="0.47244094488188981" header="0.35433070866141736" footer="0.23622047244094491"/>
  <pageSetup paperSize="5" orientation="landscape" r:id="rId1"/>
  <headerFooter alignWithMargins="0">
    <oddFooter>&amp;L&amp;Z&amp;F</oddFooter>
  </headerFooter>
  <ignoredErrors>
    <ignoredError sqref="K3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8BFB25"/>
    <pageSetUpPr fitToPage="1"/>
  </sheetPr>
  <dimension ref="A2:BA165"/>
  <sheetViews>
    <sheetView zoomScale="85" zoomScaleNormal="85" workbookViewId="0">
      <selection activeCell="C6" sqref="C6:S6"/>
    </sheetView>
  </sheetViews>
  <sheetFormatPr baseColWidth="10" defaultRowHeight="12.75"/>
  <cols>
    <col min="1" max="1" width="32.42578125" style="2" bestFit="1" customWidth="1"/>
    <col min="2" max="2" width="0.85546875" style="2" customWidth="1"/>
    <col min="3" max="23" width="11.42578125" style="2"/>
    <col min="24" max="24" width="15" style="2" customWidth="1"/>
    <col min="25" max="25" width="14.5703125" style="2" customWidth="1"/>
    <col min="26" max="16384" width="11.42578125" style="2"/>
  </cols>
  <sheetData>
    <row r="2" spans="1:27" ht="15.75">
      <c r="A2" s="1" t="s">
        <v>87</v>
      </c>
      <c r="B2" s="1"/>
    </row>
    <row r="3" spans="1:27" ht="15">
      <c r="G3" s="110"/>
      <c r="H3" s="110"/>
      <c r="I3" s="110"/>
      <c r="J3" s="110"/>
      <c r="K3" s="110"/>
      <c r="L3" s="111"/>
      <c r="M3" s="111"/>
      <c r="N3" s="113"/>
      <c r="O3" s="113"/>
      <c r="P3" s="113"/>
      <c r="Q3" s="111"/>
      <c r="R3" s="111"/>
      <c r="S3" s="113"/>
      <c r="T3" s="113"/>
      <c r="U3" s="113"/>
      <c r="V3" s="113"/>
      <c r="W3" s="113"/>
      <c r="X3" s="113"/>
      <c r="Y3" s="113"/>
      <c r="Z3" s="113"/>
      <c r="AA3" s="113"/>
    </row>
    <row r="4" spans="1:27" ht="15.75">
      <c r="A4" s="20" t="s">
        <v>162</v>
      </c>
      <c r="B4" s="163"/>
      <c r="C4" s="167"/>
      <c r="D4" s="160"/>
      <c r="E4" s="160"/>
      <c r="F4" s="160"/>
      <c r="G4" s="168"/>
      <c r="H4" s="168"/>
      <c r="I4" s="168"/>
      <c r="J4" s="168"/>
      <c r="K4" s="168"/>
      <c r="L4" s="112"/>
      <c r="M4" s="112"/>
      <c r="N4" s="113"/>
      <c r="O4" s="113"/>
      <c r="P4" s="113"/>
      <c r="Q4" s="112"/>
      <c r="R4" s="112"/>
      <c r="S4" s="113"/>
      <c r="T4" s="113"/>
      <c r="U4" s="113"/>
      <c r="V4" s="113"/>
      <c r="W4" s="113"/>
      <c r="X4" s="113"/>
      <c r="Y4" s="113"/>
      <c r="Z4" s="113"/>
      <c r="AA4" s="113"/>
    </row>
    <row r="5" spans="1:27" ht="16.5" thickBot="1">
      <c r="A5" s="37"/>
      <c r="B5" s="163"/>
      <c r="C5" s="169"/>
      <c r="D5" s="160"/>
      <c r="E5" s="160"/>
      <c r="F5" s="160"/>
      <c r="G5" s="160"/>
      <c r="H5" s="160"/>
      <c r="I5" s="160"/>
      <c r="J5" s="160"/>
      <c r="K5" s="160"/>
      <c r="P5" s="113"/>
      <c r="S5" s="113"/>
      <c r="T5" s="113"/>
    </row>
    <row r="6" spans="1:27" ht="18" customHeight="1">
      <c r="A6" s="351" t="s">
        <v>0</v>
      </c>
      <c r="B6" s="170"/>
      <c r="C6" s="384" t="s">
        <v>91</v>
      </c>
      <c r="D6" s="384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175"/>
    </row>
    <row r="7" spans="1:27" ht="63.75" customHeight="1">
      <c r="A7" s="351"/>
      <c r="B7" s="162"/>
      <c r="C7" s="28" t="s">
        <v>176</v>
      </c>
      <c r="D7" s="28" t="s">
        <v>177</v>
      </c>
      <c r="E7" s="28" t="s">
        <v>178</v>
      </c>
      <c r="F7" s="28" t="s">
        <v>179</v>
      </c>
      <c r="G7" s="28" t="s">
        <v>180</v>
      </c>
      <c r="H7" s="28" t="s">
        <v>181</v>
      </c>
      <c r="I7" s="28" t="s">
        <v>182</v>
      </c>
      <c r="J7" s="28" t="s">
        <v>183</v>
      </c>
      <c r="K7" s="28" t="s">
        <v>184</v>
      </c>
      <c r="L7" s="28" t="s">
        <v>185</v>
      </c>
      <c r="M7" s="28" t="s">
        <v>186</v>
      </c>
      <c r="N7" s="28" t="s">
        <v>187</v>
      </c>
      <c r="O7" s="28" t="s">
        <v>85</v>
      </c>
      <c r="P7" s="28" t="s">
        <v>188</v>
      </c>
      <c r="Q7" s="28" t="s">
        <v>189</v>
      </c>
      <c r="R7" s="28" t="s">
        <v>190</v>
      </c>
      <c r="S7" s="28" t="s">
        <v>191</v>
      </c>
      <c r="T7" s="176" t="s">
        <v>86</v>
      </c>
    </row>
    <row r="8" spans="1:27">
      <c r="A8" s="33"/>
      <c r="B8" s="155"/>
      <c r="C8" s="6" t="s">
        <v>1</v>
      </c>
      <c r="D8" s="6" t="s">
        <v>1</v>
      </c>
      <c r="E8" s="6" t="s">
        <v>1</v>
      </c>
      <c r="F8" s="6" t="s">
        <v>1</v>
      </c>
      <c r="G8" s="6" t="s">
        <v>1</v>
      </c>
      <c r="H8" s="6" t="s">
        <v>1</v>
      </c>
      <c r="I8" s="6" t="s">
        <v>1</v>
      </c>
      <c r="J8" s="6" t="s">
        <v>1</v>
      </c>
      <c r="K8" s="6" t="s">
        <v>1</v>
      </c>
      <c r="L8" s="6" t="s">
        <v>1</v>
      </c>
      <c r="M8" s="6" t="s">
        <v>1</v>
      </c>
      <c r="N8" s="6" t="s">
        <v>1</v>
      </c>
      <c r="O8" s="6" t="s">
        <v>1</v>
      </c>
      <c r="P8" s="6" t="s">
        <v>1</v>
      </c>
      <c r="Q8" s="6" t="s">
        <v>1</v>
      </c>
      <c r="R8" s="6" t="s">
        <v>1</v>
      </c>
      <c r="S8" s="6" t="s">
        <v>1</v>
      </c>
      <c r="T8" s="182" t="s">
        <v>1</v>
      </c>
    </row>
    <row r="9" spans="1:27">
      <c r="A9" s="7" t="s">
        <v>2</v>
      </c>
      <c r="B9" s="156"/>
      <c r="C9" s="183">
        <v>-145.4</v>
      </c>
      <c r="D9" s="183"/>
      <c r="E9" s="183">
        <v>-842.7</v>
      </c>
      <c r="F9" s="183">
        <v>231.3</v>
      </c>
      <c r="G9" s="183">
        <v>-721.6</v>
      </c>
      <c r="H9" s="183">
        <v>-6247.4</v>
      </c>
      <c r="I9" s="183">
        <v>-4116.5</v>
      </c>
      <c r="J9" s="183">
        <v>-251.3</v>
      </c>
      <c r="K9" s="183">
        <v>2.9</v>
      </c>
      <c r="L9" s="183">
        <v>208.2</v>
      </c>
      <c r="M9" s="183">
        <v>-199.2</v>
      </c>
      <c r="N9" s="183">
        <v>22.3</v>
      </c>
      <c r="O9" s="183">
        <v>233.2</v>
      </c>
      <c r="P9" s="183">
        <v>-9.1</v>
      </c>
      <c r="Q9" s="183"/>
      <c r="R9" s="183"/>
      <c r="S9" s="183"/>
      <c r="T9" s="179">
        <f>SUM(C9:S9)</f>
        <v>-11835.3</v>
      </c>
    </row>
    <row r="10" spans="1:27">
      <c r="A10" s="7" t="s">
        <v>3</v>
      </c>
      <c r="B10" s="156"/>
      <c r="C10" s="184">
        <v>-14.5</v>
      </c>
      <c r="D10" s="184"/>
      <c r="E10" s="184">
        <v>-406.7</v>
      </c>
      <c r="F10" s="184">
        <v>113.1</v>
      </c>
      <c r="G10" s="184">
        <v>-359.5</v>
      </c>
      <c r="H10" s="184">
        <v>-1503.7</v>
      </c>
      <c r="I10" s="184">
        <v>-2226</v>
      </c>
      <c r="J10" s="184">
        <v>0</v>
      </c>
      <c r="K10" s="184">
        <v>19.7</v>
      </c>
      <c r="L10" s="184">
        <v>-229.5</v>
      </c>
      <c r="M10" s="184"/>
      <c r="N10" s="184">
        <v>28</v>
      </c>
      <c r="O10" s="184"/>
      <c r="P10" s="184"/>
      <c r="Q10" s="184"/>
      <c r="R10" s="184"/>
      <c r="S10" s="184"/>
      <c r="T10" s="178">
        <f t="shared" ref="T10:T27" si="0">SUM(C10:S10)</f>
        <v>-4579.1000000000004</v>
      </c>
    </row>
    <row r="11" spans="1:27">
      <c r="A11" s="7" t="s">
        <v>4</v>
      </c>
      <c r="B11" s="156"/>
      <c r="C11" s="184">
        <v>-218</v>
      </c>
      <c r="D11" s="184"/>
      <c r="E11" s="184">
        <v>-911.5</v>
      </c>
      <c r="F11" s="184">
        <v>260.10000000000002</v>
      </c>
      <c r="G11" s="184">
        <v>-767.6</v>
      </c>
      <c r="H11" s="184">
        <v>-5654.3</v>
      </c>
      <c r="I11" s="184">
        <v>-4920.2</v>
      </c>
      <c r="J11" s="184">
        <v>-205.7</v>
      </c>
      <c r="K11" s="184">
        <v>3.1</v>
      </c>
      <c r="L11" s="184">
        <v>198.8</v>
      </c>
      <c r="M11" s="184">
        <v>-240.7</v>
      </c>
      <c r="N11" s="184"/>
      <c r="O11" s="184">
        <v>614.6</v>
      </c>
      <c r="P11" s="184">
        <v>-68.5</v>
      </c>
      <c r="Q11" s="184">
        <v>78.8</v>
      </c>
      <c r="R11" s="184"/>
      <c r="S11" s="184"/>
      <c r="T11" s="178">
        <f t="shared" si="0"/>
        <v>-11831.100000000002</v>
      </c>
    </row>
    <row r="12" spans="1:27">
      <c r="A12" s="8" t="s">
        <v>5</v>
      </c>
      <c r="B12" s="156"/>
      <c r="C12" s="185">
        <v>-50</v>
      </c>
      <c r="D12" s="185">
        <v>-269.3</v>
      </c>
      <c r="E12" s="185">
        <v>-464.8</v>
      </c>
      <c r="F12" s="185">
        <v>136.19999999999999</v>
      </c>
      <c r="G12" s="185">
        <v>-430.1</v>
      </c>
      <c r="H12" s="185">
        <v>-1725.2</v>
      </c>
      <c r="I12" s="185">
        <v>-2085.6999999999998</v>
      </c>
      <c r="J12" s="185">
        <v>0</v>
      </c>
      <c r="K12" s="185">
        <v>19.8</v>
      </c>
      <c r="L12" s="185">
        <v>-74.3</v>
      </c>
      <c r="M12" s="185"/>
      <c r="N12" s="185"/>
      <c r="O12" s="185"/>
      <c r="P12" s="185"/>
      <c r="Q12" s="185"/>
      <c r="R12" s="185">
        <v>250</v>
      </c>
      <c r="S12" s="185"/>
      <c r="T12" s="180">
        <f t="shared" si="0"/>
        <v>-4693.3999999999996</v>
      </c>
    </row>
    <row r="13" spans="1:27">
      <c r="A13" s="7" t="s">
        <v>6</v>
      </c>
      <c r="B13" s="156"/>
      <c r="C13" s="184">
        <v>-25</v>
      </c>
      <c r="D13" s="184"/>
      <c r="E13" s="184">
        <v>-588.6</v>
      </c>
      <c r="F13" s="184">
        <v>162.6</v>
      </c>
      <c r="G13" s="184">
        <v>-511.2</v>
      </c>
      <c r="H13" s="184">
        <v>-1835.4</v>
      </c>
      <c r="I13" s="184">
        <v>-2579.4</v>
      </c>
      <c r="J13" s="184">
        <v>0</v>
      </c>
      <c r="K13" s="184">
        <v>31.9</v>
      </c>
      <c r="L13" s="184">
        <v>-476.3</v>
      </c>
      <c r="M13" s="184"/>
      <c r="N13" s="184"/>
      <c r="O13" s="184"/>
      <c r="P13" s="184"/>
      <c r="Q13" s="184"/>
      <c r="R13" s="184"/>
      <c r="S13" s="184">
        <v>-986.6</v>
      </c>
      <c r="T13" s="178">
        <f t="shared" si="0"/>
        <v>-6808.0000000000009</v>
      </c>
    </row>
    <row r="14" spans="1:27">
      <c r="A14" s="7" t="s">
        <v>7</v>
      </c>
      <c r="B14" s="156"/>
      <c r="C14" s="184">
        <v>-3</v>
      </c>
      <c r="D14" s="184"/>
      <c r="E14" s="184">
        <v>-164.1</v>
      </c>
      <c r="F14" s="184">
        <v>46.5</v>
      </c>
      <c r="G14" s="184">
        <v>-157.69999999999999</v>
      </c>
      <c r="H14" s="184">
        <v>-110.3</v>
      </c>
      <c r="I14" s="184">
        <v>-708.1</v>
      </c>
      <c r="J14" s="184">
        <v>0</v>
      </c>
      <c r="K14" s="184">
        <v>4</v>
      </c>
      <c r="L14" s="184">
        <v>-9.6</v>
      </c>
      <c r="M14" s="184"/>
      <c r="N14" s="184"/>
      <c r="O14" s="184"/>
      <c r="P14" s="184"/>
      <c r="Q14" s="184"/>
      <c r="R14" s="184">
        <v>-242</v>
      </c>
      <c r="S14" s="184"/>
      <c r="T14" s="178">
        <f t="shared" si="0"/>
        <v>-1344.3</v>
      </c>
    </row>
    <row r="15" spans="1:27">
      <c r="A15" s="7" t="s">
        <v>8</v>
      </c>
      <c r="B15" s="156"/>
      <c r="C15" s="184">
        <v>-244.4</v>
      </c>
      <c r="D15" s="184"/>
      <c r="E15" s="184">
        <v>-990.8</v>
      </c>
      <c r="F15" s="184">
        <v>250.2</v>
      </c>
      <c r="G15" s="184">
        <v>-834.3</v>
      </c>
      <c r="H15" s="184">
        <v>-5019</v>
      </c>
      <c r="I15" s="184">
        <v>-5866.4</v>
      </c>
      <c r="J15" s="184">
        <v>-231.4</v>
      </c>
      <c r="K15" s="184">
        <v>1.7</v>
      </c>
      <c r="L15" s="184">
        <v>263.2</v>
      </c>
      <c r="M15" s="184">
        <v>-276</v>
      </c>
      <c r="N15" s="184"/>
      <c r="O15" s="184">
        <v>337.9</v>
      </c>
      <c r="P15" s="184">
        <v>-15.2</v>
      </c>
      <c r="Q15" s="184"/>
      <c r="R15" s="184"/>
      <c r="S15" s="184"/>
      <c r="T15" s="178">
        <f t="shared" si="0"/>
        <v>-12624.5</v>
      </c>
    </row>
    <row r="16" spans="1:27">
      <c r="A16" s="8" t="s">
        <v>9</v>
      </c>
      <c r="B16" s="156"/>
      <c r="C16" s="185">
        <v>-65</v>
      </c>
      <c r="D16" s="185"/>
      <c r="E16" s="185">
        <v>-693.1</v>
      </c>
      <c r="F16" s="185">
        <v>185.1</v>
      </c>
      <c r="G16" s="185">
        <v>-719.5</v>
      </c>
      <c r="H16" s="185">
        <v>-2229.5</v>
      </c>
      <c r="I16" s="185">
        <v>-2271.6999999999998</v>
      </c>
      <c r="J16" s="185">
        <v>0</v>
      </c>
      <c r="K16" s="185">
        <v>26.1</v>
      </c>
      <c r="L16" s="185">
        <v>-431.1</v>
      </c>
      <c r="M16" s="185"/>
      <c r="N16" s="185"/>
      <c r="O16" s="185"/>
      <c r="P16" s="185"/>
      <c r="Q16" s="185"/>
      <c r="R16" s="185"/>
      <c r="S16" s="185"/>
      <c r="T16" s="180">
        <f t="shared" si="0"/>
        <v>-6198.7</v>
      </c>
    </row>
    <row r="17" spans="1:27">
      <c r="A17" s="7" t="s">
        <v>10</v>
      </c>
      <c r="B17" s="156"/>
      <c r="C17" s="184"/>
      <c r="D17" s="184"/>
      <c r="E17" s="184">
        <v>-255</v>
      </c>
      <c r="F17" s="184">
        <v>83</v>
      </c>
      <c r="G17" s="184">
        <v>-281.2</v>
      </c>
      <c r="H17" s="184">
        <v>-2043.6</v>
      </c>
      <c r="I17" s="184">
        <v>-1029.8</v>
      </c>
      <c r="J17" s="184">
        <v>0</v>
      </c>
      <c r="K17" s="184">
        <v>12.4</v>
      </c>
      <c r="L17" s="184">
        <v>147.69999999999999</v>
      </c>
      <c r="M17" s="184"/>
      <c r="N17" s="184"/>
      <c r="O17" s="184"/>
      <c r="P17" s="184"/>
      <c r="Q17" s="184"/>
      <c r="R17" s="184">
        <v>-353</v>
      </c>
      <c r="S17" s="184"/>
      <c r="T17" s="178">
        <f t="shared" si="0"/>
        <v>-3719.4999999999995</v>
      </c>
    </row>
    <row r="18" spans="1:27">
      <c r="A18" s="9" t="s">
        <v>11</v>
      </c>
      <c r="B18" s="157"/>
      <c r="C18" s="184">
        <v>-31.6</v>
      </c>
      <c r="D18" s="184">
        <v>-384.9</v>
      </c>
      <c r="E18" s="184">
        <v>-531.20000000000005</v>
      </c>
      <c r="F18" s="184">
        <v>135.1</v>
      </c>
      <c r="G18" s="184">
        <v>-484.8</v>
      </c>
      <c r="H18" s="184">
        <v>-481</v>
      </c>
      <c r="I18" s="184">
        <v>-3273.4</v>
      </c>
      <c r="J18" s="184">
        <v>0</v>
      </c>
      <c r="K18" s="184">
        <v>29.8</v>
      </c>
      <c r="L18" s="184">
        <v>-370.1</v>
      </c>
      <c r="M18" s="184"/>
      <c r="N18" s="184"/>
      <c r="O18" s="184"/>
      <c r="P18" s="184"/>
      <c r="Q18" s="184"/>
      <c r="R18" s="184">
        <v>100</v>
      </c>
      <c r="S18" s="184"/>
      <c r="T18" s="178">
        <f t="shared" si="0"/>
        <v>-5292.1</v>
      </c>
    </row>
    <row r="19" spans="1:27">
      <c r="A19" s="7" t="s">
        <v>12</v>
      </c>
      <c r="B19" s="156"/>
      <c r="C19" s="184">
        <v>-245.4</v>
      </c>
      <c r="D19" s="184"/>
      <c r="E19" s="184">
        <v>-878.2</v>
      </c>
      <c r="F19" s="184">
        <v>241.3</v>
      </c>
      <c r="G19" s="184">
        <v>-697.4</v>
      </c>
      <c r="H19" s="184">
        <v>-3798.9</v>
      </c>
      <c r="I19" s="184">
        <v>-4027.7</v>
      </c>
      <c r="J19" s="184">
        <v>-247.2</v>
      </c>
      <c r="K19" s="184">
        <v>0</v>
      </c>
      <c r="L19" s="184">
        <v>149.5</v>
      </c>
      <c r="M19" s="184">
        <v>-212.5</v>
      </c>
      <c r="N19" s="184">
        <v>-120.7</v>
      </c>
      <c r="O19" s="184">
        <v>398.6</v>
      </c>
      <c r="P19" s="184">
        <v>-403.8</v>
      </c>
      <c r="Q19" s="184">
        <v>317.89999999999998</v>
      </c>
      <c r="R19" s="184">
        <v>200</v>
      </c>
      <c r="S19" s="184"/>
      <c r="T19" s="178">
        <f t="shared" si="0"/>
        <v>-9324.5</v>
      </c>
    </row>
    <row r="20" spans="1:27">
      <c r="A20" s="8" t="s">
        <v>13</v>
      </c>
      <c r="B20" s="156"/>
      <c r="C20" s="185">
        <v>-149.30000000000001</v>
      </c>
      <c r="D20" s="185"/>
      <c r="E20" s="185">
        <v>-792.4</v>
      </c>
      <c r="F20" s="185">
        <v>229.4</v>
      </c>
      <c r="G20" s="185">
        <v>-680.6</v>
      </c>
      <c r="H20" s="185">
        <v>-5224.8</v>
      </c>
      <c r="I20" s="185">
        <v>-4352.1000000000004</v>
      </c>
      <c r="J20" s="185">
        <v>-185.4</v>
      </c>
      <c r="K20" s="185">
        <v>0</v>
      </c>
      <c r="L20" s="185">
        <v>-346.4</v>
      </c>
      <c r="M20" s="185">
        <v>-215.7</v>
      </c>
      <c r="N20" s="185"/>
      <c r="O20" s="185">
        <v>213.3</v>
      </c>
      <c r="P20" s="185">
        <v>-10.3</v>
      </c>
      <c r="Q20" s="185"/>
      <c r="R20" s="185"/>
      <c r="S20" s="185"/>
      <c r="T20" s="180">
        <f t="shared" si="0"/>
        <v>-11514.300000000001</v>
      </c>
    </row>
    <row r="21" spans="1:27">
      <c r="A21" s="7" t="s">
        <v>14</v>
      </c>
      <c r="B21" s="156"/>
      <c r="C21" s="184">
        <v>-181.2</v>
      </c>
      <c r="D21" s="184"/>
      <c r="E21" s="184">
        <v>-1250.2</v>
      </c>
      <c r="F21" s="184">
        <v>287.5</v>
      </c>
      <c r="G21" s="184">
        <v>-1037.8</v>
      </c>
      <c r="H21" s="184">
        <v>-5314.2</v>
      </c>
      <c r="I21" s="184">
        <v>-6219.3</v>
      </c>
      <c r="J21" s="184">
        <v>2013.3</v>
      </c>
      <c r="K21" s="184">
        <v>3</v>
      </c>
      <c r="L21" s="184">
        <v>316.39999999999998</v>
      </c>
      <c r="M21" s="184">
        <v>-260.89999999999998</v>
      </c>
      <c r="N21" s="184"/>
      <c r="O21" s="184">
        <v>183</v>
      </c>
      <c r="P21" s="184">
        <v>-19.8</v>
      </c>
      <c r="Q21" s="184"/>
      <c r="R21" s="184">
        <v>363</v>
      </c>
      <c r="S21" s="184"/>
      <c r="T21" s="178">
        <f t="shared" si="0"/>
        <v>-11117.2</v>
      </c>
    </row>
    <row r="22" spans="1:27">
      <c r="A22" s="7" t="s">
        <v>15</v>
      </c>
      <c r="B22" s="156"/>
      <c r="C22" s="184">
        <v>-369.5</v>
      </c>
      <c r="D22" s="184"/>
      <c r="E22" s="184">
        <v>-1140</v>
      </c>
      <c r="F22" s="184">
        <v>359.2</v>
      </c>
      <c r="G22" s="184">
        <v>-979.9</v>
      </c>
      <c r="H22" s="184">
        <v>-2970.7</v>
      </c>
      <c r="I22" s="184">
        <v>-4688.6000000000004</v>
      </c>
      <c r="J22" s="184">
        <v>0</v>
      </c>
      <c r="K22" s="184">
        <v>44.3</v>
      </c>
      <c r="L22" s="184">
        <v>-174.2</v>
      </c>
      <c r="M22" s="184"/>
      <c r="N22" s="184">
        <v>-33.299999999999997</v>
      </c>
      <c r="O22" s="184"/>
      <c r="P22" s="184"/>
      <c r="Q22" s="184"/>
      <c r="R22" s="184">
        <v>100</v>
      </c>
      <c r="S22" s="184"/>
      <c r="T22" s="178">
        <f t="shared" si="0"/>
        <v>-9852.7000000000007</v>
      </c>
    </row>
    <row r="23" spans="1:27">
      <c r="A23" s="9" t="s">
        <v>16</v>
      </c>
      <c r="B23" s="157"/>
      <c r="C23" s="184"/>
      <c r="D23" s="184"/>
      <c r="E23" s="184">
        <v>-535.4</v>
      </c>
      <c r="F23" s="184">
        <v>156.4</v>
      </c>
      <c r="G23" s="184">
        <v>-494.6</v>
      </c>
      <c r="H23" s="184">
        <v>-3687.6</v>
      </c>
      <c r="I23" s="184">
        <v>-2408.8000000000002</v>
      </c>
      <c r="J23" s="184">
        <v>0</v>
      </c>
      <c r="K23" s="184">
        <v>28</v>
      </c>
      <c r="L23" s="184">
        <v>24.3</v>
      </c>
      <c r="M23" s="184"/>
      <c r="N23" s="184"/>
      <c r="O23" s="184"/>
      <c r="P23" s="184"/>
      <c r="Q23" s="184"/>
      <c r="R23" s="184">
        <v>345</v>
      </c>
      <c r="S23" s="184"/>
      <c r="T23" s="178">
        <f t="shared" si="0"/>
        <v>-6572.7</v>
      </c>
    </row>
    <row r="24" spans="1:27">
      <c r="A24" s="8" t="s">
        <v>17</v>
      </c>
      <c r="B24" s="156"/>
      <c r="C24" s="185">
        <v>-119.4</v>
      </c>
      <c r="D24" s="185"/>
      <c r="E24" s="185">
        <v>-826</v>
      </c>
      <c r="F24" s="185">
        <v>227</v>
      </c>
      <c r="G24" s="185">
        <v>-725</v>
      </c>
      <c r="H24" s="185">
        <v>-2958.2</v>
      </c>
      <c r="I24" s="185">
        <v>-3530.7</v>
      </c>
      <c r="J24" s="185">
        <v>-197.7</v>
      </c>
      <c r="K24" s="185">
        <v>2.1</v>
      </c>
      <c r="L24" s="185">
        <v>108.2</v>
      </c>
      <c r="M24" s="185">
        <v>-214.7</v>
      </c>
      <c r="N24" s="185">
        <v>-160.19999999999999</v>
      </c>
      <c r="O24" s="185">
        <v>558.1</v>
      </c>
      <c r="P24" s="185">
        <v>-76.5</v>
      </c>
      <c r="Q24" s="185">
        <v>113.4</v>
      </c>
      <c r="R24" s="185">
        <v>500</v>
      </c>
      <c r="S24" s="185"/>
      <c r="T24" s="180">
        <f t="shared" si="0"/>
        <v>-7299.6</v>
      </c>
    </row>
    <row r="25" spans="1:27">
      <c r="A25" s="10" t="s">
        <v>18</v>
      </c>
      <c r="B25" s="158"/>
      <c r="C25" s="184">
        <v>-7.8</v>
      </c>
      <c r="D25" s="184"/>
      <c r="E25" s="184">
        <v>-576.6</v>
      </c>
      <c r="F25" s="184">
        <v>173.4</v>
      </c>
      <c r="G25" s="184">
        <v>-514.6</v>
      </c>
      <c r="H25" s="184">
        <v>-1018.2</v>
      </c>
      <c r="I25" s="184">
        <v>-2325.6</v>
      </c>
      <c r="J25" s="184">
        <v>0</v>
      </c>
      <c r="K25" s="184">
        <v>25.5</v>
      </c>
      <c r="L25" s="184">
        <v>-36.6</v>
      </c>
      <c r="M25" s="184"/>
      <c r="N25" s="184"/>
      <c r="O25" s="184"/>
      <c r="P25" s="184"/>
      <c r="Q25" s="184"/>
      <c r="R25" s="184"/>
      <c r="S25" s="184">
        <v>29.9</v>
      </c>
      <c r="T25" s="178">
        <f t="shared" si="0"/>
        <v>-4250.6000000000004</v>
      </c>
    </row>
    <row r="26" spans="1:27">
      <c r="A26" s="7" t="s">
        <v>19</v>
      </c>
      <c r="B26" s="156"/>
      <c r="C26" s="184">
        <v>-520</v>
      </c>
      <c r="D26" s="184"/>
      <c r="E26" s="184">
        <v>-1229.8</v>
      </c>
      <c r="F26" s="184">
        <v>306.8</v>
      </c>
      <c r="G26" s="184">
        <v>-968.2</v>
      </c>
      <c r="H26" s="184">
        <v>-4726.8999999999996</v>
      </c>
      <c r="I26" s="184">
        <v>-5551.1</v>
      </c>
      <c r="J26" s="184">
        <v>-460.3</v>
      </c>
      <c r="K26" s="184">
        <v>2.8</v>
      </c>
      <c r="L26" s="184">
        <v>25.1</v>
      </c>
      <c r="M26" s="184">
        <v>-246.5</v>
      </c>
      <c r="N26" s="184"/>
      <c r="O26" s="184">
        <v>204.5</v>
      </c>
      <c r="P26" s="184">
        <v>-119.4</v>
      </c>
      <c r="Q26" s="184">
        <v>274.8</v>
      </c>
      <c r="R26" s="184"/>
      <c r="S26" s="184">
        <v>440.4</v>
      </c>
      <c r="T26" s="178">
        <f t="shared" si="0"/>
        <v>-12567.800000000001</v>
      </c>
    </row>
    <row r="27" spans="1:27">
      <c r="A27" s="7" t="s">
        <v>20</v>
      </c>
      <c r="B27" s="156"/>
      <c r="C27" s="186">
        <v>-201</v>
      </c>
      <c r="D27" s="186"/>
      <c r="E27" s="186">
        <v>-865.5</v>
      </c>
      <c r="F27" s="186">
        <v>245</v>
      </c>
      <c r="G27" s="186">
        <v>-741.2</v>
      </c>
      <c r="H27" s="186">
        <v>-4188.8999999999996</v>
      </c>
      <c r="I27" s="186">
        <v>-4069.5</v>
      </c>
      <c r="J27" s="186">
        <v>-234.3</v>
      </c>
      <c r="K27" s="186">
        <v>2</v>
      </c>
      <c r="L27" s="186">
        <v>146.69999999999999</v>
      </c>
      <c r="M27" s="186">
        <v>-210.1</v>
      </c>
      <c r="N27" s="186">
        <v>-113.5</v>
      </c>
      <c r="O27" s="186">
        <v>522.70000000000005</v>
      </c>
      <c r="P27" s="186">
        <v>-22.5</v>
      </c>
      <c r="Q27" s="186"/>
      <c r="R27" s="186">
        <v>300</v>
      </c>
      <c r="S27" s="186"/>
      <c r="T27" s="177">
        <f t="shared" si="0"/>
        <v>-9430.0999999999967</v>
      </c>
    </row>
    <row r="28" spans="1:27" ht="13.5" thickBot="1">
      <c r="A28" s="11" t="s">
        <v>21</v>
      </c>
      <c r="B28" s="159"/>
      <c r="C28" s="86">
        <f t="shared" ref="C28:S28" si="1">SUM(C9:C27)</f>
        <v>-2590.5</v>
      </c>
      <c r="D28" s="86">
        <f t="shared" si="1"/>
        <v>-654.20000000000005</v>
      </c>
      <c r="E28" s="86">
        <f t="shared" si="1"/>
        <v>-13942.599999999999</v>
      </c>
      <c r="F28" s="86">
        <f t="shared" si="1"/>
        <v>3829.2</v>
      </c>
      <c r="G28" s="86">
        <f t="shared" si="1"/>
        <v>-12106.800000000001</v>
      </c>
      <c r="H28" s="86">
        <f t="shared" si="1"/>
        <v>-60737.799999999988</v>
      </c>
      <c r="I28" s="86">
        <f t="shared" si="1"/>
        <v>-66250.600000000006</v>
      </c>
      <c r="J28" s="86">
        <f t="shared" si="1"/>
        <v>0</v>
      </c>
      <c r="K28" s="86">
        <f t="shared" si="1"/>
        <v>259.10000000000002</v>
      </c>
      <c r="L28" s="86">
        <f t="shared" si="1"/>
        <v>-560.00000000000023</v>
      </c>
      <c r="M28" s="86">
        <f t="shared" si="1"/>
        <v>-2076.3000000000002</v>
      </c>
      <c r="N28" s="86">
        <f t="shared" si="1"/>
        <v>-377.4</v>
      </c>
      <c r="O28" s="86">
        <f t="shared" si="1"/>
        <v>3265.8999999999996</v>
      </c>
      <c r="P28" s="86">
        <f t="shared" si="1"/>
        <v>-745.1</v>
      </c>
      <c r="Q28" s="86">
        <f t="shared" si="1"/>
        <v>784.90000000000009</v>
      </c>
      <c r="R28" s="86">
        <f t="shared" si="1"/>
        <v>1563</v>
      </c>
      <c r="S28" s="86">
        <f t="shared" si="1"/>
        <v>-516.30000000000007</v>
      </c>
      <c r="T28" s="181">
        <f>SUM(T9:T27)</f>
        <v>-150855.5</v>
      </c>
    </row>
    <row r="30" spans="1:27" ht="15.75">
      <c r="A30" s="20" t="s">
        <v>29</v>
      </c>
      <c r="B30" s="1"/>
      <c r="C30" s="32"/>
      <c r="G30" s="110"/>
      <c r="H30" s="110"/>
      <c r="I30" s="110"/>
      <c r="J30" s="110"/>
      <c r="K30" s="110"/>
      <c r="L30" s="112"/>
      <c r="M30" s="112"/>
      <c r="N30" s="113"/>
      <c r="O30" s="113"/>
      <c r="P30" s="113"/>
      <c r="Q30" s="112"/>
      <c r="R30" s="112"/>
      <c r="S30" s="113"/>
      <c r="T30" s="113"/>
      <c r="U30" s="113"/>
      <c r="V30" s="113"/>
      <c r="W30" s="113"/>
      <c r="X30" s="113"/>
      <c r="Y30" s="113"/>
      <c r="Z30" s="113"/>
      <c r="AA30" s="113"/>
    </row>
    <row r="31" spans="1:27" ht="16.5" thickBot="1">
      <c r="A31" s="37"/>
      <c r="B31" s="1"/>
      <c r="C31" s="38"/>
      <c r="P31" s="113"/>
      <c r="S31" s="113"/>
      <c r="T31" s="113"/>
    </row>
    <row r="32" spans="1:27" ht="18" customHeight="1">
      <c r="A32" s="351" t="s">
        <v>0</v>
      </c>
      <c r="B32" s="39"/>
      <c r="C32" s="384" t="s">
        <v>91</v>
      </c>
      <c r="D32" s="384"/>
      <c r="E32" s="384"/>
      <c r="F32" s="384"/>
      <c r="G32" s="384"/>
      <c r="H32" s="384"/>
      <c r="I32" s="384"/>
      <c r="J32" s="384"/>
      <c r="K32" s="87"/>
      <c r="S32" s="113"/>
      <c r="T32" s="113"/>
    </row>
    <row r="33" spans="1:11" ht="67.5">
      <c r="A33" s="351"/>
      <c r="B33" s="34"/>
      <c r="C33" s="28" t="s">
        <v>101</v>
      </c>
      <c r="D33" s="28" t="s">
        <v>107</v>
      </c>
      <c r="E33" s="28" t="s">
        <v>85</v>
      </c>
      <c r="F33" s="28" t="s">
        <v>102</v>
      </c>
      <c r="G33" s="28" t="s">
        <v>103</v>
      </c>
      <c r="H33" s="28" t="s">
        <v>104</v>
      </c>
      <c r="I33" s="28" t="s">
        <v>105</v>
      </c>
      <c r="J33" s="28" t="s">
        <v>106</v>
      </c>
      <c r="K33" s="88" t="s">
        <v>86</v>
      </c>
    </row>
    <row r="34" spans="1:11">
      <c r="A34" s="33"/>
      <c r="B34" s="5"/>
      <c r="C34" s="6" t="s">
        <v>1</v>
      </c>
      <c r="D34" s="6" t="s">
        <v>1</v>
      </c>
      <c r="E34" s="6" t="s">
        <v>1</v>
      </c>
      <c r="F34" s="6" t="s">
        <v>1</v>
      </c>
      <c r="G34" s="6" t="s">
        <v>1</v>
      </c>
      <c r="H34" s="6" t="s">
        <v>1</v>
      </c>
      <c r="I34" s="6" t="s">
        <v>1</v>
      </c>
      <c r="J34" s="6" t="s">
        <v>1</v>
      </c>
      <c r="K34" s="89" t="s">
        <v>1</v>
      </c>
    </row>
    <row r="35" spans="1:11">
      <c r="A35" s="7" t="s">
        <v>2</v>
      </c>
      <c r="B35" s="7"/>
      <c r="C35" s="82"/>
      <c r="D35" s="82">
        <v>-6.6</v>
      </c>
      <c r="E35" s="82">
        <v>72.400000000000006</v>
      </c>
      <c r="F35" s="82"/>
      <c r="G35" s="82"/>
      <c r="H35" s="82">
        <v>-3.5</v>
      </c>
      <c r="I35" s="82">
        <v>-71</v>
      </c>
      <c r="J35" s="82"/>
      <c r="K35" s="91">
        <f>SUM(C35:J35)</f>
        <v>-8.6999999999999886</v>
      </c>
    </row>
    <row r="36" spans="1:11">
      <c r="A36" s="7" t="s">
        <v>3</v>
      </c>
      <c r="B36" s="7"/>
      <c r="C36" s="83"/>
      <c r="D36" s="83"/>
      <c r="E36" s="83"/>
      <c r="F36" s="83"/>
      <c r="G36" s="83">
        <v>-141.89999999999998</v>
      </c>
      <c r="H36" s="83"/>
      <c r="I36" s="83"/>
      <c r="J36" s="83"/>
      <c r="K36" s="92">
        <f t="shared" ref="K36:K53" si="2">SUM(C36:J36)</f>
        <v>-141.89999999999998</v>
      </c>
    </row>
    <row r="37" spans="1:11">
      <c r="A37" s="7" t="s">
        <v>4</v>
      </c>
      <c r="B37" s="7"/>
      <c r="C37" s="83"/>
      <c r="D37" s="83"/>
      <c r="E37" s="83">
        <v>-215.5</v>
      </c>
      <c r="F37" s="83">
        <v>145.69999999999999</v>
      </c>
      <c r="G37" s="83"/>
      <c r="H37" s="83">
        <v>-8.3000000000000007</v>
      </c>
      <c r="I37" s="83"/>
      <c r="J37" s="83"/>
      <c r="K37" s="92">
        <f t="shared" si="2"/>
        <v>-78.100000000000009</v>
      </c>
    </row>
    <row r="38" spans="1:11">
      <c r="A38" s="8" t="s">
        <v>5</v>
      </c>
      <c r="B38" s="7"/>
      <c r="C38" s="84"/>
      <c r="D38" s="84"/>
      <c r="E38" s="84"/>
      <c r="F38" s="84"/>
      <c r="G38" s="84">
        <v>-471.9</v>
      </c>
      <c r="H38" s="84"/>
      <c r="I38" s="84"/>
      <c r="J38" s="84">
        <v>-311.90000000000003</v>
      </c>
      <c r="K38" s="93">
        <f t="shared" si="2"/>
        <v>-783.8</v>
      </c>
    </row>
    <row r="39" spans="1:11">
      <c r="A39" s="7" t="s">
        <v>6</v>
      </c>
      <c r="B39" s="7"/>
      <c r="C39" s="83">
        <v>-110.3</v>
      </c>
      <c r="D39" s="83">
        <v>-9.5</v>
      </c>
      <c r="E39" s="83"/>
      <c r="F39" s="83"/>
      <c r="G39" s="83">
        <v>-290.5</v>
      </c>
      <c r="H39" s="83"/>
      <c r="I39" s="83"/>
      <c r="J39" s="83">
        <v>-168.4</v>
      </c>
      <c r="K39" s="92">
        <f t="shared" si="2"/>
        <v>-578.70000000000005</v>
      </c>
    </row>
    <row r="40" spans="1:11">
      <c r="A40" s="7" t="s">
        <v>7</v>
      </c>
      <c r="B40" s="7"/>
      <c r="C40" s="83"/>
      <c r="D40" s="83">
        <v>-1.3</v>
      </c>
      <c r="E40" s="83"/>
      <c r="F40" s="83"/>
      <c r="G40" s="83">
        <v>-59</v>
      </c>
      <c r="H40" s="83"/>
      <c r="I40" s="83"/>
      <c r="J40" s="83"/>
      <c r="K40" s="92">
        <f t="shared" si="2"/>
        <v>-60.3</v>
      </c>
    </row>
    <row r="41" spans="1:11">
      <c r="A41" s="7" t="s">
        <v>8</v>
      </c>
      <c r="B41" s="7"/>
      <c r="C41" s="83"/>
      <c r="D41" s="83">
        <v>-9.4</v>
      </c>
      <c r="E41" s="83">
        <v>-59.7</v>
      </c>
      <c r="F41" s="83">
        <v>-43.5</v>
      </c>
      <c r="G41" s="83"/>
      <c r="H41" s="83">
        <v>-7.1</v>
      </c>
      <c r="I41" s="83">
        <v>-61.6</v>
      </c>
      <c r="J41" s="83"/>
      <c r="K41" s="92">
        <f t="shared" si="2"/>
        <v>-181.3</v>
      </c>
    </row>
    <row r="42" spans="1:11">
      <c r="A42" s="8" t="s">
        <v>9</v>
      </c>
      <c r="B42" s="7"/>
      <c r="C42" s="84"/>
      <c r="D42" s="84"/>
      <c r="E42" s="84"/>
      <c r="F42" s="84"/>
      <c r="G42" s="84">
        <v>-304.79999999999995</v>
      </c>
      <c r="H42" s="84"/>
      <c r="I42" s="84"/>
      <c r="J42" s="84">
        <v>96.8</v>
      </c>
      <c r="K42" s="93">
        <f t="shared" si="2"/>
        <v>-207.99999999999994</v>
      </c>
    </row>
    <row r="43" spans="1:11">
      <c r="A43" s="7" t="s">
        <v>10</v>
      </c>
      <c r="B43" s="7"/>
      <c r="C43" s="83"/>
      <c r="D43" s="83"/>
      <c r="E43" s="83"/>
      <c r="F43" s="83"/>
      <c r="G43" s="83">
        <v>-139.80000000000001</v>
      </c>
      <c r="H43" s="83"/>
      <c r="I43" s="83"/>
      <c r="J43" s="83"/>
      <c r="K43" s="92">
        <f t="shared" si="2"/>
        <v>-139.80000000000001</v>
      </c>
    </row>
    <row r="44" spans="1:11">
      <c r="A44" s="9" t="s">
        <v>11</v>
      </c>
      <c r="B44" s="9"/>
      <c r="C44" s="83">
        <v>50.6</v>
      </c>
      <c r="D44" s="83"/>
      <c r="E44" s="83"/>
      <c r="F44" s="83"/>
      <c r="G44" s="83">
        <v>-265.10000000000002</v>
      </c>
      <c r="H44" s="83"/>
      <c r="I44" s="83"/>
      <c r="J44" s="83"/>
      <c r="K44" s="92">
        <f t="shared" si="2"/>
        <v>-214.50000000000003</v>
      </c>
    </row>
    <row r="45" spans="1:11">
      <c r="A45" s="7" t="s">
        <v>12</v>
      </c>
      <c r="B45" s="7"/>
      <c r="C45" s="83">
        <v>-213.9</v>
      </c>
      <c r="D45" s="83"/>
      <c r="E45" s="83">
        <v>30.4</v>
      </c>
      <c r="F45" s="83">
        <v>-6.7</v>
      </c>
      <c r="G45" s="83"/>
      <c r="H45" s="83">
        <v>-3.5</v>
      </c>
      <c r="I45" s="83"/>
      <c r="J45" s="83"/>
      <c r="K45" s="92">
        <f t="shared" si="2"/>
        <v>-193.7</v>
      </c>
    </row>
    <row r="46" spans="1:11">
      <c r="A46" s="8" t="s">
        <v>13</v>
      </c>
      <c r="B46" s="7"/>
      <c r="C46" s="84"/>
      <c r="D46" s="84"/>
      <c r="E46" s="84">
        <v>150.19999999999999</v>
      </c>
      <c r="F46" s="84"/>
      <c r="G46" s="84"/>
      <c r="H46" s="84">
        <v>-6.2</v>
      </c>
      <c r="I46" s="84"/>
      <c r="J46" s="84"/>
      <c r="K46" s="93">
        <f t="shared" si="2"/>
        <v>144</v>
      </c>
    </row>
    <row r="47" spans="1:11">
      <c r="A47" s="7" t="s">
        <v>14</v>
      </c>
      <c r="B47" s="7"/>
      <c r="C47" s="83">
        <v>364.2</v>
      </c>
      <c r="D47" s="83"/>
      <c r="E47" s="83">
        <v>1.2</v>
      </c>
      <c r="F47" s="83"/>
      <c r="G47" s="83"/>
      <c r="H47" s="83">
        <v>-7.7</v>
      </c>
      <c r="I47" s="83">
        <v>-71</v>
      </c>
      <c r="J47" s="83"/>
      <c r="K47" s="92">
        <f t="shared" si="2"/>
        <v>286.7</v>
      </c>
    </row>
    <row r="48" spans="1:11">
      <c r="A48" s="7" t="s">
        <v>15</v>
      </c>
      <c r="B48" s="7"/>
      <c r="C48" s="83"/>
      <c r="D48" s="83"/>
      <c r="E48" s="83"/>
      <c r="F48" s="83"/>
      <c r="G48" s="83">
        <v>-414.70000000000005</v>
      </c>
      <c r="H48" s="83"/>
      <c r="I48" s="83">
        <v>-80.8</v>
      </c>
      <c r="J48" s="83"/>
      <c r="K48" s="92">
        <f t="shared" si="2"/>
        <v>-495.50000000000006</v>
      </c>
    </row>
    <row r="49" spans="1:15">
      <c r="A49" s="9" t="s">
        <v>16</v>
      </c>
      <c r="B49" s="9"/>
      <c r="C49" s="83"/>
      <c r="D49" s="83"/>
      <c r="E49" s="83"/>
      <c r="F49" s="83"/>
      <c r="G49" s="83">
        <v>-75.600000000000023</v>
      </c>
      <c r="H49" s="83"/>
      <c r="I49" s="83">
        <v>-80.900000000000006</v>
      </c>
      <c r="J49" s="83"/>
      <c r="K49" s="92">
        <f t="shared" si="2"/>
        <v>-156.50000000000003</v>
      </c>
    </row>
    <row r="50" spans="1:15">
      <c r="A50" s="8" t="s">
        <v>17</v>
      </c>
      <c r="B50" s="7"/>
      <c r="C50" s="84"/>
      <c r="D50" s="84">
        <v>-8</v>
      </c>
      <c r="E50" s="84">
        <v>14.4</v>
      </c>
      <c r="F50" s="84">
        <v>-37.1</v>
      </c>
      <c r="G50" s="84"/>
      <c r="H50" s="84">
        <v>-7.1</v>
      </c>
      <c r="I50" s="84"/>
      <c r="J50" s="84"/>
      <c r="K50" s="93">
        <f t="shared" si="2"/>
        <v>-37.800000000000004</v>
      </c>
    </row>
    <row r="51" spans="1:15">
      <c r="A51" s="10" t="s">
        <v>18</v>
      </c>
      <c r="B51" s="10"/>
      <c r="C51" s="83"/>
      <c r="D51" s="83">
        <v>-8</v>
      </c>
      <c r="E51" s="83"/>
      <c r="F51" s="83"/>
      <c r="G51" s="83">
        <v>-247.39999999999998</v>
      </c>
      <c r="H51" s="83"/>
      <c r="I51" s="83"/>
      <c r="J51" s="83">
        <v>386</v>
      </c>
      <c r="K51" s="92">
        <f t="shared" si="2"/>
        <v>130.60000000000002</v>
      </c>
    </row>
    <row r="52" spans="1:15">
      <c r="A52" s="7" t="s">
        <v>19</v>
      </c>
      <c r="B52" s="7"/>
      <c r="C52" s="83"/>
      <c r="D52" s="83"/>
      <c r="E52" s="83">
        <v>-136.80000000000001</v>
      </c>
      <c r="F52" s="83"/>
      <c r="G52" s="83"/>
      <c r="H52" s="83">
        <v>-5.7</v>
      </c>
      <c r="I52" s="83"/>
      <c r="J52" s="83">
        <v>410</v>
      </c>
      <c r="K52" s="92">
        <f t="shared" si="2"/>
        <v>267.5</v>
      </c>
    </row>
    <row r="53" spans="1:15">
      <c r="A53" s="7" t="s">
        <v>20</v>
      </c>
      <c r="B53" s="7"/>
      <c r="C53" s="85">
        <v>-532.79999999999995</v>
      </c>
      <c r="D53" s="85">
        <v>-7.8</v>
      </c>
      <c r="E53" s="85">
        <v>-75.5</v>
      </c>
      <c r="F53" s="85">
        <v>-515</v>
      </c>
      <c r="G53" s="85"/>
      <c r="H53" s="85">
        <v>-1.8</v>
      </c>
      <c r="I53" s="85">
        <v>-80.8</v>
      </c>
      <c r="J53" s="85"/>
      <c r="K53" s="94">
        <f t="shared" si="2"/>
        <v>-1213.6999999999998</v>
      </c>
    </row>
    <row r="54" spans="1:15" ht="13.5" thickBot="1">
      <c r="A54" s="11" t="s">
        <v>21</v>
      </c>
      <c r="B54" s="12"/>
      <c r="C54" s="86">
        <f t="shared" ref="C54:J54" si="3">SUM(C35:C53)</f>
        <v>-442.2</v>
      </c>
      <c r="D54" s="86">
        <f t="shared" si="3"/>
        <v>-50.6</v>
      </c>
      <c r="E54" s="86">
        <f t="shared" si="3"/>
        <v>-218.90000000000003</v>
      </c>
      <c r="F54" s="86">
        <f t="shared" si="3"/>
        <v>-456.6</v>
      </c>
      <c r="G54" s="86">
        <f t="shared" si="3"/>
        <v>-2410.6999999999998</v>
      </c>
      <c r="H54" s="86">
        <f t="shared" si="3"/>
        <v>-50.9</v>
      </c>
      <c r="I54" s="86">
        <f t="shared" si="3"/>
        <v>-446.09999999999997</v>
      </c>
      <c r="J54" s="86">
        <f t="shared" si="3"/>
        <v>412.49999999999994</v>
      </c>
      <c r="K54" s="90">
        <f>SUM(K35:K53)</f>
        <v>-3663.5</v>
      </c>
      <c r="N54" s="30"/>
      <c r="O54" s="30"/>
    </row>
    <row r="56" spans="1:15" ht="15.75">
      <c r="A56" s="20" t="s">
        <v>30</v>
      </c>
      <c r="B56" s="1"/>
      <c r="C56" s="32"/>
    </row>
    <row r="57" spans="1:15" ht="16.5" thickBot="1">
      <c r="A57" s="37"/>
      <c r="B57" s="1"/>
      <c r="C57" s="38"/>
      <c r="F57" s="35"/>
      <c r="G57" s="35"/>
      <c r="H57" s="35"/>
      <c r="I57" s="35"/>
      <c r="J57" s="35"/>
    </row>
    <row r="58" spans="1:15">
      <c r="A58" s="351" t="s">
        <v>0</v>
      </c>
      <c r="B58" s="148"/>
      <c r="C58" s="384" t="s">
        <v>152</v>
      </c>
      <c r="D58" s="384"/>
      <c r="E58" s="384"/>
      <c r="F58" s="365" t="s">
        <v>153</v>
      </c>
      <c r="G58" s="365" t="s">
        <v>154</v>
      </c>
      <c r="H58" s="365" t="s">
        <v>85</v>
      </c>
      <c r="I58" s="365" t="s">
        <v>53</v>
      </c>
      <c r="J58" s="365" t="s">
        <v>155</v>
      </c>
      <c r="K58" s="87"/>
    </row>
    <row r="59" spans="1:15" ht="45">
      <c r="A59" s="351"/>
      <c r="B59" s="34"/>
      <c r="C59" s="28" t="s">
        <v>156</v>
      </c>
      <c r="D59" s="28" t="s">
        <v>157</v>
      </c>
      <c r="E59" s="28" t="s">
        <v>158</v>
      </c>
      <c r="F59" s="365"/>
      <c r="G59" s="365"/>
      <c r="H59" s="365"/>
      <c r="I59" s="365"/>
      <c r="J59" s="365"/>
      <c r="K59" s="88" t="s">
        <v>86</v>
      </c>
    </row>
    <row r="60" spans="1:15">
      <c r="A60" s="33"/>
      <c r="B60" s="5"/>
      <c r="C60" s="6" t="s">
        <v>1</v>
      </c>
      <c r="D60" s="6" t="s">
        <v>1</v>
      </c>
      <c r="E60" s="6" t="s">
        <v>1</v>
      </c>
      <c r="F60" s="6" t="s">
        <v>1</v>
      </c>
      <c r="G60" s="6"/>
      <c r="H60" s="6"/>
      <c r="I60" s="6"/>
      <c r="J60" s="6"/>
      <c r="K60" s="89" t="s">
        <v>1</v>
      </c>
    </row>
    <row r="61" spans="1:15">
      <c r="A61" s="7" t="s">
        <v>2</v>
      </c>
      <c r="B61" s="7"/>
      <c r="C61" s="149">
        <v>-38.200000000000003</v>
      </c>
      <c r="D61" s="149">
        <v>-11.1</v>
      </c>
      <c r="E61" s="149">
        <v>39.1</v>
      </c>
      <c r="F61" s="149">
        <v>55</v>
      </c>
      <c r="G61" s="149">
        <v>-240.3</v>
      </c>
      <c r="H61" s="149">
        <v>8.8000000000000007</v>
      </c>
      <c r="I61" s="149"/>
      <c r="J61" s="149"/>
      <c r="K61" s="91">
        <f>SUM(C61:J61)</f>
        <v>-186.7</v>
      </c>
    </row>
    <row r="62" spans="1:15">
      <c r="A62" s="7" t="s">
        <v>3</v>
      </c>
      <c r="B62" s="7"/>
      <c r="C62" s="150"/>
      <c r="D62" s="150"/>
      <c r="E62" s="150"/>
      <c r="F62" s="150"/>
      <c r="G62" s="150">
        <v>-119.1</v>
      </c>
      <c r="H62" s="150"/>
      <c r="I62" s="150">
        <v>-38.1</v>
      </c>
      <c r="J62" s="150"/>
      <c r="K62" s="92">
        <f t="shared" ref="K62:K79" si="4">SUM(C62:J62)</f>
        <v>-157.19999999999999</v>
      </c>
    </row>
    <row r="63" spans="1:15">
      <c r="A63" s="7" t="s">
        <v>4</v>
      </c>
      <c r="B63" s="7"/>
      <c r="C63" s="150">
        <v>-33.299999999999997</v>
      </c>
      <c r="D63" s="150">
        <v>-9.6999999999999993</v>
      </c>
      <c r="E63" s="150">
        <v>34</v>
      </c>
      <c r="F63" s="150"/>
      <c r="G63" s="150">
        <v>-266.39999999999998</v>
      </c>
      <c r="H63" s="150">
        <v>99.8</v>
      </c>
      <c r="I63" s="150"/>
      <c r="J63" s="150"/>
      <c r="K63" s="92">
        <f t="shared" si="4"/>
        <v>-175.59999999999997</v>
      </c>
    </row>
    <row r="64" spans="1:15">
      <c r="A64" s="8" t="s">
        <v>5</v>
      </c>
      <c r="B64" s="7"/>
      <c r="C64" s="151"/>
      <c r="D64" s="151"/>
      <c r="E64" s="151"/>
      <c r="F64" s="151"/>
      <c r="G64" s="151">
        <v>-128.69999999999999</v>
      </c>
      <c r="H64" s="151"/>
      <c r="I64" s="151"/>
      <c r="J64" s="151"/>
      <c r="K64" s="93">
        <f t="shared" si="4"/>
        <v>-128.69999999999999</v>
      </c>
    </row>
    <row r="65" spans="1:11">
      <c r="A65" s="7" t="s">
        <v>6</v>
      </c>
      <c r="B65" s="7"/>
      <c r="C65" s="150"/>
      <c r="D65" s="150"/>
      <c r="E65" s="150"/>
      <c r="F65" s="150">
        <v>55</v>
      </c>
      <c r="G65" s="150">
        <v>-154.1</v>
      </c>
      <c r="H65" s="150"/>
      <c r="I65" s="150"/>
      <c r="J65" s="150"/>
      <c r="K65" s="92">
        <f t="shared" si="4"/>
        <v>-99.1</v>
      </c>
    </row>
    <row r="66" spans="1:11">
      <c r="A66" s="7" t="s">
        <v>7</v>
      </c>
      <c r="B66" s="7"/>
      <c r="C66" s="150"/>
      <c r="D66" s="150"/>
      <c r="E66" s="150"/>
      <c r="F66" s="150"/>
      <c r="G66" s="150">
        <v>-47.9</v>
      </c>
      <c r="H66" s="150"/>
      <c r="I66" s="150"/>
      <c r="J66" s="150"/>
      <c r="K66" s="92">
        <f t="shared" si="4"/>
        <v>-47.9</v>
      </c>
    </row>
    <row r="67" spans="1:11">
      <c r="A67" s="7" t="s">
        <v>8</v>
      </c>
      <c r="B67" s="7"/>
      <c r="C67" s="150">
        <v>-35</v>
      </c>
      <c r="D67" s="150">
        <v>-10.199999999999999</v>
      </c>
      <c r="E67" s="150">
        <v>35.799999999999997</v>
      </c>
      <c r="F67" s="150"/>
      <c r="G67" s="150">
        <v>-285.5</v>
      </c>
      <c r="H67" s="150">
        <v>-169.6</v>
      </c>
      <c r="I67" s="150"/>
      <c r="J67" s="150"/>
      <c r="K67" s="92">
        <f t="shared" si="4"/>
        <v>-464.5</v>
      </c>
    </row>
    <row r="68" spans="1:11">
      <c r="A68" s="8" t="s">
        <v>9</v>
      </c>
      <c r="B68" s="7"/>
      <c r="C68" s="151"/>
      <c r="D68" s="151"/>
      <c r="E68" s="151"/>
      <c r="F68" s="151">
        <v>55</v>
      </c>
      <c r="G68" s="151">
        <v>-197.2</v>
      </c>
      <c r="H68" s="151"/>
      <c r="I68" s="151">
        <v>22.299999999999997</v>
      </c>
      <c r="J68" s="151"/>
      <c r="K68" s="93">
        <f t="shared" si="4"/>
        <v>-119.89999999999999</v>
      </c>
    </row>
    <row r="69" spans="1:11">
      <c r="A69" s="7" t="s">
        <v>10</v>
      </c>
      <c r="B69" s="7"/>
      <c r="C69" s="150"/>
      <c r="D69" s="150"/>
      <c r="E69" s="150"/>
      <c r="F69" s="150"/>
      <c r="G69" s="150">
        <v>-68.5</v>
      </c>
      <c r="H69" s="150"/>
      <c r="I69" s="150">
        <v>162</v>
      </c>
      <c r="J69" s="150"/>
      <c r="K69" s="92">
        <f t="shared" si="4"/>
        <v>93.5</v>
      </c>
    </row>
    <row r="70" spans="1:11">
      <c r="A70" s="9" t="s">
        <v>11</v>
      </c>
      <c r="B70" s="9"/>
      <c r="C70" s="150"/>
      <c r="D70" s="150"/>
      <c r="E70" s="150"/>
      <c r="F70" s="150"/>
      <c r="G70" s="150">
        <v>-143.80000000000001</v>
      </c>
      <c r="H70" s="150"/>
      <c r="I70" s="150"/>
      <c r="J70" s="150"/>
      <c r="K70" s="92">
        <f t="shared" si="4"/>
        <v>-143.80000000000001</v>
      </c>
    </row>
    <row r="71" spans="1:11">
      <c r="A71" s="7" t="s">
        <v>12</v>
      </c>
      <c r="B71" s="7"/>
      <c r="C71" s="150">
        <v>-37.6</v>
      </c>
      <c r="D71" s="150">
        <v>-10.9</v>
      </c>
      <c r="E71" s="150">
        <v>38.4</v>
      </c>
      <c r="F71" s="150"/>
      <c r="G71" s="150">
        <v>-253.4</v>
      </c>
      <c r="H71" s="150">
        <v>9.9</v>
      </c>
      <c r="I71" s="150">
        <v>15</v>
      </c>
      <c r="J71" s="150"/>
      <c r="K71" s="92">
        <f t="shared" si="4"/>
        <v>-238.6</v>
      </c>
    </row>
    <row r="72" spans="1:11">
      <c r="A72" s="8" t="s">
        <v>13</v>
      </c>
      <c r="B72" s="7"/>
      <c r="C72" s="151">
        <v>-29</v>
      </c>
      <c r="D72" s="151">
        <v>-8.4</v>
      </c>
      <c r="E72" s="151">
        <v>29.6</v>
      </c>
      <c r="F72" s="151"/>
      <c r="G72" s="151">
        <v>-239.7</v>
      </c>
      <c r="H72" s="151">
        <v>-202.9</v>
      </c>
      <c r="I72" s="151"/>
      <c r="J72" s="151"/>
      <c r="K72" s="93">
        <f t="shared" si="4"/>
        <v>-450.4</v>
      </c>
    </row>
    <row r="73" spans="1:11">
      <c r="A73" s="7" t="s">
        <v>14</v>
      </c>
      <c r="B73" s="7"/>
      <c r="C73" s="150">
        <v>309.7</v>
      </c>
      <c r="D73" s="150">
        <v>89.9</v>
      </c>
      <c r="E73" s="150">
        <v>-316.5</v>
      </c>
      <c r="F73" s="150"/>
      <c r="G73" s="150">
        <v>-375.2</v>
      </c>
      <c r="H73" s="150">
        <v>-370.9</v>
      </c>
      <c r="I73" s="150"/>
      <c r="J73" s="150"/>
      <c r="K73" s="92">
        <f t="shared" si="4"/>
        <v>-663</v>
      </c>
    </row>
    <row r="74" spans="1:11">
      <c r="A74" s="7" t="s">
        <v>15</v>
      </c>
      <c r="B74" s="7"/>
      <c r="C74" s="150"/>
      <c r="D74" s="150"/>
      <c r="E74" s="150"/>
      <c r="F74" s="150"/>
      <c r="G74" s="150">
        <v>-317</v>
      </c>
      <c r="H74" s="150"/>
      <c r="I74" s="150"/>
      <c r="J74" s="150"/>
      <c r="K74" s="92">
        <f t="shared" si="4"/>
        <v>-317</v>
      </c>
    </row>
    <row r="75" spans="1:11">
      <c r="A75" s="9" t="s">
        <v>16</v>
      </c>
      <c r="B75" s="9"/>
      <c r="C75" s="150"/>
      <c r="D75" s="150"/>
      <c r="E75" s="150"/>
      <c r="F75" s="150"/>
      <c r="G75" s="150">
        <v>-144.5</v>
      </c>
      <c r="H75" s="150"/>
      <c r="I75" s="150">
        <v>31.3</v>
      </c>
      <c r="J75" s="150"/>
      <c r="K75" s="92">
        <f t="shared" si="4"/>
        <v>-113.2</v>
      </c>
    </row>
    <row r="76" spans="1:11">
      <c r="A76" s="8" t="s">
        <v>17</v>
      </c>
      <c r="B76" s="7"/>
      <c r="C76" s="151">
        <v>-30.5</v>
      </c>
      <c r="D76" s="151">
        <v>-8.8000000000000007</v>
      </c>
      <c r="E76" s="151">
        <v>31.2</v>
      </c>
      <c r="F76" s="151"/>
      <c r="G76" s="151">
        <v>-243.8</v>
      </c>
      <c r="H76" s="151">
        <v>-1.9</v>
      </c>
      <c r="I76" s="151"/>
      <c r="J76" s="151"/>
      <c r="K76" s="93">
        <f t="shared" si="4"/>
        <v>-253.8</v>
      </c>
    </row>
    <row r="77" spans="1:11">
      <c r="A77" s="10" t="s">
        <v>18</v>
      </c>
      <c r="B77" s="10"/>
      <c r="C77" s="150"/>
      <c r="D77" s="150"/>
      <c r="E77" s="150"/>
      <c r="F77" s="150"/>
      <c r="G77" s="150">
        <v>-168.4</v>
      </c>
      <c r="H77" s="150"/>
      <c r="I77" s="150">
        <v>-28.6</v>
      </c>
      <c r="J77" s="150"/>
      <c r="K77" s="92">
        <f t="shared" si="4"/>
        <v>-197</v>
      </c>
    </row>
    <row r="78" spans="1:11">
      <c r="A78" s="7" t="s">
        <v>19</v>
      </c>
      <c r="B78" s="7"/>
      <c r="C78" s="150">
        <v>-69.3</v>
      </c>
      <c r="D78" s="150">
        <v>-20.100000000000001</v>
      </c>
      <c r="E78" s="150">
        <v>70.900000000000006</v>
      </c>
      <c r="F78" s="150"/>
      <c r="G78" s="150">
        <v>-363.6</v>
      </c>
      <c r="H78" s="150">
        <v>101.8</v>
      </c>
      <c r="I78" s="150">
        <v>-938.19999999999993</v>
      </c>
      <c r="J78" s="150"/>
      <c r="K78" s="92">
        <f t="shared" si="4"/>
        <v>-1218.5</v>
      </c>
    </row>
    <row r="79" spans="1:11">
      <c r="A79" s="7" t="s">
        <v>20</v>
      </c>
      <c r="B79" s="7"/>
      <c r="C79" s="152">
        <v>-36.799999999999997</v>
      </c>
      <c r="D79" s="152">
        <v>-10.7</v>
      </c>
      <c r="E79" s="152">
        <v>37.5</v>
      </c>
      <c r="F79" s="152">
        <v>55</v>
      </c>
      <c r="G79" s="152">
        <v>-251.3</v>
      </c>
      <c r="H79" s="152">
        <v>-155.30000000000001</v>
      </c>
      <c r="I79" s="152">
        <v>0</v>
      </c>
      <c r="J79" s="152">
        <v>-265.69999999997498</v>
      </c>
      <c r="K79" s="94">
        <f t="shared" si="4"/>
        <v>-627.29999999997494</v>
      </c>
    </row>
    <row r="80" spans="1:11" ht="13.5" thickBot="1">
      <c r="A80" s="11" t="s">
        <v>21</v>
      </c>
      <c r="B80" s="12"/>
      <c r="C80" s="86">
        <f t="shared" ref="C80:K80" si="5">SUM(C61:C79)</f>
        <v>0</v>
      </c>
      <c r="D80" s="86">
        <f t="shared" si="5"/>
        <v>0</v>
      </c>
      <c r="E80" s="86">
        <f t="shared" si="5"/>
        <v>0</v>
      </c>
      <c r="F80" s="86">
        <f t="shared" si="5"/>
        <v>220</v>
      </c>
      <c r="G80" s="86">
        <f t="shared" si="5"/>
        <v>-4008.4</v>
      </c>
      <c r="H80" s="86">
        <f t="shared" si="5"/>
        <v>-680.3</v>
      </c>
      <c r="I80" s="86">
        <f t="shared" si="5"/>
        <v>-774.3</v>
      </c>
      <c r="J80" s="86">
        <f t="shared" si="5"/>
        <v>-265.69999999997498</v>
      </c>
      <c r="K80" s="90">
        <f t="shared" si="5"/>
        <v>-5508.6999999999744</v>
      </c>
    </row>
    <row r="82" spans="1:39">
      <c r="A82" s="20" t="s">
        <v>206</v>
      </c>
    </row>
    <row r="83" spans="1:39" ht="13.5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</row>
    <row r="84" spans="1:39" ht="27" customHeight="1">
      <c r="A84" s="351" t="s">
        <v>235</v>
      </c>
      <c r="C84" s="365" t="s">
        <v>236</v>
      </c>
      <c r="D84" s="365" t="s">
        <v>237</v>
      </c>
      <c r="E84" s="365" t="s">
        <v>238</v>
      </c>
      <c r="F84" s="365" t="s">
        <v>239</v>
      </c>
      <c r="G84" s="365" t="s">
        <v>240</v>
      </c>
      <c r="H84" s="365" t="s">
        <v>241</v>
      </c>
      <c r="I84" s="365" t="s">
        <v>242</v>
      </c>
      <c r="J84" s="365" t="s">
        <v>243</v>
      </c>
      <c r="K84" s="365" t="s">
        <v>244</v>
      </c>
      <c r="L84" s="365" t="s">
        <v>245</v>
      </c>
      <c r="M84" s="365" t="s">
        <v>246</v>
      </c>
      <c r="N84" s="365" t="s">
        <v>106</v>
      </c>
      <c r="O84" s="207"/>
      <c r="P84" s="208"/>
      <c r="Q84" s="208"/>
      <c r="R84" s="208"/>
      <c r="S84" s="208"/>
      <c r="T84" s="208"/>
      <c r="U84" s="208"/>
      <c r="V84" s="208"/>
      <c r="W84" s="208"/>
      <c r="X84" s="208"/>
      <c r="Y84" s="208"/>
      <c r="Z84" s="208"/>
      <c r="AA84" s="208"/>
      <c r="AB84" s="208"/>
      <c r="AC84" s="208"/>
      <c r="AD84" s="208"/>
      <c r="AM84" s="211"/>
    </row>
    <row r="85" spans="1:39" ht="27" customHeight="1">
      <c r="A85" s="351"/>
      <c r="C85" s="365"/>
      <c r="D85" s="365"/>
      <c r="E85" s="365"/>
      <c r="F85" s="365"/>
      <c r="G85" s="365"/>
      <c r="H85" s="365"/>
      <c r="I85" s="365"/>
      <c r="J85" s="365"/>
      <c r="K85" s="365"/>
      <c r="L85" s="365"/>
      <c r="M85" s="365"/>
      <c r="N85" s="365"/>
      <c r="O85" s="88" t="s">
        <v>86</v>
      </c>
      <c r="P85" s="208"/>
      <c r="Q85" s="208"/>
      <c r="R85" s="208"/>
      <c r="S85" s="208"/>
      <c r="T85" s="208"/>
      <c r="U85" s="208"/>
      <c r="V85" s="208"/>
      <c r="W85" s="208"/>
      <c r="X85" s="208"/>
      <c r="Y85" s="208"/>
      <c r="Z85" s="208"/>
      <c r="AA85" s="208"/>
      <c r="AB85" s="208"/>
      <c r="AC85" s="208"/>
      <c r="AD85" s="208"/>
      <c r="AM85" s="211"/>
    </row>
    <row r="86" spans="1:39">
      <c r="A86" s="33"/>
      <c r="C86" s="6" t="s">
        <v>1</v>
      </c>
      <c r="D86" s="6" t="s">
        <v>1</v>
      </c>
      <c r="E86" s="6" t="s">
        <v>1</v>
      </c>
      <c r="F86" s="6" t="s">
        <v>1</v>
      </c>
      <c r="G86" s="6" t="s">
        <v>1</v>
      </c>
      <c r="H86" s="6" t="s">
        <v>1</v>
      </c>
      <c r="I86" s="6" t="s">
        <v>1</v>
      </c>
      <c r="J86" s="6" t="s">
        <v>1</v>
      </c>
      <c r="K86" s="6" t="s">
        <v>1</v>
      </c>
      <c r="L86" s="6" t="s">
        <v>1</v>
      </c>
      <c r="M86" s="6" t="s">
        <v>1</v>
      </c>
      <c r="N86" s="6" t="s">
        <v>1</v>
      </c>
      <c r="O86" s="89" t="s">
        <v>1</v>
      </c>
      <c r="P86" s="208"/>
      <c r="Q86" s="208"/>
      <c r="R86" s="208"/>
      <c r="S86" s="208"/>
      <c r="T86" s="208"/>
      <c r="U86" s="208"/>
      <c r="V86" s="208"/>
      <c r="W86" s="208"/>
      <c r="X86" s="208"/>
      <c r="Y86" s="208"/>
      <c r="Z86" s="208"/>
      <c r="AA86" s="208"/>
      <c r="AB86" s="208"/>
      <c r="AC86" s="208"/>
      <c r="AD86" s="208"/>
      <c r="AM86" s="211"/>
    </row>
    <row r="87" spans="1:39">
      <c r="A87" s="7" t="s">
        <v>2</v>
      </c>
      <c r="C87" s="149">
        <v>50.4</v>
      </c>
      <c r="D87" s="149"/>
      <c r="E87" s="149">
        <v>-247.3</v>
      </c>
      <c r="F87" s="149">
        <v>-251.4</v>
      </c>
      <c r="G87" s="149">
        <v>-72.8</v>
      </c>
      <c r="H87" s="149"/>
      <c r="I87" s="149">
        <v>-8.6</v>
      </c>
      <c r="J87" s="149">
        <v>-48.2</v>
      </c>
      <c r="K87" s="149">
        <v>51.2</v>
      </c>
      <c r="L87" s="149"/>
      <c r="M87" s="149">
        <v>47.3</v>
      </c>
      <c r="N87" s="149"/>
      <c r="O87" s="91">
        <f>SUM(C87:N87)</f>
        <v>-479.40000000000003</v>
      </c>
      <c r="P87" s="208"/>
      <c r="Q87" s="208"/>
      <c r="R87" s="208"/>
      <c r="S87" s="208"/>
      <c r="T87" s="208"/>
      <c r="U87" s="208"/>
      <c r="V87" s="208"/>
      <c r="W87" s="208"/>
      <c r="X87" s="208"/>
      <c r="Y87" s="208"/>
      <c r="Z87" s="208"/>
      <c r="AA87" s="208"/>
      <c r="AB87" s="208"/>
      <c r="AC87" s="208"/>
      <c r="AD87" s="208"/>
      <c r="AM87" s="212"/>
    </row>
    <row r="88" spans="1:39">
      <c r="A88" s="7" t="s">
        <v>3</v>
      </c>
      <c r="C88" s="150">
        <v>82.1</v>
      </c>
      <c r="D88" s="150"/>
      <c r="E88" s="150"/>
      <c r="F88" s="150">
        <v>-119.1</v>
      </c>
      <c r="G88" s="150"/>
      <c r="H88" s="150"/>
      <c r="I88" s="150">
        <v>-4.4000000000000004</v>
      </c>
      <c r="J88" s="150"/>
      <c r="K88" s="150">
        <v>11.9</v>
      </c>
      <c r="L88" s="150">
        <v>-100</v>
      </c>
      <c r="M88" s="150"/>
      <c r="N88" s="150"/>
      <c r="O88" s="92">
        <f t="shared" ref="O88:O105" si="6">SUM(C88:N88)</f>
        <v>-129.5</v>
      </c>
      <c r="P88" s="208"/>
      <c r="Q88" s="208"/>
      <c r="R88" s="208"/>
      <c r="S88" s="208"/>
      <c r="T88" s="208"/>
      <c r="U88" s="208"/>
      <c r="V88" s="208"/>
      <c r="W88" s="208"/>
      <c r="X88" s="208"/>
      <c r="Y88" s="208"/>
      <c r="Z88" s="208"/>
      <c r="AA88" s="208"/>
      <c r="AB88" s="208"/>
      <c r="AC88" s="208"/>
      <c r="AD88" s="208"/>
      <c r="AM88" s="212"/>
    </row>
    <row r="89" spans="1:39">
      <c r="A89" s="7" t="s">
        <v>4</v>
      </c>
      <c r="C89" s="150">
        <v>44.7</v>
      </c>
      <c r="D89" s="150"/>
      <c r="E89" s="150"/>
      <c r="F89" s="150">
        <v>-276.10000000000002</v>
      </c>
      <c r="G89" s="150">
        <v>-241.7</v>
      </c>
      <c r="H89" s="150">
        <v>-72.900000000000006</v>
      </c>
      <c r="I89" s="150">
        <v>-9.6999999999999993</v>
      </c>
      <c r="J89" s="150">
        <v>-30.400000000000002</v>
      </c>
      <c r="K89" s="150">
        <v>72.8</v>
      </c>
      <c r="L89" s="150"/>
      <c r="M89" s="150">
        <v>286.39999999999998</v>
      </c>
      <c r="N89" s="150"/>
      <c r="O89" s="92">
        <f t="shared" si="6"/>
        <v>-226.90000000000009</v>
      </c>
      <c r="P89" s="208"/>
      <c r="Q89" s="208"/>
      <c r="R89" s="208"/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M89" s="212"/>
    </row>
    <row r="90" spans="1:39">
      <c r="A90" s="8" t="s">
        <v>5</v>
      </c>
      <c r="C90" s="151">
        <v>43.3</v>
      </c>
      <c r="D90" s="151"/>
      <c r="E90" s="151"/>
      <c r="F90" s="151">
        <v>-128.69999999999999</v>
      </c>
      <c r="G90" s="151">
        <v>15.6</v>
      </c>
      <c r="H90" s="151"/>
      <c r="I90" s="151">
        <v>-4.8</v>
      </c>
      <c r="J90" s="151"/>
      <c r="K90" s="151">
        <v>20.100000000000001</v>
      </c>
      <c r="L90" s="151"/>
      <c r="M90" s="151"/>
      <c r="N90" s="151"/>
      <c r="O90" s="93">
        <f t="shared" si="6"/>
        <v>-54.499999999999993</v>
      </c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M90" s="212"/>
    </row>
    <row r="91" spans="1:39">
      <c r="A91" s="7" t="s">
        <v>6</v>
      </c>
      <c r="C91" s="150">
        <v>136.80000000000001</v>
      </c>
      <c r="D91" s="150"/>
      <c r="E91" s="150"/>
      <c r="F91" s="150">
        <v>-154.1</v>
      </c>
      <c r="G91" s="150"/>
      <c r="H91" s="150"/>
      <c r="I91" s="150">
        <v>-5.4</v>
      </c>
      <c r="J91" s="150"/>
      <c r="K91" s="150">
        <v>14.7</v>
      </c>
      <c r="L91" s="150"/>
      <c r="M91" s="150"/>
      <c r="N91" s="150"/>
      <c r="O91" s="92">
        <f t="shared" si="6"/>
        <v>-7.9999999999999822</v>
      </c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M91" s="212"/>
    </row>
    <row r="92" spans="1:39">
      <c r="A92" s="7" t="s">
        <v>7</v>
      </c>
      <c r="C92" s="150">
        <v>5.7</v>
      </c>
      <c r="D92" s="150">
        <v>-32.4</v>
      </c>
      <c r="E92" s="150"/>
      <c r="F92" s="150">
        <v>-47.9</v>
      </c>
      <c r="G92" s="150"/>
      <c r="H92" s="150"/>
      <c r="I92" s="150">
        <v>-2.2999999999999998</v>
      </c>
      <c r="J92" s="150"/>
      <c r="K92" s="150">
        <v>0.7</v>
      </c>
      <c r="L92" s="150">
        <v>300</v>
      </c>
      <c r="M92" s="150"/>
      <c r="N92" s="150"/>
      <c r="O92" s="92">
        <f t="shared" si="6"/>
        <v>223.8</v>
      </c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M92" s="212"/>
    </row>
    <row r="93" spans="1:39">
      <c r="A93" s="7" t="s">
        <v>8</v>
      </c>
      <c r="C93" s="150">
        <v>59.1</v>
      </c>
      <c r="D93" s="150"/>
      <c r="E93" s="150"/>
      <c r="F93" s="150">
        <v>-295.7</v>
      </c>
      <c r="G93" s="150">
        <v>35.9</v>
      </c>
      <c r="H93" s="150">
        <v>-72.900000000000006</v>
      </c>
      <c r="I93" s="150">
        <v>-10.4</v>
      </c>
      <c r="J93" s="150">
        <v>405.70000000000005</v>
      </c>
      <c r="K93" s="150">
        <v>64.5</v>
      </c>
      <c r="L93" s="150"/>
      <c r="M93" s="150">
        <v>53.9</v>
      </c>
      <c r="N93" s="150"/>
      <c r="O93" s="92">
        <f t="shared" si="6"/>
        <v>240.10000000000005</v>
      </c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M93" s="212"/>
    </row>
    <row r="94" spans="1:39">
      <c r="A94" s="8" t="s">
        <v>9</v>
      </c>
      <c r="C94" s="151">
        <v>63.1</v>
      </c>
      <c r="D94" s="151"/>
      <c r="E94" s="151">
        <v>-86.3</v>
      </c>
      <c r="F94" s="151">
        <v>-197.2</v>
      </c>
      <c r="G94" s="151"/>
      <c r="H94" s="151"/>
      <c r="I94" s="151">
        <v>-7.3</v>
      </c>
      <c r="J94" s="151"/>
      <c r="K94" s="151">
        <v>79.900000000000006</v>
      </c>
      <c r="L94" s="151"/>
      <c r="M94" s="151"/>
      <c r="N94" s="151"/>
      <c r="O94" s="93">
        <f t="shared" si="6"/>
        <v>-147.79999999999998</v>
      </c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M94" s="212"/>
    </row>
    <row r="95" spans="1:39">
      <c r="A95" s="7" t="s">
        <v>10</v>
      </c>
      <c r="C95" s="150">
        <v>0</v>
      </c>
      <c r="D95" s="150"/>
      <c r="E95" s="150"/>
      <c r="F95" s="150">
        <v>-68.5</v>
      </c>
      <c r="G95" s="150">
        <v>26.5</v>
      </c>
      <c r="H95" s="150"/>
      <c r="I95" s="150">
        <v>-2.2999999999999998</v>
      </c>
      <c r="J95" s="150"/>
      <c r="K95" s="150">
        <v>0</v>
      </c>
      <c r="L95" s="150">
        <v>-100</v>
      </c>
      <c r="M95" s="150"/>
      <c r="N95" s="150"/>
      <c r="O95" s="92">
        <f t="shared" si="6"/>
        <v>-144.30000000000001</v>
      </c>
      <c r="P95" s="208"/>
      <c r="Q95" s="208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M95" s="212"/>
    </row>
    <row r="96" spans="1:39">
      <c r="A96" s="9" t="s">
        <v>11</v>
      </c>
      <c r="C96" s="150">
        <v>27</v>
      </c>
      <c r="D96" s="150"/>
      <c r="E96" s="150">
        <v>-86.3</v>
      </c>
      <c r="F96" s="150">
        <v>-143.80000000000001</v>
      </c>
      <c r="G96" s="150"/>
      <c r="H96" s="150"/>
      <c r="I96" s="150">
        <v>-5.3</v>
      </c>
      <c r="J96" s="150"/>
      <c r="K96" s="150">
        <v>76.900000000000006</v>
      </c>
      <c r="L96" s="150"/>
      <c r="M96" s="150"/>
      <c r="N96" s="150"/>
      <c r="O96" s="92">
        <f t="shared" si="6"/>
        <v>-131.50000000000003</v>
      </c>
      <c r="P96" s="208"/>
      <c r="Q96" s="208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M96" s="212"/>
    </row>
    <row r="97" spans="1:53">
      <c r="A97" s="7" t="s">
        <v>12</v>
      </c>
      <c r="C97" s="150">
        <v>35</v>
      </c>
      <c r="D97" s="150"/>
      <c r="E97" s="150"/>
      <c r="F97" s="150">
        <v>-264.3</v>
      </c>
      <c r="G97" s="150">
        <v>185.4</v>
      </c>
      <c r="H97" s="150">
        <v>-145.9</v>
      </c>
      <c r="I97" s="150">
        <v>-8.9</v>
      </c>
      <c r="J97" s="150">
        <v>-54</v>
      </c>
      <c r="K97" s="150">
        <v>81.400000000000006</v>
      </c>
      <c r="L97" s="150"/>
      <c r="M97" s="150"/>
      <c r="N97" s="150">
        <v>-1418.2</v>
      </c>
      <c r="O97" s="92">
        <f t="shared" si="6"/>
        <v>-1589.5</v>
      </c>
      <c r="P97" s="208"/>
      <c r="Q97" s="208"/>
      <c r="R97" s="208"/>
      <c r="S97" s="208"/>
      <c r="T97" s="208"/>
      <c r="U97" s="208"/>
      <c r="V97" s="208"/>
      <c r="W97" s="208"/>
      <c r="X97" s="208"/>
      <c r="Y97" s="208"/>
      <c r="Z97" s="208"/>
      <c r="AA97" s="208"/>
      <c r="AB97" s="208"/>
      <c r="AC97" s="208"/>
      <c r="AD97" s="208"/>
    </row>
    <row r="98" spans="1:53">
      <c r="A98" s="8" t="s">
        <v>13</v>
      </c>
      <c r="C98" s="151">
        <v>94.1</v>
      </c>
      <c r="D98" s="151"/>
      <c r="E98" s="151"/>
      <c r="F98" s="151">
        <v>-248.1</v>
      </c>
      <c r="G98" s="151">
        <v>261.10000000000002</v>
      </c>
      <c r="H98" s="151"/>
      <c r="I98" s="151">
        <v>-8.4</v>
      </c>
      <c r="J98" s="151">
        <v>-38.6</v>
      </c>
      <c r="K98" s="151">
        <v>56.7</v>
      </c>
      <c r="L98" s="151"/>
      <c r="M98" s="151"/>
      <c r="N98" s="151">
        <v>85.199999999999989</v>
      </c>
      <c r="O98" s="93">
        <f>SUM(C98:N98)</f>
        <v>202</v>
      </c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208"/>
      <c r="AA98" s="208"/>
      <c r="AB98" s="208"/>
      <c r="AC98" s="208"/>
      <c r="AD98" s="208"/>
    </row>
    <row r="99" spans="1:53">
      <c r="A99" s="7" t="s">
        <v>14</v>
      </c>
      <c r="C99" s="150">
        <v>71.2</v>
      </c>
      <c r="D99" s="150"/>
      <c r="E99" s="150"/>
      <c r="F99" s="150">
        <v>-285.3</v>
      </c>
      <c r="G99" s="150">
        <v>31.6</v>
      </c>
      <c r="H99" s="150">
        <v>-72.900000000000006</v>
      </c>
      <c r="I99" s="150">
        <v>-13.6</v>
      </c>
      <c r="J99" s="150">
        <v>-54.1</v>
      </c>
      <c r="K99" s="150">
        <v>47.8</v>
      </c>
      <c r="L99" s="150"/>
      <c r="M99" s="150"/>
      <c r="N99" s="150">
        <v>164.9</v>
      </c>
      <c r="O99" s="92">
        <f t="shared" si="6"/>
        <v>-110.40000000000006</v>
      </c>
      <c r="P99" s="208"/>
      <c r="Q99" s="208"/>
      <c r="R99" s="208"/>
      <c r="S99" s="208"/>
      <c r="T99" s="208"/>
      <c r="U99" s="208"/>
      <c r="V99" s="208"/>
      <c r="W99" s="208"/>
      <c r="X99" s="208"/>
      <c r="Y99" s="208"/>
      <c r="Z99" s="208"/>
      <c r="AA99" s="208"/>
      <c r="AB99" s="208"/>
      <c r="AC99" s="208"/>
      <c r="AD99" s="208"/>
    </row>
    <row r="100" spans="1:53">
      <c r="A100" s="7" t="s">
        <v>15</v>
      </c>
      <c r="C100" s="150">
        <v>168.4</v>
      </c>
      <c r="D100" s="150">
        <v>14.6</v>
      </c>
      <c r="E100" s="150"/>
      <c r="F100" s="150">
        <v>-317</v>
      </c>
      <c r="G100" s="150"/>
      <c r="H100" s="150"/>
      <c r="I100" s="150">
        <v>-11.6</v>
      </c>
      <c r="J100" s="150"/>
      <c r="K100" s="150">
        <v>23.6</v>
      </c>
      <c r="L100" s="150"/>
      <c r="M100" s="150"/>
      <c r="N100" s="150"/>
      <c r="O100" s="92">
        <f t="shared" si="6"/>
        <v>-122</v>
      </c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  <c r="AA100" s="208"/>
      <c r="AB100" s="208"/>
      <c r="AC100" s="208"/>
      <c r="AD100" s="208"/>
    </row>
    <row r="101" spans="1:53">
      <c r="A101" s="9" t="s">
        <v>16</v>
      </c>
      <c r="C101" s="150">
        <v>54</v>
      </c>
      <c r="D101" s="150"/>
      <c r="E101" s="150"/>
      <c r="F101" s="150">
        <v>-144.5</v>
      </c>
      <c r="G101" s="150"/>
      <c r="H101" s="150"/>
      <c r="I101" s="150">
        <v>-4.9000000000000004</v>
      </c>
      <c r="J101" s="150"/>
      <c r="K101" s="150">
        <v>16.899999999999999</v>
      </c>
      <c r="L101" s="150"/>
      <c r="M101" s="150"/>
      <c r="N101" s="150">
        <v>644.5</v>
      </c>
      <c r="O101" s="92">
        <f t="shared" si="6"/>
        <v>566</v>
      </c>
      <c r="P101" s="208"/>
      <c r="Q101" s="208"/>
      <c r="R101" s="208"/>
      <c r="S101" s="208"/>
      <c r="T101" s="208"/>
      <c r="U101" s="208"/>
      <c r="V101" s="208"/>
      <c r="W101" s="208"/>
      <c r="X101" s="208"/>
      <c r="Y101" s="208"/>
      <c r="Z101" s="208"/>
      <c r="AA101" s="208"/>
      <c r="AB101" s="208"/>
      <c r="AC101" s="208"/>
      <c r="AD101" s="208"/>
    </row>
    <row r="102" spans="1:53">
      <c r="A102" s="8" t="s">
        <v>17</v>
      </c>
      <c r="C102" s="151">
        <v>42.8</v>
      </c>
      <c r="D102" s="151"/>
      <c r="E102" s="151"/>
      <c r="F102" s="151">
        <v>-252.6</v>
      </c>
      <c r="G102" s="151">
        <v>144.19999999999999</v>
      </c>
      <c r="H102" s="151">
        <v>-145.9</v>
      </c>
      <c r="I102" s="151">
        <v>-8.5</v>
      </c>
      <c r="J102" s="151">
        <v>-45.7</v>
      </c>
      <c r="K102" s="151">
        <v>68.099999999999994</v>
      </c>
      <c r="L102" s="151"/>
      <c r="M102" s="151">
        <v>103.7</v>
      </c>
      <c r="N102" s="151"/>
      <c r="O102" s="93">
        <f t="shared" si="6"/>
        <v>-93.900000000000048</v>
      </c>
      <c r="P102" s="208"/>
      <c r="Q102" s="208"/>
      <c r="R102" s="208"/>
      <c r="S102" s="208"/>
      <c r="T102" s="208"/>
      <c r="U102" s="208"/>
      <c r="V102" s="208"/>
      <c r="W102" s="208"/>
      <c r="X102" s="208"/>
      <c r="Y102" s="208"/>
      <c r="Z102" s="208"/>
      <c r="AA102" s="208"/>
      <c r="AB102" s="208"/>
      <c r="AC102" s="208"/>
      <c r="AD102" s="208"/>
    </row>
    <row r="103" spans="1:53">
      <c r="A103" s="10" t="s">
        <v>18</v>
      </c>
      <c r="C103" s="150">
        <v>56.7</v>
      </c>
      <c r="D103" s="150"/>
      <c r="E103" s="150">
        <v>-169.1</v>
      </c>
      <c r="F103" s="150">
        <v>-168.4</v>
      </c>
      <c r="G103" s="150"/>
      <c r="H103" s="150"/>
      <c r="I103" s="150">
        <v>-6.2</v>
      </c>
      <c r="J103" s="150"/>
      <c r="K103" s="150">
        <v>14.3</v>
      </c>
      <c r="L103" s="150">
        <v>-100</v>
      </c>
      <c r="M103" s="150"/>
      <c r="N103" s="150"/>
      <c r="O103" s="92">
        <f t="shared" si="6"/>
        <v>-372.7</v>
      </c>
      <c r="P103" s="208"/>
      <c r="Q103" s="208"/>
      <c r="R103" s="208"/>
      <c r="S103" s="208"/>
      <c r="T103" s="208"/>
      <c r="U103" s="208"/>
      <c r="V103" s="208"/>
      <c r="W103" s="208"/>
      <c r="X103" s="208"/>
      <c r="Y103" s="208"/>
      <c r="Z103" s="208"/>
      <c r="AA103" s="208"/>
      <c r="AB103" s="208"/>
      <c r="AC103" s="208"/>
      <c r="AD103" s="208"/>
    </row>
    <row r="104" spans="1:53">
      <c r="A104" s="7" t="s">
        <v>19</v>
      </c>
      <c r="C104" s="150">
        <v>39.200000000000003</v>
      </c>
      <c r="D104" s="150"/>
      <c r="E104" s="150">
        <v>-412.6</v>
      </c>
      <c r="F104" s="150">
        <v>-383.7</v>
      </c>
      <c r="G104" s="150">
        <v>-249.8</v>
      </c>
      <c r="H104" s="150">
        <v>-270.59999999999997</v>
      </c>
      <c r="I104" s="150">
        <v>-11.7</v>
      </c>
      <c r="J104" s="150">
        <v>-51.1</v>
      </c>
      <c r="K104" s="150">
        <v>179.4</v>
      </c>
      <c r="L104" s="150"/>
      <c r="M104" s="150">
        <v>37</v>
      </c>
      <c r="N104" s="150">
        <v>-21.400000000000006</v>
      </c>
      <c r="O104" s="92">
        <f t="shared" si="6"/>
        <v>-1145.3</v>
      </c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  <c r="AA104" s="208"/>
      <c r="AB104" s="208"/>
      <c r="AC104" s="208"/>
      <c r="AD104" s="208"/>
    </row>
    <row r="105" spans="1:53">
      <c r="A105" s="7" t="s">
        <v>20</v>
      </c>
      <c r="C105" s="152">
        <v>44.2</v>
      </c>
      <c r="D105" s="152"/>
      <c r="E105" s="152">
        <v>-243.5</v>
      </c>
      <c r="F105" s="152">
        <v>-262</v>
      </c>
      <c r="G105" s="152">
        <v>68.400000000000006</v>
      </c>
      <c r="H105" s="152"/>
      <c r="I105" s="152">
        <v>-8.6999999999999993</v>
      </c>
      <c r="J105" s="152">
        <v>-67.099999999999994</v>
      </c>
      <c r="K105" s="152">
        <v>58.4</v>
      </c>
      <c r="L105" s="152"/>
      <c r="M105" s="152">
        <v>51.3</v>
      </c>
      <c r="N105" s="152">
        <v>-65.5</v>
      </c>
      <c r="O105" s="94">
        <f t="shared" si="6"/>
        <v>-424.49999999999994</v>
      </c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 s="208"/>
      <c r="AA105" s="208"/>
      <c r="AB105" s="208"/>
      <c r="AC105" s="208"/>
      <c r="AD105" s="208"/>
    </row>
    <row r="106" spans="1:53" ht="13.5" thickBot="1">
      <c r="A106" s="11" t="s">
        <v>248</v>
      </c>
      <c r="C106" s="86">
        <f t="shared" ref="C106:O106" si="7">SUM(C87:C105)</f>
        <v>1117.8000000000002</v>
      </c>
      <c r="D106" s="86">
        <f t="shared" si="7"/>
        <v>-17.799999999999997</v>
      </c>
      <c r="E106" s="86">
        <f t="shared" si="7"/>
        <v>-1245.0999999999999</v>
      </c>
      <c r="F106" s="86">
        <f t="shared" si="7"/>
        <v>-4008.4</v>
      </c>
      <c r="G106" s="86">
        <f t="shared" si="7"/>
        <v>204.4</v>
      </c>
      <c r="H106" s="86">
        <f t="shared" si="7"/>
        <v>-781.09999999999991</v>
      </c>
      <c r="I106" s="86">
        <f t="shared" si="7"/>
        <v>-142.99999999999997</v>
      </c>
      <c r="J106" s="86">
        <f t="shared" si="7"/>
        <v>16.500000000000057</v>
      </c>
      <c r="K106" s="86">
        <f t="shared" si="7"/>
        <v>939.29999999999984</v>
      </c>
      <c r="L106" s="86">
        <f t="shared" si="7"/>
        <v>0</v>
      </c>
      <c r="M106" s="86">
        <f t="shared" si="7"/>
        <v>579.59999999999991</v>
      </c>
      <c r="N106" s="86">
        <f t="shared" si="7"/>
        <v>-610.49999999999989</v>
      </c>
      <c r="O106" s="90">
        <f t="shared" si="7"/>
        <v>-3948.3</v>
      </c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  <c r="AA106" s="208"/>
      <c r="AB106" s="208"/>
      <c r="AC106" s="208"/>
      <c r="AD106" s="208"/>
    </row>
    <row r="107" spans="1:53">
      <c r="A107" s="210"/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  <c r="AA107" s="210"/>
      <c r="AB107" s="210"/>
      <c r="AC107" s="210"/>
      <c r="AD107" s="210"/>
      <c r="AE107" s="210"/>
      <c r="AF107" s="210"/>
      <c r="AG107" s="210"/>
      <c r="AH107" s="210"/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0"/>
      <c r="AX107" s="210"/>
      <c r="AY107" s="210"/>
      <c r="AZ107" s="210"/>
      <c r="BA107" s="210"/>
    </row>
    <row r="108" spans="1:53" ht="96" customHeight="1">
      <c r="A108" s="381" t="s">
        <v>249</v>
      </c>
      <c r="B108" s="382"/>
      <c r="C108" s="382"/>
      <c r="D108" s="382"/>
      <c r="E108" s="382"/>
      <c r="F108" s="382"/>
      <c r="G108" s="382"/>
      <c r="H108" s="382"/>
      <c r="I108" s="382"/>
      <c r="J108" s="382"/>
      <c r="K108" s="382"/>
      <c r="L108" s="382"/>
      <c r="M108" s="382"/>
      <c r="N108" s="382"/>
      <c r="O108" s="382"/>
      <c r="P108" s="382"/>
      <c r="Q108" s="382"/>
      <c r="R108" s="382"/>
      <c r="S108" s="382"/>
      <c r="T108" s="382"/>
      <c r="U108" s="382"/>
      <c r="V108" s="382"/>
      <c r="W108" s="382"/>
      <c r="X108" s="382"/>
      <c r="Y108" s="382"/>
      <c r="Z108" s="382"/>
      <c r="AA108" s="382"/>
      <c r="AB108" s="382"/>
      <c r="AC108" s="382"/>
      <c r="AD108" s="382"/>
      <c r="AE108" s="382"/>
      <c r="AF108" s="382"/>
      <c r="AG108" s="382"/>
      <c r="AH108" s="382"/>
      <c r="AI108" s="382"/>
      <c r="AJ108" s="382"/>
      <c r="AK108" s="382"/>
      <c r="AL108" s="382"/>
      <c r="AM108" s="382"/>
      <c r="AN108" s="382"/>
      <c r="AO108" s="382"/>
      <c r="AP108" s="382"/>
      <c r="AQ108" s="382"/>
      <c r="AR108" s="382"/>
      <c r="AS108" s="382"/>
      <c r="AT108" s="382"/>
      <c r="AU108" s="382"/>
      <c r="AV108" s="382"/>
      <c r="AW108" s="382"/>
      <c r="AX108" s="382"/>
      <c r="AY108" s="382"/>
      <c r="AZ108" s="210"/>
      <c r="BA108" s="210"/>
    </row>
    <row r="109" spans="1:53">
      <c r="B109" s="380"/>
      <c r="C109" s="380"/>
      <c r="D109" s="380"/>
      <c r="E109" s="380"/>
      <c r="F109" s="380"/>
      <c r="G109" s="215"/>
      <c r="H109" s="215"/>
      <c r="I109" s="215"/>
      <c r="J109" s="213"/>
      <c r="K109" s="213"/>
      <c r="L109" s="213"/>
      <c r="M109" s="213"/>
      <c r="N109" s="213"/>
      <c r="O109" s="213"/>
      <c r="P109" s="213"/>
      <c r="Q109" s="213"/>
      <c r="R109" s="213"/>
      <c r="S109" s="213"/>
      <c r="T109" s="213"/>
      <c r="U109" s="213"/>
      <c r="V109" s="213"/>
      <c r="W109" s="213"/>
      <c r="X109" s="213"/>
      <c r="Y109" s="213"/>
      <c r="Z109" s="213"/>
      <c r="AA109" s="213"/>
      <c r="AB109" s="213"/>
      <c r="AC109" s="213"/>
      <c r="AD109" s="213"/>
      <c r="AE109" s="213"/>
      <c r="AF109" s="213"/>
      <c r="AG109" s="213"/>
      <c r="AH109" s="213"/>
      <c r="AI109" s="213"/>
      <c r="AJ109" s="213"/>
      <c r="AK109" s="213"/>
      <c r="AL109" s="213"/>
      <c r="AM109" s="213"/>
      <c r="AN109" s="213"/>
      <c r="AO109" s="213"/>
      <c r="AP109" s="213"/>
      <c r="AQ109" s="214"/>
      <c r="AR109" s="213"/>
      <c r="AS109" s="213"/>
      <c r="AT109" s="210"/>
      <c r="AU109" s="210"/>
      <c r="AV109" s="210"/>
      <c r="AW109" s="210"/>
      <c r="AX109" s="210"/>
      <c r="AY109" s="210"/>
      <c r="AZ109" s="210"/>
      <c r="BA109" s="210"/>
    </row>
    <row r="110" spans="1:53">
      <c r="A110" s="20" t="s">
        <v>209</v>
      </c>
    </row>
    <row r="111" spans="1:53" ht="13.5" thickBot="1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</row>
    <row r="112" spans="1:53" ht="43.35" customHeight="1" thickTop="1">
      <c r="A112" s="351" t="s">
        <v>235</v>
      </c>
      <c r="C112" s="365" t="s">
        <v>239</v>
      </c>
      <c r="D112" s="365" t="s">
        <v>254</v>
      </c>
      <c r="E112" s="365" t="s">
        <v>255</v>
      </c>
      <c r="F112" s="365" t="s">
        <v>240</v>
      </c>
      <c r="G112" s="365" t="s">
        <v>247</v>
      </c>
      <c r="H112" s="365" t="s">
        <v>256</v>
      </c>
      <c r="I112" s="365" t="s">
        <v>257</v>
      </c>
      <c r="J112" s="365" t="s">
        <v>258</v>
      </c>
      <c r="K112" s="207"/>
    </row>
    <row r="113" spans="1:12" ht="27" customHeight="1">
      <c r="A113" s="351"/>
      <c r="C113" s="365"/>
      <c r="D113" s="365"/>
      <c r="E113" s="365"/>
      <c r="F113" s="365"/>
      <c r="G113" s="365"/>
      <c r="H113" s="365"/>
      <c r="I113" s="365"/>
      <c r="J113" s="365"/>
      <c r="K113" s="88" t="s">
        <v>86</v>
      </c>
      <c r="L113" s="383"/>
    </row>
    <row r="114" spans="1:12" ht="14.45" customHeight="1">
      <c r="A114" s="33"/>
      <c r="C114" s="6" t="s">
        <v>1</v>
      </c>
      <c r="D114" s="6" t="s">
        <v>1</v>
      </c>
      <c r="E114" s="6" t="s">
        <v>1</v>
      </c>
      <c r="F114" s="6" t="s">
        <v>1</v>
      </c>
      <c r="G114" s="6" t="s">
        <v>1</v>
      </c>
      <c r="H114" s="6" t="s">
        <v>1</v>
      </c>
      <c r="I114" s="6" t="s">
        <v>1</v>
      </c>
      <c r="J114" s="6" t="s">
        <v>1</v>
      </c>
      <c r="K114" s="89" t="s">
        <v>1</v>
      </c>
      <c r="L114" s="383"/>
    </row>
    <row r="115" spans="1:12">
      <c r="A115" s="7" t="s">
        <v>2</v>
      </c>
      <c r="C115" s="149">
        <v>-251.4</v>
      </c>
      <c r="D115" s="149">
        <v>384.7</v>
      </c>
      <c r="E115" s="149">
        <v>-24.9</v>
      </c>
      <c r="F115" s="149">
        <v>67.2</v>
      </c>
      <c r="G115" s="149"/>
      <c r="H115" s="149">
        <v>42.5</v>
      </c>
      <c r="I115" s="149">
        <v>-13.7</v>
      </c>
      <c r="J115" s="149">
        <v>-5.4</v>
      </c>
      <c r="K115" s="91">
        <f>SUM(C115:J115)</f>
        <v>198.99999999999997</v>
      </c>
      <c r="L115" s="209"/>
    </row>
    <row r="116" spans="1:12">
      <c r="A116" s="7" t="s">
        <v>3</v>
      </c>
      <c r="C116" s="150">
        <v>-119.1</v>
      </c>
      <c r="D116" s="150"/>
      <c r="E116" s="150"/>
      <c r="F116" s="150"/>
      <c r="G116" s="150"/>
      <c r="H116" s="150">
        <v>4</v>
      </c>
      <c r="I116" s="150">
        <v>-6.6</v>
      </c>
      <c r="J116" s="150">
        <v>218</v>
      </c>
      <c r="K116" s="92">
        <f t="shared" ref="K116:K133" si="8">SUM(C116:J116)</f>
        <v>96.300000000000011</v>
      </c>
      <c r="L116" s="209"/>
    </row>
    <row r="117" spans="1:12">
      <c r="A117" s="7" t="s">
        <v>4</v>
      </c>
      <c r="C117" s="150">
        <v>-276.10000000000002</v>
      </c>
      <c r="D117" s="150">
        <v>333</v>
      </c>
      <c r="E117" s="150">
        <v>-15.1</v>
      </c>
      <c r="F117" s="150">
        <v>517.4</v>
      </c>
      <c r="G117" s="150"/>
      <c r="H117" s="150"/>
      <c r="I117" s="150">
        <v>-17.899999999999999</v>
      </c>
      <c r="J117" s="150"/>
      <c r="K117" s="92">
        <f t="shared" si="8"/>
        <v>541.29999999999995</v>
      </c>
      <c r="L117" s="209"/>
    </row>
    <row r="118" spans="1:12">
      <c r="A118" s="8" t="s">
        <v>5</v>
      </c>
      <c r="C118" s="151">
        <v>-128.69999999999999</v>
      </c>
      <c r="D118" s="151"/>
      <c r="E118" s="151"/>
      <c r="F118" s="151">
        <v>-2.1</v>
      </c>
      <c r="G118" s="151"/>
      <c r="H118" s="151">
        <v>22</v>
      </c>
      <c r="I118" s="151">
        <v>-7.5</v>
      </c>
      <c r="J118" s="151">
        <v>306.3</v>
      </c>
      <c r="K118" s="93">
        <f t="shared" si="8"/>
        <v>190.00000000000003</v>
      </c>
      <c r="L118" s="209"/>
    </row>
    <row r="119" spans="1:12">
      <c r="A119" s="7" t="s">
        <v>6</v>
      </c>
      <c r="C119" s="150">
        <v>-154.1</v>
      </c>
      <c r="D119" s="150"/>
      <c r="E119" s="150"/>
      <c r="F119" s="150"/>
      <c r="G119" s="150"/>
      <c r="H119" s="150">
        <v>45</v>
      </c>
      <c r="I119" s="150">
        <v>-10.9</v>
      </c>
      <c r="J119" s="150"/>
      <c r="K119" s="92">
        <f t="shared" si="8"/>
        <v>-120</v>
      </c>
      <c r="L119" s="209"/>
    </row>
    <row r="120" spans="1:12">
      <c r="A120" s="7" t="s">
        <v>7</v>
      </c>
      <c r="C120" s="150">
        <v>-47.9</v>
      </c>
      <c r="D120" s="150"/>
      <c r="E120" s="150"/>
      <c r="F120" s="150"/>
      <c r="G120" s="150"/>
      <c r="H120" s="150"/>
      <c r="I120" s="150">
        <v>-2.2000000000000002</v>
      </c>
      <c r="J120" s="150"/>
      <c r="K120" s="92">
        <f t="shared" si="8"/>
        <v>-50.1</v>
      </c>
      <c r="L120" s="209"/>
    </row>
    <row r="121" spans="1:12">
      <c r="A121" s="7" t="s">
        <v>8</v>
      </c>
      <c r="C121" s="150">
        <v>-295.7</v>
      </c>
      <c r="D121" s="150">
        <v>285</v>
      </c>
      <c r="E121" s="150">
        <v>-194.8</v>
      </c>
      <c r="F121" s="150">
        <v>51.5</v>
      </c>
      <c r="G121" s="150"/>
      <c r="H121" s="150"/>
      <c r="I121" s="150">
        <v>-15.7</v>
      </c>
      <c r="J121" s="150">
        <v>80</v>
      </c>
      <c r="K121" s="92">
        <f t="shared" si="8"/>
        <v>-89.699999999999989</v>
      </c>
      <c r="L121" s="209"/>
    </row>
    <row r="122" spans="1:12">
      <c r="A122" s="8" t="s">
        <v>9</v>
      </c>
      <c r="C122" s="151">
        <v>-197.2</v>
      </c>
      <c r="D122" s="151"/>
      <c r="E122" s="151"/>
      <c r="F122" s="151"/>
      <c r="G122" s="151"/>
      <c r="H122" s="151"/>
      <c r="I122" s="151">
        <v>-7</v>
      </c>
      <c r="J122" s="151"/>
      <c r="K122" s="93">
        <f t="shared" si="8"/>
        <v>-204.2</v>
      </c>
      <c r="L122" s="209"/>
    </row>
    <row r="123" spans="1:12">
      <c r="A123" s="7" t="s">
        <v>10</v>
      </c>
      <c r="C123" s="150">
        <v>-68.5</v>
      </c>
      <c r="D123" s="150"/>
      <c r="E123" s="150"/>
      <c r="F123" s="150">
        <v>-26.5</v>
      </c>
      <c r="G123" s="150"/>
      <c r="H123" s="150"/>
      <c r="I123" s="150">
        <v>-3.5</v>
      </c>
      <c r="J123" s="150"/>
      <c r="K123" s="92">
        <f t="shared" si="8"/>
        <v>-98.5</v>
      </c>
      <c r="L123" s="209"/>
    </row>
    <row r="124" spans="1:12">
      <c r="A124" s="9" t="s">
        <v>11</v>
      </c>
      <c r="C124" s="150">
        <v>-143.80000000000001</v>
      </c>
      <c r="D124" s="150"/>
      <c r="E124" s="150"/>
      <c r="F124" s="150">
        <v>0.8</v>
      </c>
      <c r="G124" s="150"/>
      <c r="H124" s="150"/>
      <c r="I124" s="150">
        <v>-6.1</v>
      </c>
      <c r="J124" s="150"/>
      <c r="K124" s="92">
        <f t="shared" si="8"/>
        <v>-149.1</v>
      </c>
      <c r="L124" s="209"/>
    </row>
    <row r="125" spans="1:12">
      <c r="A125" s="7" t="s">
        <v>12</v>
      </c>
      <c r="C125" s="150">
        <v>-264.3</v>
      </c>
      <c r="D125" s="150">
        <v>48.5</v>
      </c>
      <c r="E125" s="150">
        <v>-168.6</v>
      </c>
      <c r="F125" s="150">
        <v>91.5</v>
      </c>
      <c r="G125" s="150"/>
      <c r="H125" s="150"/>
      <c r="I125" s="150">
        <v>-11.1</v>
      </c>
      <c r="J125" s="150">
        <v>-246.8</v>
      </c>
      <c r="K125" s="92">
        <f t="shared" si="8"/>
        <v>-550.79999999999995</v>
      </c>
      <c r="L125" s="209"/>
    </row>
    <row r="126" spans="1:12">
      <c r="A126" s="8" t="s">
        <v>13</v>
      </c>
      <c r="C126" s="151">
        <v>-248.1</v>
      </c>
      <c r="D126" s="151">
        <v>259.2</v>
      </c>
      <c r="E126" s="151">
        <v>123.1</v>
      </c>
      <c r="F126" s="151">
        <v>237.6</v>
      </c>
      <c r="G126" s="151"/>
      <c r="H126" s="151"/>
      <c r="I126" s="151">
        <v>-16.2</v>
      </c>
      <c r="J126" s="151"/>
      <c r="K126" s="93">
        <f t="shared" si="8"/>
        <v>355.59999999999997</v>
      </c>
      <c r="L126" s="209"/>
    </row>
    <row r="127" spans="1:12">
      <c r="A127" s="7" t="s">
        <v>14</v>
      </c>
      <c r="C127" s="150">
        <v>-285.3</v>
      </c>
      <c r="D127" s="150">
        <v>-47.9</v>
      </c>
      <c r="E127" s="150">
        <v>31.1</v>
      </c>
      <c r="F127" s="150">
        <v>135.80000000000001</v>
      </c>
      <c r="G127" s="150"/>
      <c r="H127" s="150"/>
      <c r="I127" s="150">
        <v>-15.6</v>
      </c>
      <c r="J127" s="150">
        <v>2.9</v>
      </c>
      <c r="K127" s="92">
        <f t="shared" si="8"/>
        <v>-178.99999999999994</v>
      </c>
      <c r="L127" s="209"/>
    </row>
    <row r="128" spans="1:12">
      <c r="A128" s="7" t="s">
        <v>15</v>
      </c>
      <c r="C128" s="150">
        <v>-317</v>
      </c>
      <c r="D128" s="150"/>
      <c r="E128" s="150"/>
      <c r="F128" s="150"/>
      <c r="G128" s="150"/>
      <c r="H128" s="150"/>
      <c r="I128" s="150">
        <v>-17.899999999999999</v>
      </c>
      <c r="J128" s="150"/>
      <c r="K128" s="92">
        <f t="shared" si="8"/>
        <v>-334.9</v>
      </c>
      <c r="L128" s="209"/>
    </row>
    <row r="129" spans="1:53">
      <c r="A129" s="9" t="s">
        <v>16</v>
      </c>
      <c r="C129" s="150">
        <v>-144.5</v>
      </c>
      <c r="D129" s="150"/>
      <c r="E129" s="150"/>
      <c r="F129" s="150"/>
      <c r="G129" s="150"/>
      <c r="H129" s="150"/>
      <c r="I129" s="150">
        <v>-11</v>
      </c>
      <c r="J129" s="150">
        <v>592.6</v>
      </c>
      <c r="K129" s="92">
        <f t="shared" si="8"/>
        <v>437.1</v>
      </c>
      <c r="L129" s="209"/>
    </row>
    <row r="130" spans="1:53">
      <c r="A130" s="8" t="s">
        <v>17</v>
      </c>
      <c r="C130" s="151">
        <v>-252.6</v>
      </c>
      <c r="D130" s="151">
        <v>-2.7</v>
      </c>
      <c r="E130" s="151">
        <v>108.7</v>
      </c>
      <c r="F130" s="151">
        <v>40.700000000000003</v>
      </c>
      <c r="G130" s="151"/>
      <c r="H130" s="151">
        <v>10.8</v>
      </c>
      <c r="I130" s="151">
        <v>-11.8</v>
      </c>
      <c r="J130" s="151"/>
      <c r="K130" s="93">
        <f t="shared" si="8"/>
        <v>-106.89999999999996</v>
      </c>
      <c r="L130" s="209"/>
    </row>
    <row r="131" spans="1:53">
      <c r="A131" s="10" t="s">
        <v>18</v>
      </c>
      <c r="C131" s="150">
        <v>-168.4</v>
      </c>
      <c r="D131" s="150"/>
      <c r="E131" s="150"/>
      <c r="F131" s="150"/>
      <c r="G131" s="150"/>
      <c r="H131" s="150"/>
      <c r="I131" s="150">
        <v>-8.6</v>
      </c>
      <c r="J131" s="150"/>
      <c r="K131" s="92">
        <f t="shared" si="8"/>
        <v>-177</v>
      </c>
      <c r="L131" s="209"/>
    </row>
    <row r="132" spans="1:53">
      <c r="A132" s="7" t="s">
        <v>19</v>
      </c>
      <c r="C132" s="150">
        <v>-383.7</v>
      </c>
      <c r="D132" s="150">
        <v>-1110</v>
      </c>
      <c r="E132" s="150">
        <v>11.9</v>
      </c>
      <c r="F132" s="150">
        <v>-58.4</v>
      </c>
      <c r="G132" s="150"/>
      <c r="H132" s="150"/>
      <c r="I132" s="150">
        <v>-23.6</v>
      </c>
      <c r="J132" s="150">
        <v>401.8</v>
      </c>
      <c r="K132" s="92">
        <f t="shared" si="8"/>
        <v>-1162</v>
      </c>
      <c r="L132" s="209"/>
    </row>
    <row r="133" spans="1:53">
      <c r="A133" s="7" t="s">
        <v>20</v>
      </c>
      <c r="C133" s="152">
        <v>-262</v>
      </c>
      <c r="D133" s="152">
        <v>-149.80000000000001</v>
      </c>
      <c r="E133" s="152">
        <v>143</v>
      </c>
      <c r="F133" s="152">
        <v>128.30000000000001</v>
      </c>
      <c r="G133" s="152"/>
      <c r="H133" s="152"/>
      <c r="I133" s="152">
        <v>-14.4</v>
      </c>
      <c r="J133" s="152"/>
      <c r="K133" s="94">
        <f t="shared" si="8"/>
        <v>-154.9</v>
      </c>
      <c r="L133" s="209"/>
    </row>
    <row r="134" spans="1:53" ht="15.75" thickBot="1">
      <c r="A134" s="11" t="s">
        <v>248</v>
      </c>
      <c r="C134" s="86">
        <f>SUM(C115:C133)</f>
        <v>-4008.4</v>
      </c>
      <c r="D134" s="86">
        <f t="shared" ref="D134:J134" si="9">SUM(D115:D133)</f>
        <v>0</v>
      </c>
      <c r="E134" s="86">
        <f t="shared" si="9"/>
        <v>14.400000000000063</v>
      </c>
      <c r="F134" s="86">
        <f t="shared" si="9"/>
        <v>1183.8</v>
      </c>
      <c r="G134" s="86">
        <f t="shared" si="9"/>
        <v>0</v>
      </c>
      <c r="H134" s="86">
        <f t="shared" si="9"/>
        <v>124.3</v>
      </c>
      <c r="I134" s="86">
        <f t="shared" si="9"/>
        <v>-221.3</v>
      </c>
      <c r="J134" s="86">
        <f t="shared" si="9"/>
        <v>1349.3999999999999</v>
      </c>
      <c r="K134" s="90">
        <f>SUM(K115:K133)</f>
        <v>-1557.8000000000002</v>
      </c>
      <c r="L134" s="216"/>
    </row>
    <row r="135" spans="1:53">
      <c r="A135" s="210"/>
    </row>
    <row r="136" spans="1:53" ht="109.7" customHeight="1">
      <c r="A136" s="381" t="s">
        <v>253</v>
      </c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382"/>
      <c r="P136" s="382"/>
      <c r="Q136" s="382"/>
      <c r="R136" s="382"/>
      <c r="S136" s="382"/>
      <c r="T136" s="382"/>
      <c r="U136" s="382"/>
      <c r="V136" s="382"/>
      <c r="W136" s="382"/>
      <c r="X136" s="382"/>
      <c r="Y136" s="382"/>
      <c r="Z136" s="382"/>
      <c r="AA136" s="382"/>
      <c r="AB136" s="382"/>
      <c r="AC136" s="382"/>
      <c r="AD136" s="382"/>
      <c r="AE136" s="382"/>
      <c r="AF136" s="382"/>
      <c r="AG136" s="382"/>
      <c r="AH136" s="382"/>
      <c r="AI136" s="382"/>
      <c r="AJ136" s="382"/>
      <c r="AK136" s="382"/>
      <c r="AL136" s="382"/>
      <c r="AM136" s="382"/>
      <c r="AN136" s="382"/>
      <c r="AO136" s="382"/>
      <c r="AP136" s="382"/>
      <c r="AQ136" s="382"/>
      <c r="AR136" s="382"/>
      <c r="AS136" s="382"/>
      <c r="AT136" s="382"/>
      <c r="AU136" s="382"/>
      <c r="AV136" s="382"/>
      <c r="AW136" s="382"/>
    </row>
    <row r="137" spans="1:53">
      <c r="B137" s="380"/>
      <c r="C137" s="380"/>
      <c r="D137" s="380"/>
      <c r="E137" s="380"/>
      <c r="F137" s="380"/>
      <c r="G137" s="215"/>
      <c r="H137" s="215"/>
      <c r="I137" s="215"/>
      <c r="J137" s="213"/>
      <c r="K137" s="213"/>
      <c r="L137" s="213"/>
      <c r="M137" s="213"/>
      <c r="N137" s="213"/>
      <c r="O137" s="213"/>
      <c r="P137" s="213"/>
      <c r="Q137" s="213"/>
      <c r="R137" s="213"/>
      <c r="S137" s="213"/>
      <c r="T137" s="213"/>
      <c r="U137" s="213"/>
      <c r="V137" s="213"/>
      <c r="W137" s="213"/>
      <c r="X137" s="213"/>
      <c r="Y137" s="213"/>
      <c r="Z137" s="213"/>
      <c r="AA137" s="213"/>
      <c r="AB137" s="213"/>
      <c r="AC137" s="213"/>
      <c r="AD137" s="213"/>
      <c r="AE137" s="213"/>
      <c r="AF137" s="213"/>
      <c r="AG137" s="213"/>
      <c r="AH137" s="213"/>
      <c r="AI137" s="213"/>
      <c r="AJ137" s="213"/>
      <c r="AK137" s="213"/>
      <c r="AL137" s="213"/>
      <c r="AM137" s="213"/>
      <c r="AN137" s="213"/>
      <c r="AO137" s="213"/>
      <c r="AP137" s="213"/>
      <c r="AQ137" s="214"/>
      <c r="AR137" s="213"/>
      <c r="AS137" s="213"/>
      <c r="AT137" s="210"/>
      <c r="AU137" s="210"/>
      <c r="AV137" s="210"/>
      <c r="AW137" s="210"/>
      <c r="AX137" s="210"/>
      <c r="AY137" s="210"/>
      <c r="AZ137" s="210"/>
      <c r="BA137" s="210"/>
    </row>
    <row r="138" spans="1:53">
      <c r="A138" s="20" t="s">
        <v>212</v>
      </c>
    </row>
    <row r="139" spans="1:53" ht="13.5" thickBot="1">
      <c r="A139" s="35"/>
      <c r="C139" s="35"/>
    </row>
    <row r="140" spans="1:53" ht="104.45" customHeight="1">
      <c r="A140" s="34" t="s">
        <v>235</v>
      </c>
      <c r="B140" s="237"/>
      <c r="C140" s="4" t="s">
        <v>293</v>
      </c>
      <c r="D140" s="4" t="s">
        <v>277</v>
      </c>
      <c r="E140" s="4" t="s">
        <v>278</v>
      </c>
      <c r="F140" s="4" t="s">
        <v>279</v>
      </c>
      <c r="G140" s="4" t="s">
        <v>280</v>
      </c>
      <c r="H140" s="4" t="s">
        <v>281</v>
      </c>
      <c r="I140" s="4" t="s">
        <v>282</v>
      </c>
      <c r="J140" s="240" t="s">
        <v>283</v>
      </c>
      <c r="K140" s="237"/>
      <c r="L140" s="237"/>
      <c r="M140" s="237"/>
      <c r="N140" s="237"/>
      <c r="O140" s="245"/>
      <c r="P140" s="237"/>
      <c r="Q140" s="237"/>
      <c r="R140" s="237"/>
      <c r="S140" s="237"/>
      <c r="T140" s="239"/>
      <c r="U140" s="239"/>
      <c r="V140" s="239"/>
      <c r="W140" s="239"/>
      <c r="X140" s="239"/>
      <c r="Y140" s="239"/>
      <c r="Z140" s="239"/>
      <c r="AA140" s="239"/>
      <c r="AB140" s="239"/>
      <c r="AC140" s="239"/>
      <c r="AD140" s="239"/>
      <c r="AE140" s="239"/>
      <c r="AF140" s="239"/>
      <c r="AG140" s="239"/>
      <c r="AH140" s="239"/>
      <c r="AI140" s="239"/>
      <c r="AJ140" s="239"/>
    </row>
    <row r="141" spans="1:53" ht="15">
      <c r="A141" s="34"/>
      <c r="B141" s="237"/>
      <c r="C141" s="6" t="s">
        <v>1</v>
      </c>
      <c r="D141" s="6" t="s">
        <v>1</v>
      </c>
      <c r="E141" s="6" t="s">
        <v>1</v>
      </c>
      <c r="F141" s="6" t="s">
        <v>1</v>
      </c>
      <c r="G141" s="6" t="s">
        <v>1</v>
      </c>
      <c r="H141" s="6" t="s">
        <v>1</v>
      </c>
      <c r="I141" s="6" t="s">
        <v>1</v>
      </c>
      <c r="J141" s="182" t="s">
        <v>1</v>
      </c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</row>
    <row r="142" spans="1:53">
      <c r="A142" s="7" t="s">
        <v>284</v>
      </c>
      <c r="B142" s="236"/>
      <c r="C142" s="149">
        <v>-95.7</v>
      </c>
      <c r="D142" s="149"/>
      <c r="E142" s="149">
        <f>-31.9-48.1</f>
        <v>-80</v>
      </c>
      <c r="F142" s="149"/>
      <c r="G142" s="149">
        <v>16.100000000000001</v>
      </c>
      <c r="H142" s="149">
        <v>250</v>
      </c>
      <c r="I142" s="149"/>
      <c r="J142" s="241">
        <f t="shared" ref="J142:J160" si="10">SUM(C142:I142)</f>
        <v>90.4</v>
      </c>
      <c r="K142" s="236"/>
      <c r="L142" s="238"/>
      <c r="M142" s="238"/>
      <c r="N142" s="238"/>
      <c r="O142" s="238"/>
      <c r="P142" s="236"/>
      <c r="Q142" s="238"/>
      <c r="R142" s="238"/>
      <c r="S142" s="246"/>
      <c r="T142" s="238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</row>
    <row r="143" spans="1:53">
      <c r="A143" s="7" t="s">
        <v>3</v>
      </c>
      <c r="B143" s="236"/>
      <c r="C143" s="150"/>
      <c r="D143" s="150"/>
      <c r="E143" s="150">
        <v>-20.100000000000001</v>
      </c>
      <c r="F143" s="150"/>
      <c r="G143" s="150">
        <v>0.1</v>
      </c>
      <c r="H143" s="150">
        <v>200</v>
      </c>
      <c r="I143" s="150"/>
      <c r="J143" s="242">
        <f t="shared" si="10"/>
        <v>180</v>
      </c>
      <c r="K143" s="236"/>
      <c r="L143" s="238"/>
      <c r="M143" s="238"/>
      <c r="N143" s="238"/>
      <c r="O143" s="238"/>
      <c r="P143" s="236"/>
      <c r="Q143" s="238"/>
      <c r="R143" s="238"/>
      <c r="S143" s="246"/>
      <c r="T143" s="238"/>
      <c r="U143" s="238"/>
      <c r="V143" s="238"/>
      <c r="W143" s="238"/>
      <c r="X143" s="238"/>
      <c r="Y143" s="238"/>
      <c r="Z143" s="238"/>
      <c r="AA143" s="238"/>
      <c r="AB143" s="238"/>
      <c r="AC143" s="238"/>
      <c r="AD143" s="238"/>
      <c r="AE143" s="238"/>
      <c r="AF143" s="238"/>
      <c r="AG143" s="238"/>
      <c r="AH143" s="238"/>
      <c r="AI143" s="238"/>
      <c r="AJ143" s="238"/>
    </row>
    <row r="144" spans="1:53" ht="22.5">
      <c r="A144" s="7" t="s">
        <v>285</v>
      </c>
      <c r="B144" s="236"/>
      <c r="C144" s="150">
        <v>-95.8</v>
      </c>
      <c r="D144" s="150"/>
      <c r="E144" s="150">
        <v>-65.400000000000006</v>
      </c>
      <c r="F144" s="150"/>
      <c r="G144" s="150">
        <v>-149.4</v>
      </c>
      <c r="H144" s="150">
        <v>600</v>
      </c>
      <c r="I144" s="150"/>
      <c r="J144" s="242">
        <f t="shared" si="10"/>
        <v>289.39999999999998</v>
      </c>
      <c r="K144" s="236"/>
      <c r="L144" s="238"/>
      <c r="M144" s="238"/>
      <c r="N144" s="238"/>
      <c r="O144" s="238"/>
      <c r="P144" s="236"/>
      <c r="Q144" s="238"/>
      <c r="R144" s="238"/>
      <c r="S144" s="246"/>
      <c r="T144" s="238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238"/>
      <c r="AI144" s="238"/>
      <c r="AJ144" s="238"/>
    </row>
    <row r="145" spans="1:36">
      <c r="A145" s="8" t="s">
        <v>5</v>
      </c>
      <c r="B145" s="236"/>
      <c r="C145" s="151"/>
      <c r="D145" s="151"/>
      <c r="E145" s="151">
        <v>-32.9</v>
      </c>
      <c r="F145" s="151"/>
      <c r="G145" s="151">
        <v>-0.4</v>
      </c>
      <c r="H145" s="151">
        <v>200</v>
      </c>
      <c r="I145" s="151">
        <v>-21.8</v>
      </c>
      <c r="J145" s="243">
        <f t="shared" si="10"/>
        <v>144.89999999999998</v>
      </c>
      <c r="K145" s="236"/>
      <c r="L145" s="238"/>
      <c r="M145" s="238"/>
      <c r="N145" s="238"/>
      <c r="O145" s="238"/>
      <c r="P145" s="236"/>
      <c r="Q145" s="238"/>
      <c r="R145" s="238"/>
      <c r="S145" s="246"/>
      <c r="T145" s="238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38"/>
      <c r="AI145" s="238"/>
      <c r="AJ145" s="238"/>
    </row>
    <row r="146" spans="1:36">
      <c r="A146" s="7" t="s">
        <v>6</v>
      </c>
      <c r="B146" s="236"/>
      <c r="C146" s="150"/>
      <c r="D146" s="150"/>
      <c r="E146" s="150">
        <v>-29.9</v>
      </c>
      <c r="F146" s="150"/>
      <c r="G146" s="150"/>
      <c r="H146" s="150">
        <v>1115</v>
      </c>
      <c r="I146" s="150"/>
      <c r="J146" s="242">
        <f t="shared" si="10"/>
        <v>1085.0999999999999</v>
      </c>
      <c r="K146" s="236"/>
      <c r="L146" s="238"/>
      <c r="M146" s="238"/>
      <c r="N146" s="238"/>
      <c r="O146" s="238"/>
      <c r="P146" s="236"/>
      <c r="Q146" s="238"/>
      <c r="R146" s="238"/>
      <c r="S146" s="246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</row>
    <row r="147" spans="1:36">
      <c r="A147" s="7" t="s">
        <v>286</v>
      </c>
      <c r="B147" s="236"/>
      <c r="C147" s="150"/>
      <c r="D147" s="150"/>
      <c r="E147" s="150">
        <v>-5.7</v>
      </c>
      <c r="F147" s="150"/>
      <c r="G147" s="150"/>
      <c r="H147" s="150">
        <v>57.2</v>
      </c>
      <c r="I147" s="150"/>
      <c r="J147" s="242">
        <f t="shared" si="10"/>
        <v>51.5</v>
      </c>
      <c r="K147" s="236"/>
      <c r="L147" s="238"/>
      <c r="M147" s="238"/>
      <c r="N147" s="238"/>
      <c r="O147" s="238"/>
      <c r="P147" s="236"/>
      <c r="Q147" s="238"/>
      <c r="R147" s="238"/>
      <c r="S147" s="246"/>
      <c r="T147" s="238"/>
      <c r="U147" s="238"/>
      <c r="V147" s="238"/>
      <c r="W147" s="238"/>
      <c r="X147" s="238"/>
      <c r="Y147" s="238"/>
      <c r="Z147" s="238"/>
      <c r="AA147" s="238"/>
      <c r="AB147" s="238"/>
      <c r="AC147" s="238"/>
      <c r="AD147" s="238"/>
      <c r="AE147" s="238"/>
      <c r="AF147" s="238"/>
      <c r="AG147" s="238"/>
      <c r="AH147" s="238"/>
      <c r="AI147" s="238"/>
      <c r="AJ147" s="238"/>
    </row>
    <row r="148" spans="1:36">
      <c r="A148" s="7" t="s">
        <v>8</v>
      </c>
      <c r="B148" s="236"/>
      <c r="C148" s="150">
        <f>-11.2-841.3+14-95.7+861.4</f>
        <v>-72.800000000000068</v>
      </c>
      <c r="D148" s="150"/>
      <c r="E148" s="150">
        <v>-49</v>
      </c>
      <c r="F148" s="150"/>
      <c r="G148" s="150">
        <v>50</v>
      </c>
      <c r="H148" s="150">
        <v>1000</v>
      </c>
      <c r="I148" s="150"/>
      <c r="J148" s="242">
        <f t="shared" si="10"/>
        <v>928.19999999999993</v>
      </c>
      <c r="K148" s="236"/>
      <c r="L148" s="238"/>
      <c r="M148" s="238"/>
      <c r="N148" s="238"/>
      <c r="O148" s="238"/>
      <c r="P148" s="236"/>
      <c r="Q148" s="238"/>
      <c r="R148" s="238"/>
      <c r="S148" s="246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</row>
    <row r="149" spans="1:36">
      <c r="A149" s="8" t="s">
        <v>9</v>
      </c>
      <c r="B149" s="236"/>
      <c r="C149" s="151"/>
      <c r="D149" s="151"/>
      <c r="E149" s="151">
        <v>-35.6</v>
      </c>
      <c r="F149" s="151"/>
      <c r="G149" s="151"/>
      <c r="H149" s="151">
        <v>324.5</v>
      </c>
      <c r="I149" s="151"/>
      <c r="J149" s="243">
        <f t="shared" si="10"/>
        <v>288.89999999999998</v>
      </c>
      <c r="K149" s="236"/>
      <c r="L149" s="238"/>
      <c r="M149" s="238"/>
      <c r="N149" s="238"/>
      <c r="O149" s="238"/>
      <c r="P149" s="236"/>
      <c r="Q149" s="238"/>
      <c r="R149" s="238"/>
      <c r="S149" s="246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238"/>
      <c r="AH149" s="238"/>
      <c r="AI149" s="238"/>
      <c r="AJ149" s="238"/>
    </row>
    <row r="150" spans="1:36">
      <c r="A150" s="7" t="s">
        <v>10</v>
      </c>
      <c r="B150" s="236"/>
      <c r="C150" s="150"/>
      <c r="D150" s="150"/>
      <c r="E150" s="150">
        <v>-10.199999999999999</v>
      </c>
      <c r="F150" s="150"/>
      <c r="G150" s="150"/>
      <c r="H150" s="150">
        <v>550</v>
      </c>
      <c r="I150" s="150"/>
      <c r="J150" s="242">
        <f t="shared" si="10"/>
        <v>539.79999999999995</v>
      </c>
      <c r="K150" s="236"/>
      <c r="L150" s="238"/>
      <c r="M150" s="238"/>
      <c r="N150" s="238"/>
      <c r="O150" s="238"/>
      <c r="P150" s="236"/>
      <c r="Q150" s="238"/>
      <c r="R150" s="238"/>
      <c r="S150" s="246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</row>
    <row r="151" spans="1:36">
      <c r="A151" s="9" t="s">
        <v>287</v>
      </c>
      <c r="B151" s="236"/>
      <c r="C151" s="150"/>
      <c r="D151" s="150"/>
      <c r="E151" s="150">
        <v>-39.6</v>
      </c>
      <c r="F151" s="150"/>
      <c r="G151" s="150">
        <v>4.9000000000000004</v>
      </c>
      <c r="H151" s="150">
        <v>400</v>
      </c>
      <c r="I151" s="150"/>
      <c r="J151" s="242">
        <f t="shared" si="10"/>
        <v>365.3</v>
      </c>
      <c r="K151" s="236"/>
      <c r="L151" s="238"/>
      <c r="M151" s="238"/>
      <c r="N151" s="238"/>
      <c r="O151" s="238"/>
      <c r="P151" s="236"/>
      <c r="Q151" s="238"/>
      <c r="R151" s="238"/>
      <c r="S151" s="246"/>
      <c r="T151" s="238"/>
      <c r="U151" s="238"/>
      <c r="V151" s="238"/>
      <c r="W151" s="238"/>
      <c r="X151" s="238"/>
      <c r="Y151" s="238"/>
      <c r="Z151" s="238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</row>
    <row r="152" spans="1:36">
      <c r="A152" s="7" t="s">
        <v>288</v>
      </c>
      <c r="B152" s="236"/>
      <c r="C152" s="150">
        <v>-95.7</v>
      </c>
      <c r="D152" s="150">
        <v>141.5</v>
      </c>
      <c r="E152" s="150">
        <v>-52.9</v>
      </c>
      <c r="F152" s="150"/>
      <c r="G152" s="150">
        <v>86.9</v>
      </c>
      <c r="H152" s="150">
        <v>667.5</v>
      </c>
      <c r="I152" s="150"/>
      <c r="J152" s="242">
        <f t="shared" si="10"/>
        <v>747.3</v>
      </c>
      <c r="K152" s="236"/>
      <c r="L152" s="238"/>
      <c r="M152" s="238"/>
      <c r="N152" s="238"/>
      <c r="O152" s="238"/>
      <c r="P152" s="236"/>
      <c r="Q152" s="238"/>
      <c r="R152" s="238"/>
      <c r="S152" s="246"/>
      <c r="T152" s="238"/>
      <c r="U152" s="238"/>
      <c r="V152" s="238"/>
      <c r="W152" s="238"/>
      <c r="X152" s="238"/>
      <c r="Y152" s="238"/>
      <c r="Z152" s="238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</row>
    <row r="153" spans="1:36" ht="22.5">
      <c r="A153" s="8" t="s">
        <v>289</v>
      </c>
      <c r="B153" s="236"/>
      <c r="C153" s="151">
        <v>-95.7</v>
      </c>
      <c r="D153" s="151"/>
      <c r="E153" s="151">
        <v>-53.6</v>
      </c>
      <c r="F153" s="151"/>
      <c r="G153" s="151">
        <v>40.5</v>
      </c>
      <c r="H153" s="151">
        <v>223.5</v>
      </c>
      <c r="I153" s="151">
        <f>-177.6+7.8</f>
        <v>-169.79999999999998</v>
      </c>
      <c r="J153" s="243">
        <f t="shared" si="10"/>
        <v>-55.099999999999994</v>
      </c>
      <c r="K153" s="236"/>
      <c r="L153" s="238"/>
      <c r="M153" s="238"/>
      <c r="N153" s="238"/>
      <c r="O153" s="238"/>
      <c r="P153" s="236"/>
      <c r="Q153" s="238"/>
      <c r="R153" s="238"/>
      <c r="S153" s="246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</row>
    <row r="154" spans="1:36">
      <c r="A154" s="7" t="s">
        <v>14</v>
      </c>
      <c r="B154" s="236"/>
      <c r="C154" s="150">
        <v>-95.7</v>
      </c>
      <c r="D154" s="150"/>
      <c r="E154" s="150">
        <v>-52.5</v>
      </c>
      <c r="F154" s="150"/>
      <c r="G154" s="150">
        <v>877.4</v>
      </c>
      <c r="H154" s="150">
        <v>300</v>
      </c>
      <c r="I154" s="150">
        <v>-680</v>
      </c>
      <c r="J154" s="242">
        <f t="shared" si="10"/>
        <v>349.20000000000005</v>
      </c>
      <c r="K154" s="236"/>
      <c r="L154" s="238"/>
      <c r="M154" s="238"/>
      <c r="N154" s="238"/>
      <c r="O154" s="238"/>
      <c r="P154" s="236"/>
      <c r="Q154" s="238"/>
      <c r="R154" s="238"/>
      <c r="S154" s="246"/>
      <c r="T154" s="238"/>
      <c r="U154" s="238"/>
      <c r="V154" s="238"/>
      <c r="W154" s="238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38"/>
      <c r="AI154" s="238"/>
      <c r="AJ154" s="238"/>
    </row>
    <row r="155" spans="1:36">
      <c r="A155" s="7" t="s">
        <v>290</v>
      </c>
      <c r="B155" s="236"/>
      <c r="C155" s="150"/>
      <c r="D155" s="150"/>
      <c r="E155" s="150">
        <v>-56.6</v>
      </c>
      <c r="F155" s="150"/>
      <c r="G155" s="150"/>
      <c r="H155" s="150">
        <v>723.6</v>
      </c>
      <c r="I155" s="150"/>
      <c r="J155" s="242">
        <f t="shared" si="10"/>
        <v>667</v>
      </c>
      <c r="K155" s="236"/>
      <c r="L155" s="238"/>
      <c r="M155" s="238"/>
      <c r="N155" s="238"/>
      <c r="O155" s="238"/>
      <c r="P155" s="236"/>
      <c r="Q155" s="238"/>
      <c r="R155" s="238"/>
      <c r="S155" s="246"/>
      <c r="T155" s="238"/>
      <c r="U155" s="238"/>
      <c r="V155" s="238"/>
      <c r="W155" s="238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</row>
    <row r="156" spans="1:36">
      <c r="A156" s="9" t="s">
        <v>16</v>
      </c>
      <c r="B156" s="236"/>
      <c r="C156" s="150"/>
      <c r="D156" s="150"/>
      <c r="E156" s="150">
        <v>-27.2</v>
      </c>
      <c r="F156" s="150"/>
      <c r="G156" s="150"/>
      <c r="H156" s="150">
        <v>400</v>
      </c>
      <c r="I156" s="150"/>
      <c r="J156" s="242">
        <f t="shared" si="10"/>
        <v>372.8</v>
      </c>
      <c r="K156" s="236"/>
      <c r="L156" s="238"/>
      <c r="M156" s="238"/>
      <c r="N156" s="238"/>
      <c r="O156" s="238"/>
      <c r="P156" s="236"/>
      <c r="Q156" s="238"/>
      <c r="R156" s="238"/>
      <c r="S156" s="246"/>
      <c r="T156" s="238"/>
      <c r="U156" s="238"/>
      <c r="V156" s="238"/>
      <c r="W156" s="238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38"/>
      <c r="AI156" s="238"/>
      <c r="AJ156" s="238"/>
    </row>
    <row r="157" spans="1:36">
      <c r="A157" s="8" t="s">
        <v>17</v>
      </c>
      <c r="B157" s="236"/>
      <c r="C157" s="151">
        <v>-95.7</v>
      </c>
      <c r="D157" s="151"/>
      <c r="E157" s="151">
        <f>16.2+18-66.1</f>
        <v>-31.899999999999991</v>
      </c>
      <c r="F157" s="151">
        <v>-230</v>
      </c>
      <c r="G157" s="151">
        <v>52.6</v>
      </c>
      <c r="H157" s="151">
        <v>1000</v>
      </c>
      <c r="I157" s="151"/>
      <c r="J157" s="243">
        <f t="shared" si="10"/>
        <v>695</v>
      </c>
      <c r="K157" s="236"/>
      <c r="L157" s="238"/>
      <c r="M157" s="238"/>
      <c r="N157" s="238"/>
      <c r="O157" s="238"/>
      <c r="P157" s="236"/>
      <c r="Q157" s="238"/>
      <c r="R157" s="238"/>
      <c r="S157" s="246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</row>
    <row r="158" spans="1:36">
      <c r="A158" s="10" t="s">
        <v>18</v>
      </c>
      <c r="B158" s="236"/>
      <c r="C158" s="150"/>
      <c r="D158" s="150"/>
      <c r="E158" s="150">
        <v>-24.8</v>
      </c>
      <c r="F158" s="150">
        <v>-90</v>
      </c>
      <c r="G158" s="150">
        <v>0</v>
      </c>
      <c r="H158" s="150">
        <v>0</v>
      </c>
      <c r="I158" s="150"/>
      <c r="J158" s="242">
        <f t="shared" si="10"/>
        <v>-114.8</v>
      </c>
      <c r="K158" s="236"/>
      <c r="L158" s="238"/>
      <c r="M158" s="238"/>
      <c r="N158" s="238"/>
      <c r="O158" s="238"/>
      <c r="P158" s="236"/>
      <c r="Q158" s="238"/>
      <c r="R158" s="238"/>
      <c r="S158" s="246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238"/>
      <c r="AI158" s="238"/>
      <c r="AJ158" s="238"/>
    </row>
    <row r="159" spans="1:36">
      <c r="A159" s="7" t="s">
        <v>291</v>
      </c>
      <c r="B159" s="236"/>
      <c r="C159" s="150">
        <v>-95.7</v>
      </c>
      <c r="D159" s="150">
        <v>31.7</v>
      </c>
      <c r="E159" s="150">
        <v>-165</v>
      </c>
      <c r="F159" s="150">
        <v>-530</v>
      </c>
      <c r="G159" s="150">
        <v>73.7</v>
      </c>
      <c r="H159" s="150">
        <v>0</v>
      </c>
      <c r="I159" s="150">
        <f>-287.6</f>
        <v>-287.60000000000002</v>
      </c>
      <c r="J159" s="242">
        <f t="shared" si="10"/>
        <v>-972.9</v>
      </c>
      <c r="K159" s="236"/>
      <c r="L159" s="238"/>
      <c r="M159" s="238"/>
      <c r="N159" s="238"/>
      <c r="O159" s="247"/>
      <c r="P159" s="236"/>
      <c r="Q159" s="238"/>
      <c r="R159" s="238"/>
      <c r="S159" s="246"/>
      <c r="T159" s="238"/>
      <c r="U159" s="238"/>
      <c r="V159" s="238"/>
      <c r="W159" s="238"/>
      <c r="X159" s="238"/>
      <c r="Y159" s="238"/>
      <c r="Z159" s="238"/>
      <c r="AA159" s="238"/>
      <c r="AB159" s="238"/>
      <c r="AC159" s="238"/>
      <c r="AD159" s="238"/>
      <c r="AE159" s="238"/>
      <c r="AF159" s="238"/>
      <c r="AG159" s="238"/>
      <c r="AH159" s="238"/>
      <c r="AI159" s="238"/>
      <c r="AJ159" s="238"/>
    </row>
    <row r="160" spans="1:36" ht="22.5">
      <c r="A160" s="7" t="s">
        <v>292</v>
      </c>
      <c r="B160" s="236"/>
      <c r="C160" s="152">
        <v>-95.7</v>
      </c>
      <c r="D160" s="152"/>
      <c r="E160" s="152">
        <v>-53.7</v>
      </c>
      <c r="F160" s="152"/>
      <c r="G160" s="152">
        <v>119.3</v>
      </c>
      <c r="H160" s="152">
        <v>400</v>
      </c>
      <c r="I160" s="152">
        <v>-45</v>
      </c>
      <c r="J160" s="244">
        <f t="shared" si="10"/>
        <v>324.89999999999998</v>
      </c>
      <c r="K160" s="236"/>
      <c r="L160" s="238"/>
      <c r="M160" s="238"/>
      <c r="N160" s="238"/>
      <c r="O160" s="238"/>
      <c r="P160" s="236"/>
      <c r="Q160" s="238"/>
      <c r="R160" s="238"/>
      <c r="S160" s="246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</row>
    <row r="161" spans="1:52" ht="15.75" thickBot="1">
      <c r="A161" s="11" t="s">
        <v>248</v>
      </c>
      <c r="B161" s="216"/>
      <c r="C161" s="86">
        <f t="shared" ref="C161:J161" si="11">SUM(C142:C160)</f>
        <v>-838.50000000000023</v>
      </c>
      <c r="D161" s="86">
        <f t="shared" si="11"/>
        <v>173.2</v>
      </c>
      <c r="E161" s="86">
        <f t="shared" si="11"/>
        <v>-886.60000000000014</v>
      </c>
      <c r="F161" s="86">
        <f t="shared" si="11"/>
        <v>-850</v>
      </c>
      <c r="G161" s="86">
        <f t="shared" si="11"/>
        <v>1171.7</v>
      </c>
      <c r="H161" s="86">
        <f t="shared" si="11"/>
        <v>8411.2999999999993</v>
      </c>
      <c r="I161" s="86">
        <f t="shared" si="11"/>
        <v>-1204.2</v>
      </c>
      <c r="J161" s="181">
        <f t="shared" si="11"/>
        <v>5976.9</v>
      </c>
      <c r="K161" s="216"/>
      <c r="L161" s="216"/>
      <c r="M161" s="216"/>
      <c r="N161" s="216"/>
      <c r="O161" s="216"/>
      <c r="P161" s="216"/>
      <c r="Q161" s="216"/>
      <c r="R161" s="216"/>
      <c r="S161" s="248"/>
      <c r="T161" s="216"/>
      <c r="U161" s="216"/>
      <c r="V161" s="216"/>
      <c r="W161" s="216"/>
      <c r="X161" s="216"/>
      <c r="Y161" s="216"/>
      <c r="Z161" s="216"/>
      <c r="AA161" s="216"/>
      <c r="AB161" s="216"/>
      <c r="AC161" s="216"/>
      <c r="AD161" s="216"/>
      <c r="AE161" s="216"/>
      <c r="AF161" s="216"/>
      <c r="AG161" s="216"/>
      <c r="AH161" s="216"/>
      <c r="AI161" s="216"/>
      <c r="AJ161" s="216"/>
    </row>
    <row r="162" spans="1:52">
      <c r="A162" s="233"/>
      <c r="B162" s="234"/>
      <c r="C162" s="234"/>
      <c r="D162" s="234"/>
      <c r="E162" s="234"/>
      <c r="F162" s="234"/>
      <c r="G162" s="234"/>
      <c r="H162" s="234"/>
      <c r="I162" s="234"/>
      <c r="J162" s="234"/>
      <c r="K162" s="234"/>
      <c r="L162" s="234"/>
      <c r="M162" s="234"/>
      <c r="N162" s="234"/>
      <c r="O162" s="234"/>
      <c r="P162" s="234"/>
      <c r="Q162" s="234"/>
      <c r="R162" s="234"/>
      <c r="S162" s="234"/>
      <c r="T162" s="234"/>
      <c r="U162" s="234"/>
      <c r="V162" s="234"/>
      <c r="W162" s="234"/>
      <c r="X162" s="234"/>
      <c r="Y162" s="234"/>
      <c r="Z162" s="234"/>
      <c r="AA162" s="234"/>
      <c r="AB162" s="234"/>
      <c r="AC162" s="234"/>
      <c r="AD162" s="234"/>
      <c r="AE162" s="234"/>
      <c r="AF162" s="234"/>
      <c r="AG162" s="234"/>
      <c r="AH162" s="234"/>
      <c r="AI162" s="234"/>
      <c r="AJ162" s="234"/>
      <c r="AK162" s="234"/>
      <c r="AL162" s="234"/>
      <c r="AM162" s="234"/>
      <c r="AN162" s="234"/>
      <c r="AO162" s="234"/>
      <c r="AP162" s="234"/>
      <c r="AQ162" s="234"/>
      <c r="AR162" s="234"/>
      <c r="AS162" s="234"/>
      <c r="AT162" s="234"/>
      <c r="AU162" s="234"/>
      <c r="AV162" s="234"/>
      <c r="AW162" s="234"/>
      <c r="AX162" s="234"/>
      <c r="AY162" s="234"/>
      <c r="AZ162" s="234"/>
    </row>
    <row r="163" spans="1:52">
      <c r="A163" s="385" t="s">
        <v>294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85"/>
      <c r="AA163" s="385"/>
      <c r="AB163" s="385"/>
      <c r="AC163" s="385"/>
      <c r="AD163" s="385"/>
      <c r="AE163" s="385"/>
      <c r="AF163" s="385"/>
      <c r="AG163" s="385"/>
      <c r="AH163" s="385"/>
      <c r="AI163" s="385"/>
      <c r="AJ163" s="385"/>
      <c r="AK163" s="385"/>
      <c r="AL163" s="385"/>
      <c r="AM163" s="385"/>
      <c r="AN163" s="385"/>
      <c r="AO163" s="385"/>
      <c r="AP163" s="385"/>
      <c r="AQ163" s="385"/>
      <c r="AR163" s="385"/>
      <c r="AS163" s="385"/>
      <c r="AT163" s="385"/>
      <c r="AU163" s="385"/>
      <c r="AV163" s="385"/>
      <c r="AW163" s="385"/>
      <c r="AX163" s="385"/>
      <c r="AY163" s="385"/>
      <c r="AZ163" s="385"/>
    </row>
    <row r="164" spans="1:52" ht="28.35" customHeight="1">
      <c r="A164" s="386" t="s">
        <v>296</v>
      </c>
      <c r="B164" s="386"/>
      <c r="C164" s="386"/>
      <c r="D164" s="386"/>
      <c r="E164" s="386"/>
      <c r="F164" s="386"/>
      <c r="G164" s="386"/>
      <c r="H164" s="386"/>
      <c r="I164" s="386"/>
      <c r="J164" s="386"/>
      <c r="K164" s="386"/>
      <c r="L164" s="386"/>
      <c r="M164" s="386"/>
      <c r="N164" s="386"/>
      <c r="O164" s="386"/>
      <c r="P164" s="386"/>
      <c r="Q164" s="386"/>
      <c r="R164" s="386"/>
      <c r="S164" s="386"/>
      <c r="T164" s="386"/>
      <c r="U164" s="386"/>
      <c r="V164" s="386"/>
      <c r="W164" s="386"/>
      <c r="X164" s="386"/>
      <c r="Y164" s="386"/>
      <c r="Z164" s="386"/>
      <c r="AA164" s="386"/>
      <c r="AB164" s="386"/>
      <c r="AC164" s="386"/>
      <c r="AD164" s="386"/>
      <c r="AE164" s="386"/>
      <c r="AF164" s="386"/>
      <c r="AG164" s="386"/>
      <c r="AH164" s="386"/>
      <c r="AI164" s="386"/>
      <c r="AJ164" s="386"/>
      <c r="AK164" s="386"/>
      <c r="AL164" s="386"/>
      <c r="AM164" s="386"/>
      <c r="AN164" s="386"/>
      <c r="AO164" s="386"/>
      <c r="AP164" s="386"/>
      <c r="AQ164" s="386"/>
      <c r="AR164" s="386"/>
      <c r="AS164" s="386"/>
      <c r="AT164" s="386"/>
      <c r="AU164" s="386"/>
      <c r="AV164" s="386"/>
      <c r="AW164" s="386"/>
      <c r="AX164" s="386"/>
      <c r="AY164" s="386"/>
      <c r="AZ164" s="386"/>
    </row>
    <row r="165" spans="1:52" ht="70.349999999999994" customHeight="1">
      <c r="A165" s="386" t="s">
        <v>295</v>
      </c>
      <c r="B165" s="386"/>
      <c r="C165" s="386"/>
      <c r="D165" s="386"/>
      <c r="E165" s="386"/>
      <c r="F165" s="386"/>
      <c r="G165" s="386"/>
      <c r="H165" s="386"/>
      <c r="I165" s="386"/>
      <c r="J165" s="386"/>
      <c r="K165" s="386"/>
      <c r="L165" s="386"/>
      <c r="M165" s="386"/>
      <c r="N165" s="386"/>
      <c r="O165" s="386"/>
      <c r="P165" s="386"/>
      <c r="Q165" s="386"/>
      <c r="R165" s="386"/>
      <c r="S165" s="386"/>
      <c r="T165" s="386"/>
      <c r="U165" s="386"/>
      <c r="V165" s="386"/>
      <c r="W165" s="386"/>
      <c r="X165" s="386"/>
      <c r="Y165" s="386"/>
      <c r="Z165" s="386"/>
      <c r="AA165" s="386"/>
      <c r="AB165" s="386"/>
      <c r="AC165" s="386"/>
      <c r="AD165" s="386"/>
      <c r="AE165" s="386"/>
      <c r="AF165" s="386"/>
      <c r="AG165" s="386"/>
      <c r="AH165" s="386"/>
      <c r="AI165" s="386"/>
      <c r="AJ165" s="386"/>
      <c r="AK165" s="386"/>
      <c r="AL165" s="386"/>
      <c r="AM165" s="386"/>
      <c r="AN165" s="386"/>
      <c r="AO165" s="386"/>
      <c r="AP165" s="386"/>
      <c r="AQ165" s="386"/>
      <c r="AR165" s="386"/>
      <c r="AS165" s="386"/>
      <c r="AT165" s="386"/>
      <c r="AU165" s="386"/>
      <c r="AV165" s="386"/>
      <c r="AW165" s="386"/>
      <c r="AX165" s="386"/>
      <c r="AY165" s="386"/>
      <c r="AZ165" s="386"/>
    </row>
  </sheetData>
  <mergeCells count="41">
    <mergeCell ref="A165:AZ165"/>
    <mergeCell ref="B137:F137"/>
    <mergeCell ref="A58:A59"/>
    <mergeCell ref="C58:E58"/>
    <mergeCell ref="F58:F59"/>
    <mergeCell ref="G58:G59"/>
    <mergeCell ref="A163:AZ163"/>
    <mergeCell ref="A164:AZ164"/>
    <mergeCell ref="H58:H59"/>
    <mergeCell ref="I58:I59"/>
    <mergeCell ref="J58:J59"/>
    <mergeCell ref="N84:N85"/>
    <mergeCell ref="A6:A7"/>
    <mergeCell ref="C6:S6"/>
    <mergeCell ref="J84:J85"/>
    <mergeCell ref="M84:M85"/>
    <mergeCell ref="A32:A33"/>
    <mergeCell ref="C32:J32"/>
    <mergeCell ref="A136:AW136"/>
    <mergeCell ref="L113:L114"/>
    <mergeCell ref="G84:G85"/>
    <mergeCell ref="H84:H85"/>
    <mergeCell ref="I84:I85"/>
    <mergeCell ref="K84:K85"/>
    <mergeCell ref="L84:L85"/>
    <mergeCell ref="A84:A85"/>
    <mergeCell ref="C84:C85"/>
    <mergeCell ref="I112:I113"/>
    <mergeCell ref="J112:J113"/>
    <mergeCell ref="E84:E85"/>
    <mergeCell ref="F84:F85"/>
    <mergeCell ref="D84:D85"/>
    <mergeCell ref="B109:F109"/>
    <mergeCell ref="A108:AY108"/>
    <mergeCell ref="A112:A113"/>
    <mergeCell ref="C112:C113"/>
    <mergeCell ref="D112:D113"/>
    <mergeCell ref="E112:E113"/>
    <mergeCell ref="F112:F113"/>
    <mergeCell ref="G112:G113"/>
    <mergeCell ref="H112:H113"/>
  </mergeCells>
  <phoneticPr fontId="6" type="noConversion"/>
  <pageMargins left="0.74803149606299213" right="0.95" top="0.47244094488188981" bottom="0.47244094488188981" header="0.35433070866141736" footer="0.23622047244094491"/>
  <pageSetup paperSize="5" orientation="landscape" r:id="rId1"/>
  <headerFooter alignWithMargins="0">
    <oddFooter>&amp;L&amp;Z&amp;F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B1:C10"/>
  <sheetViews>
    <sheetView workbookViewId="0">
      <selection activeCell="F11" sqref="F11"/>
    </sheetView>
  </sheetViews>
  <sheetFormatPr baseColWidth="10" defaultRowHeight="12.75"/>
  <cols>
    <col min="1" max="1" width="3" customWidth="1"/>
  </cols>
  <sheetData>
    <row r="1" spans="2:3" ht="13.5" thickBot="1"/>
    <row r="2" spans="2:3">
      <c r="B2" s="72" t="s">
        <v>37</v>
      </c>
      <c r="C2" s="73"/>
    </row>
    <row r="3" spans="2:3">
      <c r="B3" s="74"/>
      <c r="C3" s="75"/>
    </row>
    <row r="4" spans="2:3">
      <c r="B4" s="74">
        <v>2016</v>
      </c>
      <c r="C4" s="117">
        <v>0.01</v>
      </c>
    </row>
    <row r="5" spans="2:3">
      <c r="B5" s="74">
        <v>2017</v>
      </c>
      <c r="C5" s="76">
        <v>0.01</v>
      </c>
    </row>
    <row r="6" spans="2:3">
      <c r="B6" s="74">
        <v>2018</v>
      </c>
      <c r="C6" s="76">
        <v>0.01</v>
      </c>
    </row>
    <row r="7" spans="2:3">
      <c r="B7" s="231">
        <v>2019</v>
      </c>
      <c r="C7" s="232">
        <v>1.4999999999999999E-2</v>
      </c>
    </row>
    <row r="8" spans="2:3">
      <c r="B8" s="74">
        <v>2020</v>
      </c>
      <c r="C8" s="76">
        <v>0.01</v>
      </c>
    </row>
    <row r="9" spans="2:3">
      <c r="B9" s="74">
        <v>2021</v>
      </c>
      <c r="C9" s="76">
        <v>0.01</v>
      </c>
    </row>
    <row r="10" spans="2:3" ht="13.5" thickBot="1">
      <c r="B10" s="77">
        <v>2022</v>
      </c>
      <c r="C10" s="78">
        <v>0.01</v>
      </c>
    </row>
  </sheetData>
  <phoneticPr fontId="8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</sheetPr>
  <dimension ref="A2:U59"/>
  <sheetViews>
    <sheetView zoomScaleNormal="100" workbookViewId="0">
      <pane xSplit="1" topLeftCell="B1" activePane="topRight" state="frozen"/>
      <selection activeCell="A4" sqref="A4"/>
      <selection pane="topRight" activeCell="F70" sqref="F70"/>
    </sheetView>
  </sheetViews>
  <sheetFormatPr baseColWidth="10" defaultRowHeight="12.75"/>
  <cols>
    <col min="1" max="1" width="32.42578125" style="2" bestFit="1" customWidth="1"/>
    <col min="2" max="2" width="1.5703125" style="2" customWidth="1"/>
    <col min="3" max="3" width="10.7109375" style="2" customWidth="1"/>
    <col min="4" max="4" width="11.5703125" style="2" customWidth="1"/>
    <col min="5" max="7" width="10.42578125" style="2" customWidth="1"/>
    <col min="8" max="9" width="11.5703125" style="2" customWidth="1"/>
    <col min="10" max="10" width="10.140625" style="2" customWidth="1"/>
    <col min="11" max="11" width="1.5703125" style="2" customWidth="1"/>
    <col min="12" max="12" width="11.42578125" style="2" customWidth="1"/>
    <col min="13" max="13" width="11.42578125" style="2"/>
    <col min="14" max="14" width="12" style="2" customWidth="1"/>
    <col min="15" max="15" width="11.42578125" style="2"/>
    <col min="16" max="16" width="12.42578125" style="2" customWidth="1"/>
    <col min="17" max="20" width="11.42578125" style="2"/>
    <col min="21" max="21" width="11.42578125" style="2" customWidth="1"/>
    <col min="22" max="16384" width="11.42578125" style="2"/>
  </cols>
  <sheetData>
    <row r="2" spans="1:21" ht="15.75">
      <c r="A2" s="1" t="s">
        <v>40</v>
      </c>
      <c r="B2" s="1"/>
      <c r="C2" s="81"/>
      <c r="D2" s="1"/>
      <c r="E2" s="1"/>
      <c r="F2" s="1"/>
    </row>
    <row r="3" spans="1:21" ht="15.75">
      <c r="A3" s="1"/>
      <c r="B3" s="1"/>
    </row>
    <row r="4" spans="1:21" ht="15.75">
      <c r="A4" s="20" t="s">
        <v>132</v>
      </c>
      <c r="B4" s="1"/>
      <c r="C4" s="1"/>
    </row>
    <row r="5" spans="1:21" ht="13.5" customHeight="1" thickBot="1"/>
    <row r="6" spans="1:21" ht="63.75" customHeight="1">
      <c r="A6" s="352" t="s">
        <v>0</v>
      </c>
      <c r="B6" s="3"/>
      <c r="C6" s="4" t="s">
        <v>83</v>
      </c>
      <c r="D6" s="4" t="s">
        <v>92</v>
      </c>
      <c r="E6" s="4" t="s">
        <v>97</v>
      </c>
      <c r="F6" s="4" t="s">
        <v>99</v>
      </c>
      <c r="G6" s="4" t="s">
        <v>200</v>
      </c>
      <c r="H6" s="4" t="s">
        <v>201</v>
      </c>
      <c r="I6" s="4" t="s">
        <v>202</v>
      </c>
      <c r="J6" s="4" t="s">
        <v>298</v>
      </c>
      <c r="K6" s="4"/>
      <c r="L6" s="4" t="s">
        <v>84</v>
      </c>
      <c r="M6" s="4" t="s">
        <v>93</v>
      </c>
      <c r="N6" s="4" t="s">
        <v>98</v>
      </c>
      <c r="O6" s="4" t="s">
        <v>100</v>
      </c>
      <c r="P6" s="4" t="s">
        <v>203</v>
      </c>
      <c r="Q6" s="4" t="s">
        <v>204</v>
      </c>
      <c r="R6" s="4" t="s">
        <v>205</v>
      </c>
      <c r="S6" s="4" t="s">
        <v>299</v>
      </c>
    </row>
    <row r="7" spans="1:21" ht="18" customHeight="1">
      <c r="A7" s="353"/>
      <c r="B7" s="5"/>
      <c r="C7" s="16" t="s">
        <v>41</v>
      </c>
      <c r="D7" s="16" t="s">
        <v>41</v>
      </c>
      <c r="E7" s="16" t="s">
        <v>41</v>
      </c>
      <c r="F7" s="16" t="s">
        <v>41</v>
      </c>
      <c r="G7" s="16" t="s">
        <v>41</v>
      </c>
      <c r="H7" s="16" t="s">
        <v>41</v>
      </c>
      <c r="I7" s="16" t="s">
        <v>41</v>
      </c>
      <c r="J7" s="16" t="s">
        <v>41</v>
      </c>
      <c r="K7" s="26"/>
      <c r="L7" s="16" t="s">
        <v>43</v>
      </c>
      <c r="M7" s="16" t="s">
        <v>43</v>
      </c>
      <c r="N7" s="16" t="s">
        <v>110</v>
      </c>
      <c r="O7" s="16" t="s">
        <v>110</v>
      </c>
      <c r="P7" s="16" t="s">
        <v>110</v>
      </c>
      <c r="Q7" s="16" t="s">
        <v>110</v>
      </c>
      <c r="R7" s="16" t="s">
        <v>110</v>
      </c>
      <c r="S7" s="16" t="s">
        <v>110</v>
      </c>
    </row>
    <row r="8" spans="1:21" ht="14.25" customHeight="1">
      <c r="A8" s="7" t="s">
        <v>4</v>
      </c>
      <c r="B8" s="7"/>
      <c r="C8" s="59">
        <v>83022</v>
      </c>
      <c r="D8" s="59">
        <v>83499</v>
      </c>
      <c r="E8" s="59">
        <v>83922</v>
      </c>
      <c r="F8" s="59">
        <v>84384</v>
      </c>
      <c r="G8" s="59">
        <v>85013</v>
      </c>
      <c r="H8" s="59">
        <v>85409</v>
      </c>
      <c r="I8" s="59">
        <v>85860</v>
      </c>
      <c r="J8" s="59">
        <v>86642</v>
      </c>
      <c r="K8" s="24"/>
      <c r="L8" s="40">
        <v>1093300.25</v>
      </c>
      <c r="M8" s="40">
        <v>994452.83</v>
      </c>
      <c r="N8" s="40">
        <v>938951.67</v>
      </c>
      <c r="O8" s="40">
        <v>923291.58000000007</v>
      </c>
      <c r="P8" s="40">
        <v>523083.20999999996</v>
      </c>
      <c r="Q8" s="40">
        <v>954367.15</v>
      </c>
      <c r="R8" s="40">
        <v>920645.44</v>
      </c>
      <c r="S8" s="40">
        <v>913732.43</v>
      </c>
    </row>
    <row r="9" spans="1:21" ht="14.25" customHeight="1">
      <c r="A9" s="7" t="s">
        <v>15</v>
      </c>
      <c r="B9" s="7"/>
      <c r="C9" s="59">
        <v>41066</v>
      </c>
      <c r="D9" s="59">
        <v>41352</v>
      </c>
      <c r="E9" s="59">
        <v>41558</v>
      </c>
      <c r="F9" s="59">
        <v>41707</v>
      </c>
      <c r="G9" s="59">
        <v>42037</v>
      </c>
      <c r="H9" s="59">
        <v>42316</v>
      </c>
      <c r="I9" s="59">
        <v>42583</v>
      </c>
      <c r="J9" s="59">
        <v>42771</v>
      </c>
      <c r="K9" s="24"/>
      <c r="L9" s="40">
        <v>4892199.26</v>
      </c>
      <c r="M9" s="40">
        <v>4768126.99</v>
      </c>
      <c r="N9" s="40">
        <v>4598507.4000000004</v>
      </c>
      <c r="O9" s="40">
        <v>4512773.57</v>
      </c>
      <c r="P9" s="40">
        <v>4173973.3199999994</v>
      </c>
      <c r="Q9" s="40">
        <v>4098239.4099999997</v>
      </c>
      <c r="R9" s="40">
        <v>4128185.83</v>
      </c>
      <c r="S9" s="40">
        <v>4006913.4499999997</v>
      </c>
    </row>
    <row r="10" spans="1:21" ht="14.25" customHeight="1">
      <c r="A10" s="8" t="s">
        <v>17</v>
      </c>
      <c r="B10" s="7"/>
      <c r="C10" s="66">
        <v>40580</v>
      </c>
      <c r="D10" s="66">
        <v>41681</v>
      </c>
      <c r="E10" s="66">
        <v>42851</v>
      </c>
      <c r="F10" s="66">
        <v>43747</v>
      </c>
      <c r="G10" s="66">
        <v>44595</v>
      </c>
      <c r="H10" s="66">
        <v>45526</v>
      </c>
      <c r="I10" s="66">
        <v>46371</v>
      </c>
      <c r="J10" s="66">
        <v>47675</v>
      </c>
      <c r="K10" s="24"/>
      <c r="L10" s="41">
        <v>3469632.16</v>
      </c>
      <c r="M10" s="41">
        <v>3523173.99</v>
      </c>
      <c r="N10" s="41">
        <v>3486160.2100000004</v>
      </c>
      <c r="O10" s="41">
        <v>3461947.97</v>
      </c>
      <c r="P10" s="41">
        <v>3487756.63</v>
      </c>
      <c r="Q10" s="41">
        <v>3557216.3299999996</v>
      </c>
      <c r="R10" s="41">
        <v>3256369.91</v>
      </c>
      <c r="S10" s="40">
        <v>3231186.9600000004</v>
      </c>
    </row>
    <row r="11" spans="1:21" ht="7.5" customHeight="1">
      <c r="A11" s="135"/>
    </row>
    <row r="12" spans="1:21" ht="15.75">
      <c r="A12" s="20" t="s">
        <v>162</v>
      </c>
      <c r="B12" s="1"/>
      <c r="C12" s="1"/>
      <c r="D12" s="1"/>
      <c r="H12" s="58"/>
      <c r="I12" s="58"/>
      <c r="K12" s="63"/>
    </row>
    <row r="13" spans="1:21" ht="13.5" thickBot="1">
      <c r="A13" s="13"/>
      <c r="B13" s="13"/>
      <c r="C13" s="13"/>
      <c r="D13" s="13"/>
      <c r="E13" s="13"/>
      <c r="F13" s="13"/>
      <c r="G13" s="13"/>
      <c r="M13" s="38"/>
      <c r="N13" s="38"/>
      <c r="O13" s="38"/>
      <c r="P13" s="38"/>
      <c r="Q13" s="38"/>
      <c r="R13" s="38"/>
      <c r="S13" s="38"/>
    </row>
    <row r="14" spans="1:21" ht="67.5" customHeight="1">
      <c r="A14" s="352" t="s">
        <v>0</v>
      </c>
      <c r="B14" s="154"/>
      <c r="C14" s="4" t="s">
        <v>164</v>
      </c>
      <c r="D14" s="4" t="s">
        <v>24</v>
      </c>
      <c r="E14" s="4" t="s">
        <v>112</v>
      </c>
      <c r="F14" s="4" t="s">
        <v>113</v>
      </c>
      <c r="G14" s="118" t="s">
        <v>115</v>
      </c>
      <c r="H14" s="4" t="s">
        <v>165</v>
      </c>
      <c r="I14" s="4" t="s">
        <v>113</v>
      </c>
      <c r="J14" s="118" t="s">
        <v>115</v>
      </c>
      <c r="K14" s="345"/>
      <c r="L14" s="121" t="s">
        <v>171</v>
      </c>
      <c r="M14" s="28"/>
      <c r="N14" s="28"/>
      <c r="O14" s="28"/>
      <c r="P14" s="28"/>
      <c r="Q14" s="28"/>
      <c r="R14" s="28"/>
      <c r="S14" s="28"/>
    </row>
    <row r="15" spans="1:21">
      <c r="A15" s="353"/>
      <c r="B15" s="302"/>
      <c r="C15" s="16" t="s">
        <v>41</v>
      </c>
      <c r="D15" s="16"/>
      <c r="E15" s="16" t="s">
        <v>41</v>
      </c>
      <c r="F15" s="16" t="s">
        <v>114</v>
      </c>
      <c r="G15" s="119" t="s">
        <v>1</v>
      </c>
      <c r="H15" s="16" t="s">
        <v>161</v>
      </c>
      <c r="I15" s="16" t="s">
        <v>117</v>
      </c>
      <c r="J15" s="119" t="s">
        <v>1</v>
      </c>
      <c r="K15" s="346"/>
      <c r="L15" s="122" t="s">
        <v>1</v>
      </c>
      <c r="M15" s="70"/>
      <c r="N15" s="70"/>
      <c r="O15" s="70"/>
      <c r="P15" s="70"/>
      <c r="Q15" s="70"/>
      <c r="R15" s="70"/>
      <c r="S15" s="70"/>
    </row>
    <row r="16" spans="1:21">
      <c r="A16" s="249" t="s">
        <v>4</v>
      </c>
      <c r="B16" s="304"/>
      <c r="C16" s="250">
        <f>D8-C8</f>
        <v>477</v>
      </c>
      <c r="D16" s="251">
        <v>1.3288906838987615</v>
      </c>
      <c r="E16" s="250">
        <f>C16*D16</f>
        <v>633.88085621970924</v>
      </c>
      <c r="F16" s="252">
        <v>27.1977280786828</v>
      </c>
      <c r="G16" s="253">
        <f>E16*F16/1000</f>
        <v>17.240119161746282</v>
      </c>
      <c r="H16" s="250">
        <f>M8-L8</f>
        <v>-98847.420000000042</v>
      </c>
      <c r="I16" s="252">
        <v>5.0776495877236497E-2</v>
      </c>
      <c r="J16" s="253">
        <f>H16*I16/1000</f>
        <v>-5.0191256141054668</v>
      </c>
      <c r="K16" s="347"/>
      <c r="L16" s="255">
        <f>G16+J16</f>
        <v>12.220993547640816</v>
      </c>
      <c r="M16" s="27"/>
      <c r="N16" s="27"/>
      <c r="O16" s="27"/>
      <c r="P16" s="27"/>
      <c r="Q16" s="27"/>
      <c r="R16" s="27"/>
      <c r="S16" s="27"/>
      <c r="U16" s="124"/>
    </row>
    <row r="17" spans="1:21">
      <c r="A17" s="249" t="s">
        <v>15</v>
      </c>
      <c r="B17" s="304"/>
      <c r="C17" s="250">
        <f>D9-C9</f>
        <v>286</v>
      </c>
      <c r="D17" s="251">
        <v>1.2146429563767713</v>
      </c>
      <c r="E17" s="250">
        <f>C17*D17</f>
        <v>347.38788552375661</v>
      </c>
      <c r="F17" s="252">
        <v>27.1977280786828</v>
      </c>
      <c r="G17" s="253">
        <f>E17*F17/1000</f>
        <v>9.4481612483037214</v>
      </c>
      <c r="H17" s="250">
        <f>M9-L9</f>
        <v>-124072.26999999955</v>
      </c>
      <c r="I17" s="252">
        <v>5.0776495877236497E-2</v>
      </c>
      <c r="J17" s="253">
        <f>H17*I17/1000</f>
        <v>-6.2999551061343508</v>
      </c>
      <c r="K17" s="347"/>
      <c r="L17" s="255">
        <f>G17+J17</f>
        <v>3.1482061421693706</v>
      </c>
      <c r="M17" s="27"/>
      <c r="N17" s="27"/>
      <c r="O17" s="27"/>
      <c r="P17" s="27"/>
      <c r="Q17" s="27"/>
      <c r="R17" s="27"/>
      <c r="S17" s="27"/>
      <c r="U17" s="124"/>
    </row>
    <row r="18" spans="1:21" ht="13.5" thickBot="1">
      <c r="A18" s="269" t="s">
        <v>17</v>
      </c>
      <c r="B18" s="282"/>
      <c r="C18" s="271">
        <f>D10-C10</f>
        <v>1101</v>
      </c>
      <c r="D18" s="348">
        <v>1.2405805191180574</v>
      </c>
      <c r="E18" s="271">
        <f>C18*D18</f>
        <v>1365.8791515489813</v>
      </c>
      <c r="F18" s="274">
        <v>27.1977280786828</v>
      </c>
      <c r="G18" s="275">
        <f>E18*F18/1000</f>
        <v>37.148809752171168</v>
      </c>
      <c r="H18" s="271">
        <f>M10-L10</f>
        <v>53541.830000000075</v>
      </c>
      <c r="I18" s="274">
        <v>5.0776495877236497E-2</v>
      </c>
      <c r="J18" s="275">
        <f>H18*I18/1000</f>
        <v>2.7186665102547014</v>
      </c>
      <c r="K18" s="349"/>
      <c r="L18" s="277">
        <f>G18+J18</f>
        <v>39.867476262425868</v>
      </c>
      <c r="M18" s="27"/>
      <c r="N18" s="27"/>
      <c r="O18" s="27"/>
      <c r="P18" s="27"/>
      <c r="Q18" s="27"/>
      <c r="R18" s="27"/>
      <c r="S18" s="27"/>
      <c r="U18" s="124"/>
    </row>
    <row r="19" spans="1:21">
      <c r="A19" s="10"/>
      <c r="C19" s="58"/>
      <c r="D19" s="58"/>
      <c r="E19" s="58"/>
      <c r="F19" s="58"/>
      <c r="G19" s="58"/>
      <c r="H19" s="58"/>
      <c r="I19" s="58"/>
      <c r="J19" s="58"/>
    </row>
    <row r="20" spans="1:21" ht="15.75">
      <c r="A20" s="20" t="s">
        <v>29</v>
      </c>
      <c r="B20" s="1"/>
      <c r="C20" s="1"/>
      <c r="D20" s="1"/>
    </row>
    <row r="21" spans="1:21" ht="13.5" thickBot="1">
      <c r="A21" s="105"/>
      <c r="B21" s="105"/>
      <c r="C21" s="105"/>
      <c r="D21" s="105"/>
      <c r="E21" s="105"/>
      <c r="F21" s="105"/>
      <c r="G21" s="105"/>
      <c r="M21" s="38"/>
      <c r="N21" s="38"/>
      <c r="O21" s="38"/>
      <c r="P21" s="38"/>
      <c r="Q21" s="38"/>
      <c r="R21" s="38"/>
      <c r="S21" s="38"/>
    </row>
    <row r="22" spans="1:21" ht="67.5" customHeight="1">
      <c r="A22" s="352" t="s">
        <v>0</v>
      </c>
      <c r="B22" s="3"/>
      <c r="C22" s="4" t="s">
        <v>111</v>
      </c>
      <c r="D22" s="4" t="s">
        <v>24</v>
      </c>
      <c r="E22" s="4" t="s">
        <v>112</v>
      </c>
      <c r="F22" s="4" t="s">
        <v>166</v>
      </c>
      <c r="G22" s="118" t="s">
        <v>115</v>
      </c>
      <c r="H22" s="4" t="s">
        <v>116</v>
      </c>
      <c r="I22" s="4" t="s">
        <v>166</v>
      </c>
      <c r="J22" s="118" t="s">
        <v>115</v>
      </c>
      <c r="K22" s="4"/>
      <c r="L22" s="121" t="s">
        <v>171</v>
      </c>
      <c r="M22" s="28"/>
      <c r="N22" s="28"/>
      <c r="O22" s="28"/>
      <c r="P22" s="28"/>
      <c r="Q22" s="28"/>
      <c r="R22" s="28"/>
      <c r="S22" s="28"/>
    </row>
    <row r="23" spans="1:21">
      <c r="A23" s="353"/>
      <c r="B23" s="301"/>
      <c r="C23" s="16" t="s">
        <v>41</v>
      </c>
      <c r="D23" s="16"/>
      <c r="E23" s="16" t="s">
        <v>41</v>
      </c>
      <c r="F23" s="16" t="s">
        <v>114</v>
      </c>
      <c r="G23" s="119" t="s">
        <v>1</v>
      </c>
      <c r="H23" s="16" t="s">
        <v>43</v>
      </c>
      <c r="I23" s="16" t="s">
        <v>117</v>
      </c>
      <c r="J23" s="119" t="s">
        <v>1</v>
      </c>
      <c r="K23" s="350"/>
      <c r="L23" s="122" t="s">
        <v>1</v>
      </c>
      <c r="M23" s="70"/>
      <c r="N23" s="70"/>
      <c r="O23" s="70"/>
      <c r="P23" s="70"/>
      <c r="Q23" s="70"/>
      <c r="R23" s="70"/>
      <c r="S23" s="70"/>
    </row>
    <row r="24" spans="1:21">
      <c r="A24" s="249" t="s">
        <v>4</v>
      </c>
      <c r="B24" s="249"/>
      <c r="C24" s="250">
        <f>E8-D8</f>
        <v>423</v>
      </c>
      <c r="D24" s="251">
        <v>1.3288906838987615</v>
      </c>
      <c r="E24" s="250">
        <f>C24*D24</f>
        <v>562.12075928917614</v>
      </c>
      <c r="F24" s="252">
        <v>27.469705359469632</v>
      </c>
      <c r="G24" s="253">
        <f>E24*F24/1000</f>
        <v>15.441291634115021</v>
      </c>
      <c r="H24" s="250">
        <f>N8-M8</f>
        <v>-55501.159999999916</v>
      </c>
      <c r="I24" s="252">
        <v>5.1284260836008878E-2</v>
      </c>
      <c r="J24" s="253">
        <f>H24*I24/1000</f>
        <v>-2.8463359661410581</v>
      </c>
      <c r="K24" s="259"/>
      <c r="L24" s="255">
        <f>G24+J24</f>
        <v>12.594955667973963</v>
      </c>
      <c r="M24" s="27"/>
      <c r="N24" s="27"/>
      <c r="O24" s="27"/>
      <c r="P24" s="27"/>
      <c r="Q24" s="27"/>
      <c r="R24" s="27"/>
      <c r="S24" s="27"/>
      <c r="U24" s="124"/>
    </row>
    <row r="25" spans="1:21">
      <c r="A25" s="249" t="s">
        <v>15</v>
      </c>
      <c r="B25" s="249"/>
      <c r="C25" s="250">
        <f>E9-D9</f>
        <v>206</v>
      </c>
      <c r="D25" s="251">
        <v>1.2146429563767713</v>
      </c>
      <c r="E25" s="250">
        <f>C25*D25</f>
        <v>250.21644901361489</v>
      </c>
      <c r="F25" s="252">
        <v>27.469705359469625</v>
      </c>
      <c r="G25" s="253">
        <f>E25*F25/1000</f>
        <v>6.8733721304967546</v>
      </c>
      <c r="H25" s="250">
        <f>N9-M9</f>
        <v>-169619.58999999985</v>
      </c>
      <c r="I25" s="252">
        <v>5.1284260836008858E-2</v>
      </c>
      <c r="J25" s="253">
        <f>H25*I25/1000</f>
        <v>-8.698815296456873</v>
      </c>
      <c r="K25" s="259"/>
      <c r="L25" s="255">
        <f>G25+J25</f>
        <v>-1.8254431659601185</v>
      </c>
      <c r="M25" s="27"/>
      <c r="N25" s="27"/>
      <c r="O25" s="27"/>
      <c r="P25" s="27"/>
      <c r="Q25" s="27"/>
      <c r="R25" s="27"/>
      <c r="S25" s="27"/>
      <c r="U25" s="124"/>
    </row>
    <row r="26" spans="1:21" ht="13.5" thickBot="1">
      <c r="A26" s="269" t="s">
        <v>17</v>
      </c>
      <c r="B26" s="269"/>
      <c r="C26" s="271">
        <f>E10-D10</f>
        <v>1170</v>
      </c>
      <c r="D26" s="348">
        <v>1.2405805191180574</v>
      </c>
      <c r="E26" s="271">
        <f>C26*D26</f>
        <v>1451.4792073681272</v>
      </c>
      <c r="F26" s="274">
        <v>27.469705359469629</v>
      </c>
      <c r="G26" s="275">
        <f>E26*F26/1000</f>
        <v>39.871706161798969</v>
      </c>
      <c r="H26" s="271">
        <f>N10-M10</f>
        <v>-37013.779999999795</v>
      </c>
      <c r="I26" s="274">
        <v>5.1284260836008864E-2</v>
      </c>
      <c r="J26" s="275">
        <f>H26*I26/1000</f>
        <v>-1.8982243480466376</v>
      </c>
      <c r="K26" s="290"/>
      <c r="L26" s="277">
        <f>G26+J26</f>
        <v>37.973481813752329</v>
      </c>
      <c r="M26" s="27"/>
      <c r="N26" s="27"/>
      <c r="O26" s="27"/>
      <c r="P26" s="27"/>
      <c r="Q26" s="27"/>
      <c r="R26" s="27"/>
      <c r="S26" s="27"/>
      <c r="U26" s="124"/>
    </row>
    <row r="27" spans="1:21">
      <c r="A27" s="10" t="s">
        <v>167</v>
      </c>
      <c r="C27" s="58"/>
      <c r="D27" s="58"/>
      <c r="E27" s="58"/>
      <c r="F27" s="58"/>
      <c r="G27" s="58"/>
      <c r="H27" s="58"/>
      <c r="I27" s="58"/>
      <c r="J27" s="58"/>
    </row>
    <row r="28" spans="1:21" ht="15.75">
      <c r="A28" s="20" t="s">
        <v>30</v>
      </c>
      <c r="B28" s="1"/>
      <c r="C28" s="1"/>
      <c r="D28" s="1"/>
    </row>
    <row r="29" spans="1:21" ht="13.5" thickBot="1">
      <c r="A29" s="13"/>
      <c r="B29" s="13"/>
      <c r="C29" s="13"/>
      <c r="D29" s="13"/>
      <c r="E29" s="13"/>
      <c r="F29" s="13"/>
      <c r="G29" s="13"/>
      <c r="M29" s="38"/>
      <c r="N29" s="38"/>
      <c r="O29" s="38"/>
      <c r="P29" s="38"/>
      <c r="Q29" s="38"/>
      <c r="R29" s="38"/>
      <c r="S29" s="38"/>
    </row>
    <row r="30" spans="1:21" ht="67.5" customHeight="1">
      <c r="A30" s="352" t="s">
        <v>0</v>
      </c>
      <c r="B30" s="3"/>
      <c r="C30" s="4" t="s">
        <v>118</v>
      </c>
      <c r="D30" s="4" t="s">
        <v>24</v>
      </c>
      <c r="E30" s="4" t="s">
        <v>42</v>
      </c>
      <c r="F30" s="4" t="s">
        <v>113</v>
      </c>
      <c r="G30" s="118" t="s">
        <v>115</v>
      </c>
      <c r="H30" s="4" t="s">
        <v>119</v>
      </c>
      <c r="I30" s="4" t="s">
        <v>113</v>
      </c>
      <c r="J30" s="118" t="s">
        <v>115</v>
      </c>
      <c r="K30" s="4"/>
      <c r="L30" s="121" t="s">
        <v>171</v>
      </c>
      <c r="M30" s="28"/>
      <c r="N30" s="28"/>
      <c r="O30" s="28"/>
      <c r="P30" s="28"/>
      <c r="Q30" s="28"/>
      <c r="R30" s="28"/>
      <c r="S30" s="28"/>
    </row>
    <row r="31" spans="1:21">
      <c r="A31" s="353"/>
      <c r="B31" s="301"/>
      <c r="C31" s="16" t="s">
        <v>41</v>
      </c>
      <c r="D31" s="16"/>
      <c r="E31" s="16" t="s">
        <v>41</v>
      </c>
      <c r="F31" s="16" t="s">
        <v>114</v>
      </c>
      <c r="G31" s="119" t="s">
        <v>1</v>
      </c>
      <c r="H31" s="16" t="s">
        <v>43</v>
      </c>
      <c r="I31" s="16" t="s">
        <v>117</v>
      </c>
      <c r="J31" s="119" t="s">
        <v>1</v>
      </c>
      <c r="K31" s="350"/>
      <c r="L31" s="122" t="s">
        <v>1</v>
      </c>
      <c r="M31" s="70"/>
      <c r="N31" s="70"/>
      <c r="O31" s="70"/>
      <c r="P31" s="70"/>
      <c r="Q31" s="70"/>
      <c r="R31" s="70"/>
      <c r="S31" s="70"/>
    </row>
    <row r="32" spans="1:21">
      <c r="A32" s="249" t="s">
        <v>4</v>
      </c>
      <c r="B32" s="249"/>
      <c r="C32" s="250">
        <f>F8-E8</f>
        <v>462</v>
      </c>
      <c r="D32" s="251">
        <v>1.3288906838987615</v>
      </c>
      <c r="E32" s="307">
        <f>C32*D32</f>
        <v>613.94749596122779</v>
      </c>
      <c r="F32" s="252">
        <f ca="1">F24*(1+Indexation!$C$7)</f>
        <v>27.881750939861675</v>
      </c>
      <c r="G32" s="311">
        <f ca="1">E32*F32/1000</f>
        <v>17.117931172542686</v>
      </c>
      <c r="H32" s="250">
        <f ca="1">O8-N8</f>
        <v>-15660.089999999967</v>
      </c>
      <c r="I32" s="252">
        <f ca="1">I24*(1+Indexation!$C$7)</f>
        <v>5.2053524748549004E-2</v>
      </c>
      <c r="J32" s="311">
        <f>H32*I32/1000</f>
        <v>-0.81516288237950307</v>
      </c>
      <c r="K32" s="264"/>
      <c r="L32" s="312">
        <f>G32+J32</f>
        <v>16.302768290163183</v>
      </c>
      <c r="M32" s="27"/>
      <c r="N32" s="27"/>
      <c r="O32" s="27"/>
      <c r="P32" s="27"/>
      <c r="Q32" s="27"/>
      <c r="R32" s="27"/>
      <c r="S32" s="27"/>
    </row>
    <row r="33" spans="1:19">
      <c r="A33" s="249" t="s">
        <v>15</v>
      </c>
      <c r="B33" s="249"/>
      <c r="C33" s="250">
        <f>F9-E9</f>
        <v>149</v>
      </c>
      <c r="D33" s="251">
        <v>1.2146429563767713</v>
      </c>
      <c r="E33" s="307">
        <f>C33*D33</f>
        <v>180.98180050013892</v>
      </c>
      <c r="F33" s="252">
        <f ca="1">F25*(1+Indexation!$C$7)</f>
        <v>27.881750939861668</v>
      </c>
      <c r="G33" s="311">
        <f ca="1">E33*F33/1000</f>
        <v>5.0460894861926056</v>
      </c>
      <c r="H33" s="250">
        <f ca="1">O9-N9</f>
        <v>-85733.830000000075</v>
      </c>
      <c r="I33" s="252">
        <f ca="1">I25*(1+Indexation!$C$7)</f>
        <v>5.2053524748548984E-2</v>
      </c>
      <c r="J33" s="311">
        <f>H33*I33/1000</f>
        <v>-4.4627480416928949</v>
      </c>
      <c r="K33" s="264"/>
      <c r="L33" s="312">
        <f>G33+J33</f>
        <v>0.5833414444997107</v>
      </c>
      <c r="M33" s="27"/>
      <c r="N33" s="27"/>
      <c r="O33" s="27"/>
      <c r="P33" s="27"/>
      <c r="Q33" s="27"/>
      <c r="R33" s="27"/>
      <c r="S33" s="27"/>
    </row>
    <row r="34" spans="1:19" ht="13.5" thickBot="1">
      <c r="A34" s="269" t="s">
        <v>17</v>
      </c>
      <c r="B34" s="269"/>
      <c r="C34" s="271">
        <f>F10-E10</f>
        <v>896</v>
      </c>
      <c r="D34" s="348">
        <v>1.2405805191180574</v>
      </c>
      <c r="E34" s="279">
        <f>C34*D34</f>
        <v>1111.5601451297794</v>
      </c>
      <c r="F34" s="274">
        <f ca="1">F26*(1+Indexation!$C$7)</f>
        <v>27.881750939861671</v>
      </c>
      <c r="G34" s="314">
        <f ca="1">E34*F34/1000</f>
        <v>30.992243121185002</v>
      </c>
      <c r="H34" s="271">
        <f ca="1">O10-N10</f>
        <v>-24212.240000000224</v>
      </c>
      <c r="I34" s="274">
        <f ca="1">I26*(1+Indexation!$C$7)</f>
        <v>5.205352474854899E-2</v>
      </c>
      <c r="J34" s="314">
        <f>H34*I34/1000</f>
        <v>-1.2603324340578195</v>
      </c>
      <c r="K34" s="316"/>
      <c r="L34" s="315">
        <f>G34+J34</f>
        <v>29.731910687127183</v>
      </c>
      <c r="M34" s="27"/>
      <c r="N34" s="27"/>
      <c r="O34" s="27"/>
      <c r="P34" s="27"/>
      <c r="Q34" s="27"/>
      <c r="R34" s="27"/>
      <c r="S34" s="27"/>
    </row>
    <row r="35" spans="1:19">
      <c r="A35" s="10"/>
      <c r="C35" s="58"/>
      <c r="D35" s="58"/>
      <c r="E35" s="58"/>
      <c r="F35" s="58"/>
      <c r="G35" s="58"/>
      <c r="H35" s="58"/>
      <c r="I35" s="58"/>
      <c r="J35" s="58"/>
    </row>
    <row r="36" spans="1:19" ht="15.75">
      <c r="A36" s="20" t="s">
        <v>206</v>
      </c>
      <c r="B36" s="1"/>
      <c r="C36" s="1"/>
      <c r="D36" s="1"/>
    </row>
    <row r="37" spans="1:19" ht="13.5" thickBot="1">
      <c r="A37" s="13"/>
      <c r="B37" s="13"/>
      <c r="C37" s="13"/>
      <c r="D37" s="13"/>
      <c r="E37" s="13"/>
      <c r="F37" s="13"/>
      <c r="G37" s="13"/>
      <c r="M37" s="38"/>
      <c r="N37" s="38"/>
      <c r="O37" s="38"/>
      <c r="P37" s="38"/>
      <c r="Q37" s="38"/>
      <c r="R37" s="38"/>
      <c r="S37" s="38"/>
    </row>
    <row r="38" spans="1:19" ht="67.5" customHeight="1">
      <c r="A38" s="352" t="s">
        <v>0</v>
      </c>
      <c r="B38" s="3"/>
      <c r="C38" s="4" t="s">
        <v>207</v>
      </c>
      <c r="D38" s="4" t="s">
        <v>24</v>
      </c>
      <c r="E38" s="4" t="s">
        <v>42</v>
      </c>
      <c r="F38" s="4" t="s">
        <v>113</v>
      </c>
      <c r="G38" s="118" t="s">
        <v>115</v>
      </c>
      <c r="H38" s="4" t="s">
        <v>208</v>
      </c>
      <c r="I38" s="4" t="s">
        <v>113</v>
      </c>
      <c r="J38" s="118" t="s">
        <v>115</v>
      </c>
      <c r="K38" s="4"/>
      <c r="L38" s="121" t="s">
        <v>171</v>
      </c>
      <c r="M38" s="28"/>
      <c r="N38" s="28"/>
      <c r="O38" s="28"/>
      <c r="P38" s="28"/>
      <c r="Q38" s="28"/>
      <c r="R38" s="28"/>
      <c r="S38" s="28"/>
    </row>
    <row r="39" spans="1:19">
      <c r="A39" s="353"/>
      <c r="B39" s="301"/>
      <c r="C39" s="16" t="s">
        <v>41</v>
      </c>
      <c r="D39" s="16"/>
      <c r="E39" s="16" t="s">
        <v>41</v>
      </c>
      <c r="F39" s="16" t="s">
        <v>114</v>
      </c>
      <c r="G39" s="119" t="s">
        <v>1</v>
      </c>
      <c r="H39" s="16" t="s">
        <v>43</v>
      </c>
      <c r="I39" s="16" t="s">
        <v>117</v>
      </c>
      <c r="J39" s="119" t="s">
        <v>1</v>
      </c>
      <c r="K39" s="350"/>
      <c r="L39" s="122" t="s">
        <v>1</v>
      </c>
      <c r="M39" s="70"/>
      <c r="N39" s="70"/>
      <c r="O39" s="70"/>
      <c r="P39" s="70"/>
      <c r="Q39" s="70"/>
      <c r="R39" s="70"/>
      <c r="S39" s="70"/>
    </row>
    <row r="40" spans="1:19">
      <c r="A40" s="249" t="s">
        <v>4</v>
      </c>
      <c r="B40" s="249"/>
      <c r="C40" s="250">
        <f>G8-F8</f>
        <v>629</v>
      </c>
      <c r="D40" s="251">
        <v>1.3288906838987615</v>
      </c>
      <c r="E40" s="307">
        <f>C40*D40</f>
        <v>835.87224017232097</v>
      </c>
      <c r="F40" s="252">
        <f ca="1">F32*(1+Indexation!$C$8)</f>
        <v>28.160568449260293</v>
      </c>
      <c r="G40" s="311">
        <f ca="1">E40*F40/1000</f>
        <v>23.538637434209186</v>
      </c>
      <c r="H40" s="250">
        <f ca="1">P8-O8</f>
        <v>-400208.37000000011</v>
      </c>
      <c r="I40" s="252">
        <f ca="1">I32*(1+Indexation!$C$8)</f>
        <v>5.2574059996034497E-2</v>
      </c>
      <c r="J40" s="311">
        <f>H40*I40/1000</f>
        <v>-21.040578855295177</v>
      </c>
      <c r="K40" s="264"/>
      <c r="L40" s="312">
        <f>G40+J40</f>
        <v>2.4980585789140086</v>
      </c>
      <c r="M40" s="27"/>
      <c r="N40" s="27"/>
      <c r="O40" s="27"/>
      <c r="P40" s="27"/>
      <c r="Q40" s="27"/>
      <c r="R40" s="27"/>
      <c r="S40" s="27"/>
    </row>
    <row r="41" spans="1:19">
      <c r="A41" s="249" t="s">
        <v>15</v>
      </c>
      <c r="B41" s="249"/>
      <c r="C41" s="250">
        <f>G9-F9</f>
        <v>330</v>
      </c>
      <c r="D41" s="251">
        <v>1.2146429563767713</v>
      </c>
      <c r="E41" s="307">
        <f>C41*D41</f>
        <v>400.83217560433457</v>
      </c>
      <c r="F41" s="252">
        <f ca="1">F33*(1+Indexation!$C$8)</f>
        <v>28.160568449260285</v>
      </c>
      <c r="G41" s="311">
        <f ca="1">E41*F41/1000</f>
        <v>11.287661917771782</v>
      </c>
      <c r="H41" s="250">
        <f ca="1">P9-O9</f>
        <v>-338800.25000000093</v>
      </c>
      <c r="I41" s="252">
        <f ca="1">I33*(1+Indexation!$C$8)</f>
        <v>5.2574059996034476E-2</v>
      </c>
      <c r="J41" s="311">
        <f>H41*I41/1000</f>
        <v>-17.812104670171529</v>
      </c>
      <c r="K41" s="264"/>
      <c r="L41" s="312">
        <f>G41+J41</f>
        <v>-6.5244427523997466</v>
      </c>
      <c r="M41" s="27"/>
      <c r="N41" s="27"/>
      <c r="O41" s="27"/>
      <c r="P41" s="27"/>
      <c r="Q41" s="27"/>
      <c r="R41" s="27"/>
      <c r="S41" s="27"/>
    </row>
    <row r="42" spans="1:19" ht="13.5" thickBot="1">
      <c r="A42" s="269" t="s">
        <v>17</v>
      </c>
      <c r="B42" s="269"/>
      <c r="C42" s="271">
        <f>G10-F10</f>
        <v>848</v>
      </c>
      <c r="D42" s="348">
        <v>1.2405805191180574</v>
      </c>
      <c r="E42" s="279">
        <f>C42*D42</f>
        <v>1052.0122802121127</v>
      </c>
      <c r="F42" s="274">
        <f ca="1">F34*(1+Indexation!$C$8)</f>
        <v>28.160568449260289</v>
      </c>
      <c r="G42" s="314">
        <f ca="1">E42*F42/1000</f>
        <v>29.625263826375594</v>
      </c>
      <c r="H42" s="271">
        <f ca="1">P10-O10</f>
        <v>25808.659999999683</v>
      </c>
      <c r="I42" s="274">
        <f ca="1">I34*(1+Indexation!$C$8)</f>
        <v>5.2574059996034483E-2</v>
      </c>
      <c r="J42" s="314">
        <f>H42*I42/1000</f>
        <v>1.3568660392572387</v>
      </c>
      <c r="K42" s="316"/>
      <c r="L42" s="315">
        <f>G42+J42</f>
        <v>30.982129865632832</v>
      </c>
      <c r="M42" s="27"/>
      <c r="N42" s="27"/>
      <c r="O42" s="27"/>
      <c r="P42" s="27"/>
      <c r="Q42" s="27"/>
      <c r="R42" s="27"/>
      <c r="S42" s="27"/>
    </row>
    <row r="43" spans="1:19">
      <c r="A43" s="10"/>
      <c r="C43" s="58"/>
      <c r="D43" s="58"/>
      <c r="E43" s="58"/>
      <c r="F43" s="58"/>
      <c r="G43" s="58"/>
      <c r="H43" s="58"/>
      <c r="I43" s="58"/>
      <c r="J43" s="58"/>
    </row>
    <row r="44" spans="1:19" ht="15.75">
      <c r="A44" s="20" t="s">
        <v>209</v>
      </c>
      <c r="B44" s="1"/>
      <c r="C44" s="1"/>
      <c r="D44" s="1"/>
    </row>
    <row r="45" spans="1:19" ht="13.5" thickBot="1">
      <c r="A45" s="13"/>
      <c r="B45" s="13"/>
      <c r="C45" s="13"/>
      <c r="D45" s="13"/>
      <c r="E45" s="13"/>
      <c r="F45" s="13"/>
      <c r="G45" s="13"/>
      <c r="M45" s="38"/>
      <c r="N45" s="38"/>
      <c r="O45" s="38"/>
      <c r="P45" s="38"/>
      <c r="Q45" s="38"/>
      <c r="R45" s="38"/>
      <c r="S45" s="38"/>
    </row>
    <row r="46" spans="1:19" ht="67.5" customHeight="1">
      <c r="A46" s="352" t="s">
        <v>0</v>
      </c>
      <c r="B46" s="3"/>
      <c r="C46" s="4" t="s">
        <v>210</v>
      </c>
      <c r="D46" s="4" t="s">
        <v>24</v>
      </c>
      <c r="E46" s="4" t="s">
        <v>42</v>
      </c>
      <c r="F46" s="4" t="s">
        <v>113</v>
      </c>
      <c r="G46" s="118" t="s">
        <v>115</v>
      </c>
      <c r="H46" s="4" t="s">
        <v>211</v>
      </c>
      <c r="I46" s="4" t="s">
        <v>113</v>
      </c>
      <c r="J46" s="118" t="s">
        <v>115</v>
      </c>
      <c r="K46" s="4"/>
      <c r="L46" s="121" t="s">
        <v>171</v>
      </c>
      <c r="M46" s="28"/>
      <c r="N46" s="28"/>
      <c r="O46" s="28"/>
      <c r="P46" s="28"/>
      <c r="Q46" s="28"/>
      <c r="R46" s="28"/>
      <c r="S46" s="28"/>
    </row>
    <row r="47" spans="1:19">
      <c r="A47" s="353"/>
      <c r="B47" s="301"/>
      <c r="C47" s="16" t="s">
        <v>41</v>
      </c>
      <c r="D47" s="16"/>
      <c r="E47" s="16" t="s">
        <v>41</v>
      </c>
      <c r="F47" s="16" t="s">
        <v>114</v>
      </c>
      <c r="G47" s="119" t="s">
        <v>1</v>
      </c>
      <c r="H47" s="16" t="s">
        <v>43</v>
      </c>
      <c r="I47" s="16" t="s">
        <v>117</v>
      </c>
      <c r="J47" s="119" t="s">
        <v>1</v>
      </c>
      <c r="K47" s="350"/>
      <c r="L47" s="122" t="s">
        <v>1</v>
      </c>
      <c r="M47" s="70"/>
      <c r="N47" s="70"/>
      <c r="O47" s="70"/>
      <c r="P47" s="70"/>
      <c r="Q47" s="70"/>
      <c r="R47" s="70"/>
      <c r="S47" s="70"/>
    </row>
    <row r="48" spans="1:19">
      <c r="A48" s="249" t="s">
        <v>4</v>
      </c>
      <c r="B48" s="249"/>
      <c r="C48" s="250">
        <f>H8-G8</f>
        <v>396</v>
      </c>
      <c r="D48" s="251">
        <v>1.3288906838987615</v>
      </c>
      <c r="E48" s="307">
        <f>C48*D48</f>
        <v>526.24071082390958</v>
      </c>
      <c r="F48" s="252">
        <f ca="1">F40*(1+Indexation!$C$9)</f>
        <v>28.442174133752896</v>
      </c>
      <c r="G48" s="311">
        <f ca="1">E48*F48/1000</f>
        <v>14.967429933523539</v>
      </c>
      <c r="H48" s="250">
        <f ca="1">Q8-P8</f>
        <v>431283.94000000006</v>
      </c>
      <c r="I48" s="252">
        <f ca="1">I40*(1+Indexation!$C$9)</f>
        <v>5.3099800595994839E-2</v>
      </c>
      <c r="J48" s="311">
        <f>H48*I48/1000</f>
        <v>22.901091214255004</v>
      </c>
      <c r="K48" s="264"/>
      <c r="L48" s="312">
        <f>G48+J48</f>
        <v>37.868521147778544</v>
      </c>
      <c r="M48" s="27"/>
      <c r="N48" s="27"/>
      <c r="O48" s="27"/>
      <c r="P48" s="27"/>
      <c r="Q48" s="27"/>
      <c r="R48" s="27"/>
      <c r="S48" s="27"/>
    </row>
    <row r="49" spans="1:19">
      <c r="A49" s="249" t="s">
        <v>15</v>
      </c>
      <c r="B49" s="249"/>
      <c r="C49" s="250">
        <f>H9-G9</f>
        <v>279</v>
      </c>
      <c r="D49" s="251">
        <v>1.2146429563767713</v>
      </c>
      <c r="E49" s="307">
        <f>C49*D49</f>
        <v>338.88538482911918</v>
      </c>
      <c r="F49" s="252">
        <f ca="1">F41*(1+Indexation!$C$9)</f>
        <v>28.442174133752889</v>
      </c>
      <c r="G49" s="311">
        <f ca="1">E49*F49/1000</f>
        <v>9.6386371266936681</v>
      </c>
      <c r="H49" s="250">
        <f ca="1">Q9-P9</f>
        <v>-75733.909999999683</v>
      </c>
      <c r="I49" s="252">
        <f ca="1">I41*(1+Indexation!$C$9)</f>
        <v>5.3099800595994819E-2</v>
      </c>
      <c r="J49" s="311">
        <f>H49*I49/1000</f>
        <v>-4.0214555193550012</v>
      </c>
      <c r="K49" s="264"/>
      <c r="L49" s="312">
        <f>G49+J49</f>
        <v>5.6171816073386669</v>
      </c>
      <c r="M49" s="27"/>
      <c r="N49" s="27"/>
      <c r="O49" s="27"/>
      <c r="P49" s="27"/>
      <c r="Q49" s="27"/>
      <c r="R49" s="27"/>
      <c r="S49" s="27"/>
    </row>
    <row r="50" spans="1:19" ht="13.5" thickBot="1">
      <c r="A50" s="269" t="s">
        <v>17</v>
      </c>
      <c r="B50" s="269"/>
      <c r="C50" s="271">
        <f>H10-G10</f>
        <v>931</v>
      </c>
      <c r="D50" s="348">
        <v>1.2405805191180574</v>
      </c>
      <c r="E50" s="279">
        <f>C50*D50</f>
        <v>1154.9804632989114</v>
      </c>
      <c r="F50" s="274">
        <f ca="1">F42*(1+Indexation!$C$9)</f>
        <v>28.442174133752893</v>
      </c>
      <c r="G50" s="314">
        <f ca="1">E50*F50/1000</f>
        <v>32.850155458230233</v>
      </c>
      <c r="H50" s="271">
        <f ca="1">Q10-P10</f>
        <v>69459.699999999721</v>
      </c>
      <c r="I50" s="274">
        <f ca="1">I42*(1+Indexation!$C$9)</f>
        <v>5.3099800595994825E-2</v>
      </c>
      <c r="J50" s="314">
        <f>H50*I50/1000</f>
        <v>3.688296219457607</v>
      </c>
      <c r="K50" s="316"/>
      <c r="L50" s="315">
        <f>G50+J50</f>
        <v>36.538451677687839</v>
      </c>
      <c r="M50" s="27"/>
      <c r="N50" s="27"/>
      <c r="O50" s="27"/>
      <c r="P50" s="27"/>
      <c r="Q50" s="27"/>
      <c r="R50" s="27"/>
      <c r="S50" s="27"/>
    </row>
    <row r="51" spans="1:19">
      <c r="A51" s="10"/>
      <c r="C51" s="58"/>
      <c r="D51" s="58"/>
      <c r="E51" s="58"/>
      <c r="F51" s="58"/>
      <c r="G51" s="58"/>
      <c r="H51" s="58"/>
      <c r="I51" s="58"/>
      <c r="J51" s="58"/>
    </row>
    <row r="52" spans="1:19" ht="15.75">
      <c r="A52" s="20" t="s">
        <v>212</v>
      </c>
      <c r="B52" s="1"/>
      <c r="C52" s="1"/>
      <c r="D52" s="1"/>
    </row>
    <row r="53" spans="1:19" ht="13.5" thickBot="1">
      <c r="A53" s="13"/>
      <c r="B53" s="13"/>
      <c r="C53" s="13"/>
      <c r="D53" s="13"/>
      <c r="E53" s="13"/>
      <c r="F53" s="13"/>
      <c r="G53" s="13"/>
      <c r="M53" s="38"/>
      <c r="N53" s="38"/>
      <c r="O53" s="38"/>
      <c r="P53" s="38"/>
      <c r="Q53" s="38"/>
      <c r="R53" s="38"/>
      <c r="S53" s="38"/>
    </row>
    <row r="54" spans="1:19" ht="67.5" customHeight="1">
      <c r="A54" s="352" t="s">
        <v>0</v>
      </c>
      <c r="B54" s="3"/>
      <c r="C54" s="4" t="s">
        <v>274</v>
      </c>
      <c r="D54" s="4" t="s">
        <v>24</v>
      </c>
      <c r="E54" s="4" t="s">
        <v>42</v>
      </c>
      <c r="F54" s="4" t="s">
        <v>113</v>
      </c>
      <c r="G54" s="118" t="s">
        <v>115</v>
      </c>
      <c r="H54" s="4" t="s">
        <v>275</v>
      </c>
      <c r="I54" s="4" t="s">
        <v>113</v>
      </c>
      <c r="J54" s="118" t="s">
        <v>115</v>
      </c>
      <c r="K54" s="4"/>
      <c r="L54" s="121" t="s">
        <v>171</v>
      </c>
      <c r="M54" s="28"/>
      <c r="N54" s="28"/>
      <c r="O54" s="28"/>
      <c r="P54" s="28"/>
      <c r="Q54" s="28"/>
      <c r="R54" s="28"/>
      <c r="S54" s="28"/>
    </row>
    <row r="55" spans="1:19">
      <c r="A55" s="353"/>
      <c r="B55" s="301"/>
      <c r="C55" s="16" t="s">
        <v>41</v>
      </c>
      <c r="D55" s="16"/>
      <c r="E55" s="16" t="s">
        <v>41</v>
      </c>
      <c r="F55" s="16" t="s">
        <v>114</v>
      </c>
      <c r="G55" s="119" t="s">
        <v>1</v>
      </c>
      <c r="H55" s="16" t="s">
        <v>43</v>
      </c>
      <c r="I55" s="16" t="s">
        <v>117</v>
      </c>
      <c r="J55" s="119" t="s">
        <v>1</v>
      </c>
      <c r="K55" s="350"/>
      <c r="L55" s="122" t="s">
        <v>1</v>
      </c>
      <c r="M55" s="70"/>
      <c r="N55" s="70"/>
      <c r="O55" s="70"/>
      <c r="P55" s="70"/>
      <c r="Q55" s="70"/>
      <c r="R55" s="70"/>
      <c r="S55" s="70"/>
    </row>
    <row r="56" spans="1:19">
      <c r="A56" s="249" t="s">
        <v>4</v>
      </c>
      <c r="B56" s="249"/>
      <c r="C56" s="250">
        <f>I8-H8</f>
        <v>451</v>
      </c>
      <c r="D56" s="251">
        <v>1.3288906838987615</v>
      </c>
      <c r="E56" s="307">
        <f>C56*D56</f>
        <v>599.32969843834144</v>
      </c>
      <c r="F56" s="252">
        <f ca="1">F48*(1+Indexation!$C$10)</f>
        <v>28.726595875090425</v>
      </c>
      <c r="G56" s="311">
        <f ca="1">E56*F56/1000</f>
        <v>17.216702042978046</v>
      </c>
      <c r="H56" s="250">
        <f ca="1">R8-Q8</f>
        <v>-33721.710000000079</v>
      </c>
      <c r="I56" s="252">
        <f ca="1">I48*(1+Indexation!$C$10)</f>
        <v>5.3630798601954785E-2</v>
      </c>
      <c r="J56" s="311">
        <f>H56*I56/1000</f>
        <v>-1.808522237523529</v>
      </c>
      <c r="K56" s="264"/>
      <c r="L56" s="312">
        <f>G56+J56</f>
        <v>15.408179805454516</v>
      </c>
      <c r="M56" s="27"/>
      <c r="N56" s="27"/>
      <c r="O56" s="27"/>
      <c r="P56" s="27"/>
      <c r="Q56" s="27"/>
      <c r="R56" s="27"/>
      <c r="S56" s="27"/>
    </row>
    <row r="57" spans="1:19">
      <c r="A57" s="249" t="s">
        <v>15</v>
      </c>
      <c r="B57" s="249"/>
      <c r="C57" s="250">
        <f>I9-H9</f>
        <v>267</v>
      </c>
      <c r="D57" s="251">
        <v>1.2146429563767713</v>
      </c>
      <c r="E57" s="307">
        <f>C57*D57</f>
        <v>324.30966935259795</v>
      </c>
      <c r="F57" s="252">
        <f ca="1">F49*(1+Indexation!$C$10)</f>
        <v>28.726595875090418</v>
      </c>
      <c r="G57" s="311">
        <f ca="1">E57*F57/1000</f>
        <v>9.316312809876278</v>
      </c>
      <c r="H57" s="250">
        <f ca="1">R9-Q9</f>
        <v>29946.420000000391</v>
      </c>
      <c r="I57" s="252">
        <f ca="1">I49*(1+Indexation!$C$10)</f>
        <v>5.3630798601954764E-2</v>
      </c>
      <c r="J57" s="311">
        <f>H57*I57/1000</f>
        <v>1.6060504198695713</v>
      </c>
      <c r="K57" s="264"/>
      <c r="L57" s="312">
        <f>G57+J57</f>
        <v>10.92236322974585</v>
      </c>
      <c r="M57" s="27"/>
      <c r="N57" s="27"/>
      <c r="O57" s="27"/>
      <c r="P57" s="27"/>
      <c r="Q57" s="27"/>
      <c r="R57" s="27"/>
      <c r="S57" s="27"/>
    </row>
    <row r="58" spans="1:19" ht="13.5" thickBot="1">
      <c r="A58" s="269" t="s">
        <v>17</v>
      </c>
      <c r="B58" s="269"/>
      <c r="C58" s="271">
        <f>I10-H10</f>
        <v>845</v>
      </c>
      <c r="D58" s="348">
        <v>1.2405805191180574</v>
      </c>
      <c r="E58" s="279">
        <f>C58*D58</f>
        <v>1048.2905386547586</v>
      </c>
      <c r="F58" s="274">
        <f ca="1">F50*(1+Indexation!$C$10)</f>
        <v>28.726595875090421</v>
      </c>
      <c r="G58" s="314">
        <f ca="1">E58*F58/1000</f>
        <v>30.113818663616104</v>
      </c>
      <c r="H58" s="271">
        <f ca="1">R10-Q10</f>
        <v>-300846.41999999946</v>
      </c>
      <c r="I58" s="274">
        <f ca="1">I50*(1+Indexation!$C$10)</f>
        <v>5.3630798601954771E-2</v>
      </c>
      <c r="J58" s="314">
        <f>H58*I58/1000</f>
        <v>-16.134633761139067</v>
      </c>
      <c r="K58" s="316"/>
      <c r="L58" s="315">
        <f>G58+J58</f>
        <v>13.979184902477037</v>
      </c>
      <c r="M58" s="27"/>
      <c r="N58" s="27"/>
      <c r="O58" s="27"/>
      <c r="P58" s="27"/>
      <c r="Q58" s="27"/>
      <c r="R58" s="27"/>
      <c r="S58" s="27"/>
    </row>
    <row r="59" spans="1:19">
      <c r="A59" s="10"/>
      <c r="C59" s="58"/>
      <c r="D59" s="58"/>
      <c r="E59" s="58"/>
      <c r="F59" s="58"/>
      <c r="G59" s="58"/>
      <c r="H59" s="58"/>
      <c r="I59" s="58"/>
      <c r="J59" s="58"/>
    </row>
  </sheetData>
  <mergeCells count="7">
    <mergeCell ref="A46:A47"/>
    <mergeCell ref="A54:A55"/>
    <mergeCell ref="A30:A31"/>
    <mergeCell ref="A6:A7"/>
    <mergeCell ref="A22:A23"/>
    <mergeCell ref="A14:A15"/>
    <mergeCell ref="A38:A39"/>
  </mergeCells>
  <phoneticPr fontId="6" type="noConversion"/>
  <pageMargins left="0.74803149606299213" right="0.95" top="0.47244094488188981" bottom="0.47244094488188981" header="0.35433070866141736" footer="0.23622047244094491"/>
  <pageSetup orientation="portrait" r:id="rId1"/>
  <headerFooter alignWithMargins="0">
    <oddFooter>&amp;L&amp;Z&amp;F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2:W63"/>
  <sheetViews>
    <sheetView topLeftCell="M47" zoomScale="85" zoomScaleNormal="85" workbookViewId="0">
      <selection activeCell="Z57" sqref="Z57"/>
    </sheetView>
  </sheetViews>
  <sheetFormatPr baseColWidth="10" defaultRowHeight="12.75"/>
  <cols>
    <col min="1" max="1" width="32.42578125" style="63" bestFit="1" customWidth="1"/>
    <col min="2" max="2" width="1.5703125" style="2" customWidth="1"/>
    <col min="3" max="10" width="11.5703125" style="2" customWidth="1"/>
    <col min="11" max="11" width="14.5703125" style="2" customWidth="1"/>
    <col min="12" max="13" width="12.5703125" style="2" customWidth="1"/>
    <col min="14" max="14" width="11.5703125" style="2" customWidth="1"/>
    <col min="15" max="15" width="1.5703125" style="2" customWidth="1"/>
    <col min="16" max="21" width="11.5703125" style="2" customWidth="1"/>
    <col min="22" max="22" width="1.5703125" style="2" customWidth="1"/>
    <col min="23" max="23" width="12.140625" style="2" customWidth="1"/>
    <col min="24" max="24" width="1.42578125" style="2" customWidth="1"/>
    <col min="25" max="28" width="11.42578125" style="2"/>
    <col min="29" max="29" width="1.85546875" style="2" customWidth="1"/>
    <col min="30" max="30" width="11.42578125" style="2"/>
    <col min="31" max="31" width="1.85546875" style="2" customWidth="1"/>
    <col min="32" max="16384" width="11.42578125" style="2"/>
  </cols>
  <sheetData>
    <row r="2" spans="1:23" ht="15.75">
      <c r="A2" s="60" t="s">
        <v>71</v>
      </c>
      <c r="B2" s="1"/>
      <c r="C2" s="51"/>
      <c r="D2" s="51"/>
      <c r="E2" s="51"/>
      <c r="F2" s="51"/>
      <c r="G2" s="1"/>
      <c r="H2" s="1"/>
      <c r="I2" s="1"/>
      <c r="J2" s="1"/>
      <c r="K2" s="1"/>
      <c r="L2" s="1"/>
      <c r="M2" s="1"/>
      <c r="N2" s="1"/>
      <c r="O2" s="1"/>
      <c r="Q2" s="1"/>
      <c r="R2" s="1"/>
      <c r="S2" s="1"/>
      <c r="T2" s="1"/>
      <c r="U2" s="1"/>
      <c r="V2" s="1"/>
    </row>
    <row r="3" spans="1:23" ht="15.75">
      <c r="A3" s="60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</row>
    <row r="4" spans="1:23" s="55" customFormat="1" ht="15.75">
      <c r="A4" s="20" t="s">
        <v>162</v>
      </c>
      <c r="B4" s="56"/>
      <c r="C4" s="104"/>
      <c r="D4" s="104"/>
      <c r="E4" s="104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</row>
    <row r="5" spans="1:23" s="55" customFormat="1" ht="9" customHeight="1" thickBot="1">
      <c r="A5" s="330"/>
      <c r="B5" s="331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</row>
    <row r="6" spans="1:23" s="55" customFormat="1" ht="13.5" customHeight="1" thickBot="1">
      <c r="A6" s="352" t="s">
        <v>0</v>
      </c>
      <c r="B6" s="161"/>
      <c r="C6" s="357" t="s">
        <v>72</v>
      </c>
      <c r="D6" s="357"/>
      <c r="E6" s="357"/>
      <c r="F6" s="357"/>
      <c r="G6" s="357"/>
      <c r="H6" s="357"/>
      <c r="I6" s="357"/>
      <c r="J6" s="357"/>
      <c r="K6" s="357"/>
      <c r="L6" s="357"/>
      <c r="M6" s="357"/>
      <c r="N6" s="357"/>
      <c r="O6" s="161"/>
      <c r="P6" s="356" t="s">
        <v>79</v>
      </c>
      <c r="Q6" s="356"/>
      <c r="R6" s="356"/>
      <c r="S6" s="356"/>
      <c r="T6" s="356"/>
      <c r="U6" s="356"/>
      <c r="V6" s="161"/>
      <c r="W6" s="161"/>
    </row>
    <row r="7" spans="1:23" s="55" customFormat="1" ht="63.75" customHeight="1">
      <c r="A7" s="358"/>
      <c r="B7" s="297"/>
      <c r="C7" s="48" t="s">
        <v>73</v>
      </c>
      <c r="D7" s="296" t="s">
        <v>128</v>
      </c>
      <c r="E7" s="296" t="s">
        <v>129</v>
      </c>
      <c r="F7" s="332" t="s">
        <v>163</v>
      </c>
      <c r="G7" s="48" t="s">
        <v>76</v>
      </c>
      <c r="H7" s="48" t="s">
        <v>77</v>
      </c>
      <c r="I7" s="48" t="s">
        <v>131</v>
      </c>
      <c r="J7" s="48" t="s">
        <v>78</v>
      </c>
      <c r="K7" s="296" t="s">
        <v>120</v>
      </c>
      <c r="L7" s="296" t="s">
        <v>122</v>
      </c>
      <c r="M7" s="296" t="s">
        <v>113</v>
      </c>
      <c r="N7" s="299" t="s">
        <v>115</v>
      </c>
      <c r="O7" s="297"/>
      <c r="P7" s="67" t="s">
        <v>124</v>
      </c>
      <c r="Q7" s="67" t="s">
        <v>80</v>
      </c>
      <c r="R7" s="67" t="s">
        <v>125</v>
      </c>
      <c r="S7" s="67" t="s">
        <v>126</v>
      </c>
      <c r="T7" s="296" t="s">
        <v>113</v>
      </c>
      <c r="U7" s="299" t="s">
        <v>115</v>
      </c>
      <c r="V7" s="297"/>
      <c r="W7" s="121" t="s">
        <v>171</v>
      </c>
    </row>
    <row r="8" spans="1:23" s="55" customFormat="1" ht="17.25" customHeight="1">
      <c r="A8" s="358"/>
      <c r="B8" s="297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9" t="s">
        <v>47</v>
      </c>
      <c r="O8" s="297"/>
      <c r="P8" s="68"/>
      <c r="Q8" s="69">
        <v>2.5500451957059092</v>
      </c>
      <c r="R8" s="296"/>
      <c r="S8" s="296"/>
      <c r="T8" s="296"/>
      <c r="U8" s="299" t="s">
        <v>47</v>
      </c>
      <c r="V8" s="297"/>
      <c r="W8" s="300" t="s">
        <v>47</v>
      </c>
    </row>
    <row r="9" spans="1:23" s="55" customFormat="1" ht="18" customHeight="1">
      <c r="A9" s="33"/>
      <c r="B9" s="302"/>
      <c r="C9" s="16" t="s">
        <v>74</v>
      </c>
      <c r="D9" s="16" t="s">
        <v>74</v>
      </c>
      <c r="E9" s="16" t="s">
        <v>74</v>
      </c>
      <c r="F9" s="16"/>
      <c r="G9" s="16" t="s">
        <v>74</v>
      </c>
      <c r="H9" s="16" t="s">
        <v>74</v>
      </c>
      <c r="I9" s="16" t="s">
        <v>74</v>
      </c>
      <c r="J9" s="16" t="s">
        <v>74</v>
      </c>
      <c r="K9" s="16" t="s">
        <v>74</v>
      </c>
      <c r="L9" s="16" t="s">
        <v>74</v>
      </c>
      <c r="M9" s="16" t="s">
        <v>121</v>
      </c>
      <c r="N9" s="119" t="s">
        <v>1</v>
      </c>
      <c r="O9" s="302"/>
      <c r="P9" s="16" t="s">
        <v>43</v>
      </c>
      <c r="Q9" s="16" t="s">
        <v>43</v>
      </c>
      <c r="R9" s="16" t="s">
        <v>43</v>
      </c>
      <c r="S9" s="16" t="s">
        <v>43</v>
      </c>
      <c r="T9" s="16" t="s">
        <v>123</v>
      </c>
      <c r="U9" s="119" t="s">
        <v>1</v>
      </c>
      <c r="V9" s="302"/>
      <c r="W9" s="122" t="s">
        <v>1</v>
      </c>
    </row>
    <row r="10" spans="1:23" s="55" customFormat="1" ht="14.25" customHeight="1">
      <c r="A10" s="249" t="s">
        <v>4</v>
      </c>
      <c r="B10" s="304"/>
      <c r="C10" s="333">
        <v>2010605.66666667</v>
      </c>
      <c r="D10" s="333">
        <v>0</v>
      </c>
      <c r="E10" s="250">
        <f>SUM(C10:D10)</f>
        <v>2010605.66666667</v>
      </c>
      <c r="F10" s="334">
        <v>1.3736761171026435</v>
      </c>
      <c r="G10" s="250">
        <f>E10*F10</f>
        <v>2761920.9852112429</v>
      </c>
      <c r="H10" s="250">
        <v>362965.33333333302</v>
      </c>
      <c r="I10" s="250">
        <v>0</v>
      </c>
      <c r="J10" s="250">
        <f>SUM(G10:I10)</f>
        <v>3124886.3185445759</v>
      </c>
      <c r="K10" s="250">
        <v>3282760.8985019219</v>
      </c>
      <c r="L10" s="250">
        <f>J10-K10</f>
        <v>-157874.57995734597</v>
      </c>
      <c r="M10" s="252">
        <v>1.5776060689496889</v>
      </c>
      <c r="N10" s="253">
        <f>L10*M10/1000</f>
        <v>-249.06389547359191</v>
      </c>
      <c r="O10" s="304"/>
      <c r="P10" s="259">
        <v>0</v>
      </c>
      <c r="Q10" s="259">
        <f>P10*$Q$18</f>
        <v>0</v>
      </c>
      <c r="R10" s="259">
        <v>0</v>
      </c>
      <c r="S10" s="259">
        <f>Q10+R10</f>
        <v>0</v>
      </c>
      <c r="T10" s="252">
        <v>99.184425335897657</v>
      </c>
      <c r="U10" s="253">
        <f>S10*T10/1000</f>
        <v>0</v>
      </c>
      <c r="V10" s="304"/>
      <c r="W10" s="312">
        <f>N10+U10</f>
        <v>-249.06389547359191</v>
      </c>
    </row>
    <row r="11" spans="1:23" s="55" customFormat="1" ht="14.25" customHeight="1">
      <c r="A11" s="249" t="s">
        <v>15</v>
      </c>
      <c r="B11" s="304"/>
      <c r="C11" s="333">
        <v>1438328.2038100003</v>
      </c>
      <c r="D11" s="333">
        <v>0</v>
      </c>
      <c r="E11" s="250">
        <f>SUM(C11:D11)</f>
        <v>1438328.2038100003</v>
      </c>
      <c r="F11" s="334">
        <v>1.3451810074291308</v>
      </c>
      <c r="G11" s="250">
        <f>E11*F11</f>
        <v>1934811.7822148683</v>
      </c>
      <c r="H11" s="250">
        <v>261320.32276756334</v>
      </c>
      <c r="I11" s="250">
        <v>0</v>
      </c>
      <c r="J11" s="250">
        <f>SUM(G11:I11)</f>
        <v>2196132.1049824315</v>
      </c>
      <c r="K11" s="250">
        <v>2376301.7514968966</v>
      </c>
      <c r="L11" s="250">
        <f>J11-K11</f>
        <v>-180169.6465144651</v>
      </c>
      <c r="M11" s="252">
        <v>1.5776060689496889</v>
      </c>
      <c r="N11" s="253">
        <f>L11*M11/1000</f>
        <v>-284.23672778174029</v>
      </c>
      <c r="O11" s="304"/>
      <c r="P11" s="259">
        <v>0</v>
      </c>
      <c r="Q11" s="259">
        <f>P11*$Q$18</f>
        <v>0</v>
      </c>
      <c r="R11" s="259">
        <v>0</v>
      </c>
      <c r="S11" s="259">
        <f>Q11+R11</f>
        <v>0</v>
      </c>
      <c r="T11" s="252">
        <v>98.326189981977279</v>
      </c>
      <c r="U11" s="253">
        <f>S11*T11/1000</f>
        <v>0</v>
      </c>
      <c r="V11" s="304"/>
      <c r="W11" s="312">
        <f>N11+U11</f>
        <v>-284.23672778174029</v>
      </c>
    </row>
    <row r="12" spans="1:23" s="55" customFormat="1" ht="14.25" customHeight="1" thickBot="1">
      <c r="A12" s="269" t="s">
        <v>17</v>
      </c>
      <c r="B12" s="282"/>
      <c r="C12" s="270">
        <v>830785</v>
      </c>
      <c r="D12" s="270">
        <v>0</v>
      </c>
      <c r="E12" s="271">
        <f>SUM(C12:D12)</f>
        <v>830785</v>
      </c>
      <c r="F12" s="335">
        <v>1.465628732481334</v>
      </c>
      <c r="G12" s="271">
        <f>E12*F12</f>
        <v>1217622.3665145051</v>
      </c>
      <c r="H12" s="271">
        <v>142276</v>
      </c>
      <c r="I12" s="271">
        <v>0</v>
      </c>
      <c r="J12" s="271">
        <f>SUM(G12:I12)</f>
        <v>1359898.3665145051</v>
      </c>
      <c r="K12" s="271">
        <v>1364424.5999659158</v>
      </c>
      <c r="L12" s="271">
        <f>J12-K12</f>
        <v>-4526.2334514106624</v>
      </c>
      <c r="M12" s="274">
        <v>1.5776060689496889</v>
      </c>
      <c r="N12" s="275">
        <f>L12*M12/1000</f>
        <v>-7.1406133624285575</v>
      </c>
      <c r="O12" s="282"/>
      <c r="P12" s="290">
        <v>0</v>
      </c>
      <c r="Q12" s="290">
        <f>P12*$Q$18</f>
        <v>0</v>
      </c>
      <c r="R12" s="290">
        <v>0</v>
      </c>
      <c r="S12" s="290">
        <f>Q12+R12</f>
        <v>0</v>
      </c>
      <c r="T12" s="274">
        <v>99.184425335897629</v>
      </c>
      <c r="U12" s="275">
        <f>S12*T12/1000</f>
        <v>0</v>
      </c>
      <c r="V12" s="282"/>
      <c r="W12" s="315">
        <f>N12+U12</f>
        <v>-7.1406133624285575</v>
      </c>
    </row>
    <row r="13" spans="1:23" s="55" customFormat="1" ht="18" customHeight="1">
      <c r="A13" s="135"/>
    </row>
    <row r="14" spans="1:23" s="55" customFormat="1" ht="15.75">
      <c r="A14" s="20" t="s">
        <v>29</v>
      </c>
      <c r="B14" s="56"/>
      <c r="C14" s="104"/>
      <c r="D14" s="104"/>
      <c r="E14" s="104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</row>
    <row r="15" spans="1:23" s="55" customFormat="1" ht="11.25" customHeight="1" thickBot="1">
      <c r="A15" s="336"/>
      <c r="B15" s="331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</row>
    <row r="16" spans="1:23" s="55" customFormat="1" ht="13.5" customHeight="1" thickBot="1">
      <c r="A16" s="354" t="s">
        <v>0</v>
      </c>
      <c r="B16" s="65"/>
      <c r="C16" s="357" t="s">
        <v>72</v>
      </c>
      <c r="D16" s="357"/>
      <c r="E16" s="357"/>
      <c r="F16" s="357"/>
      <c r="G16" s="357"/>
      <c r="H16" s="357"/>
      <c r="I16" s="357"/>
      <c r="J16" s="357"/>
      <c r="K16" s="357"/>
      <c r="L16" s="357"/>
      <c r="M16" s="357"/>
      <c r="N16" s="357"/>
      <c r="O16" s="65"/>
      <c r="P16" s="356" t="s">
        <v>79</v>
      </c>
      <c r="Q16" s="356"/>
      <c r="R16" s="356"/>
      <c r="S16" s="356"/>
      <c r="T16" s="356"/>
      <c r="U16" s="356"/>
      <c r="V16" s="65"/>
      <c r="W16" s="65"/>
    </row>
    <row r="17" spans="1:23" s="55" customFormat="1" ht="63.75" customHeight="1">
      <c r="A17" s="355"/>
      <c r="B17" s="337"/>
      <c r="C17" s="48" t="s">
        <v>73</v>
      </c>
      <c r="D17" s="296" t="s">
        <v>128</v>
      </c>
      <c r="E17" s="296" t="s">
        <v>129</v>
      </c>
      <c r="F17" s="332" t="s">
        <v>75</v>
      </c>
      <c r="G17" s="48" t="s">
        <v>76</v>
      </c>
      <c r="H17" s="48" t="s">
        <v>77</v>
      </c>
      <c r="I17" s="48" t="s">
        <v>131</v>
      </c>
      <c r="J17" s="48" t="s">
        <v>78</v>
      </c>
      <c r="K17" s="296" t="s">
        <v>120</v>
      </c>
      <c r="L17" s="296" t="s">
        <v>122</v>
      </c>
      <c r="M17" s="296" t="s">
        <v>166</v>
      </c>
      <c r="N17" s="299" t="s">
        <v>115</v>
      </c>
      <c r="O17" s="337"/>
      <c r="P17" s="67" t="s">
        <v>124</v>
      </c>
      <c r="Q17" s="67" t="s">
        <v>80</v>
      </c>
      <c r="R17" s="67" t="s">
        <v>125</v>
      </c>
      <c r="S17" s="67" t="s">
        <v>126</v>
      </c>
      <c r="T17" s="296" t="s">
        <v>166</v>
      </c>
      <c r="U17" s="299" t="s">
        <v>115</v>
      </c>
      <c r="V17" s="337"/>
      <c r="W17" s="121" t="s">
        <v>171</v>
      </c>
    </row>
    <row r="18" spans="1:23" s="55" customFormat="1" ht="17.25" customHeight="1">
      <c r="A18" s="355"/>
      <c r="B18" s="337"/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9" t="s">
        <v>47</v>
      </c>
      <c r="O18" s="337"/>
      <c r="P18" s="68"/>
      <c r="Q18" s="69">
        <v>2.5500451957059092</v>
      </c>
      <c r="R18" s="296"/>
      <c r="S18" s="296"/>
      <c r="T18" s="296"/>
      <c r="U18" s="299" t="s">
        <v>47</v>
      </c>
      <c r="V18" s="337"/>
      <c r="W18" s="300" t="s">
        <v>47</v>
      </c>
    </row>
    <row r="19" spans="1:23" s="55" customFormat="1" ht="18" customHeight="1">
      <c r="A19" s="62"/>
      <c r="B19" s="338"/>
      <c r="C19" s="16" t="s">
        <v>74</v>
      </c>
      <c r="D19" s="16" t="s">
        <v>74</v>
      </c>
      <c r="E19" s="16" t="s">
        <v>74</v>
      </c>
      <c r="F19" s="16"/>
      <c r="G19" s="16" t="s">
        <v>74</v>
      </c>
      <c r="H19" s="16" t="s">
        <v>74</v>
      </c>
      <c r="I19" s="16" t="s">
        <v>74</v>
      </c>
      <c r="J19" s="16" t="s">
        <v>74</v>
      </c>
      <c r="K19" s="16" t="s">
        <v>74</v>
      </c>
      <c r="L19" s="16" t="s">
        <v>74</v>
      </c>
      <c r="M19" s="16" t="s">
        <v>121</v>
      </c>
      <c r="N19" s="119" t="s">
        <v>1</v>
      </c>
      <c r="O19" s="338"/>
      <c r="P19" s="16" t="s">
        <v>43</v>
      </c>
      <c r="Q19" s="16" t="s">
        <v>43</v>
      </c>
      <c r="R19" s="16" t="s">
        <v>43</v>
      </c>
      <c r="S19" s="16" t="s">
        <v>43</v>
      </c>
      <c r="T19" s="16" t="s">
        <v>123</v>
      </c>
      <c r="U19" s="119" t="s">
        <v>1</v>
      </c>
      <c r="V19" s="338"/>
      <c r="W19" s="122" t="s">
        <v>1</v>
      </c>
    </row>
    <row r="20" spans="1:23" s="55" customFormat="1" ht="14.25" customHeight="1">
      <c r="A20" s="339" t="s">
        <v>4</v>
      </c>
      <c r="B20" s="340"/>
      <c r="C20" s="250">
        <v>1971131.0588235294</v>
      </c>
      <c r="D20" s="250">
        <v>0</v>
      </c>
      <c r="E20" s="250">
        <f>SUM(C20:D20)</f>
        <v>1971131.0588235294</v>
      </c>
      <c r="F20" s="334">
        <v>1.3736761171026435</v>
      </c>
      <c r="G20" s="250">
        <f>E20*F20</f>
        <v>2707695.6591851283</v>
      </c>
      <c r="H20" s="250">
        <v>338922.87254901958</v>
      </c>
      <c r="I20" s="250">
        <v>0</v>
      </c>
      <c r="J20" s="250">
        <f>SUM(G20:I20)</f>
        <v>3046618.531734148</v>
      </c>
      <c r="K20" s="250">
        <f>J10</f>
        <v>3124886.3185445759</v>
      </c>
      <c r="L20" s="250">
        <f>J20-K20</f>
        <v>-78267.786810427904</v>
      </c>
      <c r="M20" s="252">
        <v>1.5933821296391859</v>
      </c>
      <c r="N20" s="311">
        <f>L20*M20/1000</f>
        <v>-124.71049283014541</v>
      </c>
      <c r="O20" s="340"/>
      <c r="P20" s="259">
        <v>0</v>
      </c>
      <c r="Q20" s="259">
        <f>P20*$Q$18</f>
        <v>0</v>
      </c>
      <c r="R20" s="259">
        <v>0</v>
      </c>
      <c r="S20" s="259">
        <f>Q20+R20</f>
        <v>0</v>
      </c>
      <c r="T20" s="252">
        <v>99.184425335897657</v>
      </c>
      <c r="U20" s="311">
        <f>S20*T20/1000</f>
        <v>0</v>
      </c>
      <c r="V20" s="340"/>
      <c r="W20" s="312">
        <f>N20+U20</f>
        <v>-124.71049283014541</v>
      </c>
    </row>
    <row r="21" spans="1:23" s="55" customFormat="1" ht="14.25" customHeight="1">
      <c r="A21" s="339" t="s">
        <v>15</v>
      </c>
      <c r="B21" s="340"/>
      <c r="C21" s="250">
        <v>1367385</v>
      </c>
      <c r="D21" s="250">
        <v>0</v>
      </c>
      <c r="E21" s="250">
        <f>SUM(C21:D21)</f>
        <v>1367385</v>
      </c>
      <c r="F21" s="334">
        <v>1.3451810074291308</v>
      </c>
      <c r="G21" s="250">
        <f>E21*F21</f>
        <v>1839380.3318434821</v>
      </c>
      <c r="H21" s="250">
        <v>267780.66666666663</v>
      </c>
      <c r="I21" s="250">
        <v>0</v>
      </c>
      <c r="J21" s="250">
        <f>SUM(G21:I21)</f>
        <v>2107160.9985101488</v>
      </c>
      <c r="K21" s="250">
        <f>J11</f>
        <v>2196132.1049824315</v>
      </c>
      <c r="L21" s="250">
        <f>J21-K21</f>
        <v>-88971.10647228267</v>
      </c>
      <c r="M21" s="252">
        <v>1.5795947142125188</v>
      </c>
      <c r="N21" s="311">
        <f>L21*M21/1000</f>
        <v>-140.53828950125691</v>
      </c>
      <c r="O21" s="340"/>
      <c r="P21" s="259">
        <v>0</v>
      </c>
      <c r="Q21" s="259">
        <f>P21*$Q$18</f>
        <v>0</v>
      </c>
      <c r="R21" s="259">
        <v>0</v>
      </c>
      <c r="S21" s="259">
        <f>Q21+R21</f>
        <v>0</v>
      </c>
      <c r="T21" s="252">
        <v>98.326189981977279</v>
      </c>
      <c r="U21" s="311">
        <f>S21*T21/1000</f>
        <v>0</v>
      </c>
      <c r="V21" s="340"/>
      <c r="W21" s="312">
        <f>N21+U21</f>
        <v>-140.53828950125691</v>
      </c>
    </row>
    <row r="22" spans="1:23" s="55" customFormat="1" ht="14.25" customHeight="1" thickBot="1">
      <c r="A22" s="341" t="s">
        <v>17</v>
      </c>
      <c r="B22" s="342"/>
      <c r="C22" s="271">
        <v>798704.33333333326</v>
      </c>
      <c r="D22" s="271">
        <v>0</v>
      </c>
      <c r="E22" s="271">
        <f>SUM(C22:D22)</f>
        <v>798704.33333333326</v>
      </c>
      <c r="F22" s="335">
        <v>1.465628732481334</v>
      </c>
      <c r="G22" s="271">
        <f>E22*F22</f>
        <v>1170604.0196906822</v>
      </c>
      <c r="H22" s="271">
        <v>144310.33333333331</v>
      </c>
      <c r="I22" s="271">
        <v>0</v>
      </c>
      <c r="J22" s="271">
        <f>SUM(G22:I22)</f>
        <v>1314914.3530240154</v>
      </c>
      <c r="K22" s="271">
        <f>J12</f>
        <v>1359898.3665145051</v>
      </c>
      <c r="L22" s="271">
        <f>J22-K22</f>
        <v>-44984.013490489684</v>
      </c>
      <c r="M22" s="274">
        <v>1.5933821296391852</v>
      </c>
      <c r="N22" s="314">
        <f>L22*M22/1000</f>
        <v>-71.676723215194286</v>
      </c>
      <c r="O22" s="342"/>
      <c r="P22" s="290">
        <v>0</v>
      </c>
      <c r="Q22" s="290">
        <f>P22*$Q$18</f>
        <v>0</v>
      </c>
      <c r="R22" s="290">
        <v>0</v>
      </c>
      <c r="S22" s="290">
        <f>Q22+R22</f>
        <v>0</v>
      </c>
      <c r="T22" s="274">
        <v>99.184425335897629</v>
      </c>
      <c r="U22" s="314">
        <f>S22*T22/1000</f>
        <v>0</v>
      </c>
      <c r="V22" s="342"/>
      <c r="W22" s="315">
        <f>N22+U22</f>
        <v>-71.676723215194286</v>
      </c>
    </row>
    <row r="23" spans="1:23" s="55" customFormat="1" ht="16.5" customHeight="1">
      <c r="A23" s="10" t="s">
        <v>167</v>
      </c>
    </row>
    <row r="24" spans="1:23" s="55" customFormat="1" ht="15.75">
      <c r="A24" s="61" t="s">
        <v>30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</row>
    <row r="25" spans="1:23" s="55" customFormat="1" ht="9.75" customHeight="1" thickBot="1">
      <c r="A25" s="336"/>
      <c r="B25" s="331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</row>
    <row r="26" spans="1:23" s="55" customFormat="1" ht="13.5" customHeight="1" thickBot="1">
      <c r="A26" s="354" t="s">
        <v>0</v>
      </c>
      <c r="B26" s="65"/>
      <c r="C26" s="357" t="s">
        <v>72</v>
      </c>
      <c r="D26" s="357"/>
      <c r="E26" s="357"/>
      <c r="F26" s="357"/>
      <c r="G26" s="357"/>
      <c r="H26" s="357"/>
      <c r="I26" s="357"/>
      <c r="J26" s="357"/>
      <c r="K26" s="357"/>
      <c r="L26" s="357"/>
      <c r="M26" s="357"/>
      <c r="N26" s="357"/>
      <c r="O26" s="65"/>
      <c r="P26" s="356" t="s">
        <v>79</v>
      </c>
      <c r="Q26" s="356"/>
      <c r="R26" s="356"/>
      <c r="S26" s="356"/>
      <c r="T26" s="356"/>
      <c r="U26" s="356"/>
      <c r="V26" s="65"/>
      <c r="W26" s="65"/>
    </row>
    <row r="27" spans="1:23" s="55" customFormat="1" ht="63.75" customHeight="1">
      <c r="A27" s="355"/>
      <c r="B27" s="337"/>
      <c r="C27" s="48" t="s">
        <v>127</v>
      </c>
      <c r="D27" s="296" t="s">
        <v>128</v>
      </c>
      <c r="E27" s="296" t="s">
        <v>129</v>
      </c>
      <c r="F27" s="332" t="s">
        <v>75</v>
      </c>
      <c r="G27" s="48" t="s">
        <v>76</v>
      </c>
      <c r="H27" s="48" t="s">
        <v>130</v>
      </c>
      <c r="I27" s="48" t="s">
        <v>131</v>
      </c>
      <c r="J27" s="48" t="s">
        <v>78</v>
      </c>
      <c r="K27" s="296" t="s">
        <v>120</v>
      </c>
      <c r="L27" s="296" t="s">
        <v>122</v>
      </c>
      <c r="M27" s="296" t="s">
        <v>113</v>
      </c>
      <c r="N27" s="299" t="s">
        <v>115</v>
      </c>
      <c r="O27" s="337"/>
      <c r="P27" s="67" t="s">
        <v>124</v>
      </c>
      <c r="Q27" s="67" t="s">
        <v>80</v>
      </c>
      <c r="R27" s="67" t="s">
        <v>125</v>
      </c>
      <c r="S27" s="67" t="s">
        <v>126</v>
      </c>
      <c r="T27" s="296" t="s">
        <v>113</v>
      </c>
      <c r="U27" s="299" t="s">
        <v>115</v>
      </c>
      <c r="V27" s="337"/>
      <c r="W27" s="121" t="s">
        <v>171</v>
      </c>
    </row>
    <row r="28" spans="1:23" s="55" customFormat="1" ht="17.25" customHeight="1">
      <c r="A28" s="355"/>
      <c r="B28" s="337"/>
      <c r="C28" s="296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9" t="s">
        <v>47</v>
      </c>
      <c r="O28" s="337"/>
      <c r="P28" s="68"/>
      <c r="Q28" s="69">
        <v>2.5500451957059092</v>
      </c>
      <c r="R28" s="296"/>
      <c r="S28" s="296"/>
      <c r="T28" s="296"/>
      <c r="U28" s="299" t="s">
        <v>47</v>
      </c>
      <c r="V28" s="337"/>
      <c r="W28" s="300" t="s">
        <v>47</v>
      </c>
    </row>
    <row r="29" spans="1:23" s="55" customFormat="1" ht="18" customHeight="1">
      <c r="A29" s="62"/>
      <c r="B29" s="338"/>
      <c r="C29" s="16" t="s">
        <v>74</v>
      </c>
      <c r="D29" s="16" t="s">
        <v>74</v>
      </c>
      <c r="E29" s="16" t="s">
        <v>74</v>
      </c>
      <c r="F29" s="16"/>
      <c r="G29" s="16" t="s">
        <v>74</v>
      </c>
      <c r="H29" s="16" t="s">
        <v>74</v>
      </c>
      <c r="I29" s="16" t="s">
        <v>74</v>
      </c>
      <c r="J29" s="16" t="s">
        <v>74</v>
      </c>
      <c r="K29" s="16" t="s">
        <v>74</v>
      </c>
      <c r="L29" s="16" t="s">
        <v>74</v>
      </c>
      <c r="M29" s="16" t="s">
        <v>121</v>
      </c>
      <c r="N29" s="119" t="s">
        <v>1</v>
      </c>
      <c r="O29" s="338"/>
      <c r="P29" s="16" t="s">
        <v>43</v>
      </c>
      <c r="Q29" s="16" t="s">
        <v>43</v>
      </c>
      <c r="R29" s="16" t="s">
        <v>43</v>
      </c>
      <c r="S29" s="16" t="s">
        <v>43</v>
      </c>
      <c r="T29" s="16" t="s">
        <v>123</v>
      </c>
      <c r="U29" s="119" t="s">
        <v>1</v>
      </c>
      <c r="V29" s="338"/>
      <c r="W29" s="122" t="s">
        <v>1</v>
      </c>
    </row>
    <row r="30" spans="1:23" s="55" customFormat="1" ht="14.25" customHeight="1">
      <c r="A30" s="339" t="s">
        <v>4</v>
      </c>
      <c r="B30" s="340"/>
      <c r="C30" s="250">
        <v>1921445.5294117599</v>
      </c>
      <c r="D30" s="250">
        <v>0</v>
      </c>
      <c r="E30" s="250">
        <f>SUM(C30:D30)</f>
        <v>1921445.5294117599</v>
      </c>
      <c r="F30" s="334">
        <v>1.3736761171026435</v>
      </c>
      <c r="G30" s="250">
        <f>E30*F30</f>
        <v>2639443.8340665796</v>
      </c>
      <c r="H30" s="250">
        <v>342457.26960784313</v>
      </c>
      <c r="I30" s="250">
        <v>0</v>
      </c>
      <c r="J30" s="250">
        <f>SUM(G30:I30)</f>
        <v>2981901.1036744229</v>
      </c>
      <c r="K30" s="250">
        <f>J20</f>
        <v>3046618.531734148</v>
      </c>
      <c r="L30" s="250">
        <f>J30-K30</f>
        <v>-64717.428059725091</v>
      </c>
      <c r="M30" s="252">
        <f ca="1">M20*(1+Indexation!$C$7)</f>
        <v>1.6172828615837735</v>
      </c>
      <c r="N30" s="311">
        <f>L30*M30/1000</f>
        <v>-104.66638724677419</v>
      </c>
      <c r="O30" s="340"/>
      <c r="P30" s="259">
        <f>P20</f>
        <v>0</v>
      </c>
      <c r="Q30" s="259">
        <f>P30*$Q$28</f>
        <v>0</v>
      </c>
      <c r="R30" s="259">
        <v>0</v>
      </c>
      <c r="S30" s="259">
        <f>Q30+R30</f>
        <v>0</v>
      </c>
      <c r="T30" s="252">
        <f ca="1">T20*(1+Indexation!$C$7)</f>
        <v>100.67219171593611</v>
      </c>
      <c r="U30" s="311">
        <f>S30*T30/1000</f>
        <v>0</v>
      </c>
      <c r="V30" s="340"/>
      <c r="W30" s="312">
        <f>N30+U30</f>
        <v>-104.66638724677419</v>
      </c>
    </row>
    <row r="31" spans="1:23" s="55" customFormat="1" ht="14.25" customHeight="1">
      <c r="A31" s="339" t="s">
        <v>15</v>
      </c>
      <c r="B31" s="340"/>
      <c r="C31" s="250">
        <v>1350276.33333333</v>
      </c>
      <c r="D31" s="250">
        <v>0</v>
      </c>
      <c r="E31" s="250">
        <f>SUM(C31:D31)</f>
        <v>1350276.33333333</v>
      </c>
      <c r="F31" s="334">
        <v>1.3451810074291308</v>
      </c>
      <c r="G31" s="250">
        <f>E31*F31</f>
        <v>1816366.0783810418</v>
      </c>
      <c r="H31" s="250">
        <v>279299.33333333331</v>
      </c>
      <c r="I31" s="250">
        <v>0</v>
      </c>
      <c r="J31" s="250">
        <f>SUM(G31:I31)</f>
        <v>2095665.411714375</v>
      </c>
      <c r="K31" s="250">
        <f>J21</f>
        <v>2107160.9985101488</v>
      </c>
      <c r="L31" s="250">
        <f>J31-K31</f>
        <v>-11495.586795773823</v>
      </c>
      <c r="M31" s="252">
        <f ca="1">M21*(1+Indexation!$C$7)</f>
        <v>1.6032886349257065</v>
      </c>
      <c r="N31" s="311">
        <f>L31*M31/1000</f>
        <v>-18.430743661466188</v>
      </c>
      <c r="O31" s="340"/>
      <c r="P31" s="259">
        <f>P21</f>
        <v>0</v>
      </c>
      <c r="Q31" s="259">
        <f>P31*$Q$28</f>
        <v>0</v>
      </c>
      <c r="R31" s="259">
        <v>0</v>
      </c>
      <c r="S31" s="259">
        <f>Q31+R31</f>
        <v>0</v>
      </c>
      <c r="T31" s="252">
        <f ca="1">T21*(1+Indexation!$C$7)</f>
        <v>99.801082831706935</v>
      </c>
      <c r="U31" s="311">
        <f>S31*T31/1000</f>
        <v>0</v>
      </c>
      <c r="V31" s="340"/>
      <c r="W31" s="312">
        <f>N31+U31</f>
        <v>-18.430743661466188</v>
      </c>
    </row>
    <row r="32" spans="1:23" s="55" customFormat="1" ht="14.25" customHeight="1" thickBot="1">
      <c r="A32" s="341" t="s">
        <v>17</v>
      </c>
      <c r="B32" s="342"/>
      <c r="C32" s="271">
        <v>790462.33333333337</v>
      </c>
      <c r="D32" s="271">
        <v>0</v>
      </c>
      <c r="E32" s="271">
        <f>SUM(C32:D32)</f>
        <v>790462.33333333337</v>
      </c>
      <c r="F32" s="335">
        <v>1.465628732481334</v>
      </c>
      <c r="G32" s="271">
        <f>E32*F32</f>
        <v>1158524.3076775712</v>
      </c>
      <c r="H32" s="271">
        <v>147245.33333333334</v>
      </c>
      <c r="I32" s="271">
        <v>0</v>
      </c>
      <c r="J32" s="271">
        <f>SUM(G32:I32)</f>
        <v>1305769.6410109045</v>
      </c>
      <c r="K32" s="271">
        <f>J22</f>
        <v>1314914.3530240154</v>
      </c>
      <c r="L32" s="271">
        <f>J32-K32</f>
        <v>-9144.7120131109841</v>
      </c>
      <c r="M32" s="274">
        <f ca="1">M22*(1+Indexation!$C$7)</f>
        <v>1.6172828615837729</v>
      </c>
      <c r="N32" s="314">
        <f>L32*M32/1000</f>
        <v>-14.789586012923637</v>
      </c>
      <c r="O32" s="342"/>
      <c r="P32" s="290">
        <f>P22</f>
        <v>0</v>
      </c>
      <c r="Q32" s="290">
        <f>P32*$Q$28</f>
        <v>0</v>
      </c>
      <c r="R32" s="290">
        <v>0</v>
      </c>
      <c r="S32" s="290">
        <f>Q32+R32</f>
        <v>0</v>
      </c>
      <c r="T32" s="274">
        <f ca="1">T22*(1+Indexation!$C$7)</f>
        <v>100.67219171593608</v>
      </c>
      <c r="U32" s="314">
        <f>S32*T32/1000</f>
        <v>0</v>
      </c>
      <c r="V32" s="342"/>
      <c r="W32" s="315">
        <f>N32+U32</f>
        <v>-14.789586012923637</v>
      </c>
    </row>
    <row r="33" spans="1:23" s="55" customFormat="1" ht="16.5" customHeight="1">
      <c r="A33" s="10"/>
    </row>
    <row r="34" spans="1:23" s="55" customFormat="1" ht="15.75">
      <c r="A34" s="20" t="s">
        <v>206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</row>
    <row r="35" spans="1:23" s="55" customFormat="1" ht="9.75" customHeight="1" thickBot="1">
      <c r="A35" s="336"/>
      <c r="B35" s="331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</row>
    <row r="36" spans="1:23" s="55" customFormat="1" ht="13.5" customHeight="1" thickBot="1">
      <c r="A36" s="354" t="s">
        <v>0</v>
      </c>
      <c r="B36" s="65"/>
      <c r="C36" s="357" t="s">
        <v>72</v>
      </c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65"/>
      <c r="P36" s="356" t="s">
        <v>79</v>
      </c>
      <c r="Q36" s="356"/>
      <c r="R36" s="356"/>
      <c r="S36" s="356"/>
      <c r="T36" s="356"/>
      <c r="U36" s="356"/>
      <c r="V36" s="65"/>
      <c r="W36" s="65"/>
    </row>
    <row r="37" spans="1:23" s="55" customFormat="1" ht="63.75" customHeight="1">
      <c r="A37" s="355"/>
      <c r="B37" s="337"/>
      <c r="C37" s="48" t="s">
        <v>127</v>
      </c>
      <c r="D37" s="296" t="s">
        <v>128</v>
      </c>
      <c r="E37" s="296" t="s">
        <v>129</v>
      </c>
      <c r="F37" s="332" t="s">
        <v>75</v>
      </c>
      <c r="G37" s="48" t="s">
        <v>76</v>
      </c>
      <c r="H37" s="48" t="s">
        <v>130</v>
      </c>
      <c r="I37" s="48" t="s">
        <v>131</v>
      </c>
      <c r="J37" s="48" t="s">
        <v>78</v>
      </c>
      <c r="K37" s="296" t="s">
        <v>120</v>
      </c>
      <c r="L37" s="296" t="s">
        <v>122</v>
      </c>
      <c r="M37" s="296" t="s">
        <v>113</v>
      </c>
      <c r="N37" s="299" t="s">
        <v>115</v>
      </c>
      <c r="O37" s="337"/>
      <c r="P37" s="67" t="s">
        <v>124</v>
      </c>
      <c r="Q37" s="67" t="s">
        <v>80</v>
      </c>
      <c r="R37" s="67" t="s">
        <v>125</v>
      </c>
      <c r="S37" s="67" t="s">
        <v>126</v>
      </c>
      <c r="T37" s="296" t="s">
        <v>113</v>
      </c>
      <c r="U37" s="299" t="s">
        <v>115</v>
      </c>
      <c r="V37" s="337"/>
      <c r="W37" s="121" t="s">
        <v>171</v>
      </c>
    </row>
    <row r="38" spans="1:23" s="55" customFormat="1" ht="17.25" customHeight="1">
      <c r="A38" s="355"/>
      <c r="B38" s="337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9" t="s">
        <v>47</v>
      </c>
      <c r="O38" s="337"/>
      <c r="P38" s="68"/>
      <c r="Q38" s="69">
        <v>2.5500451957059092</v>
      </c>
      <c r="R38" s="296"/>
      <c r="S38" s="296"/>
      <c r="T38" s="296"/>
      <c r="U38" s="299" t="s">
        <v>47</v>
      </c>
      <c r="V38" s="337"/>
      <c r="W38" s="300" t="s">
        <v>47</v>
      </c>
    </row>
    <row r="39" spans="1:23" s="55" customFormat="1" ht="18" customHeight="1">
      <c r="A39" s="62"/>
      <c r="B39" s="338"/>
      <c r="C39" s="16" t="s">
        <v>74</v>
      </c>
      <c r="D39" s="16" t="s">
        <v>74</v>
      </c>
      <c r="E39" s="16" t="s">
        <v>74</v>
      </c>
      <c r="F39" s="16"/>
      <c r="G39" s="16" t="s">
        <v>74</v>
      </c>
      <c r="H39" s="16" t="s">
        <v>74</v>
      </c>
      <c r="I39" s="16" t="s">
        <v>74</v>
      </c>
      <c r="J39" s="16" t="s">
        <v>74</v>
      </c>
      <c r="K39" s="16" t="s">
        <v>74</v>
      </c>
      <c r="L39" s="16" t="s">
        <v>74</v>
      </c>
      <c r="M39" s="16" t="s">
        <v>121</v>
      </c>
      <c r="N39" s="119" t="s">
        <v>1</v>
      </c>
      <c r="O39" s="338"/>
      <c r="P39" s="16" t="s">
        <v>43</v>
      </c>
      <c r="Q39" s="16" t="s">
        <v>43</v>
      </c>
      <c r="R39" s="16" t="s">
        <v>43</v>
      </c>
      <c r="S39" s="16" t="s">
        <v>43</v>
      </c>
      <c r="T39" s="16" t="s">
        <v>123</v>
      </c>
      <c r="U39" s="119" t="s">
        <v>1</v>
      </c>
      <c r="V39" s="338"/>
      <c r="W39" s="122" t="s">
        <v>1</v>
      </c>
    </row>
    <row r="40" spans="1:23" s="55" customFormat="1" ht="14.25" customHeight="1">
      <c r="A40" s="339" t="s">
        <v>4</v>
      </c>
      <c r="B40" s="340"/>
      <c r="C40" s="343"/>
      <c r="D40" s="250">
        <v>0</v>
      </c>
      <c r="E40" s="250">
        <f>SUM(C40:D40)</f>
        <v>0</v>
      </c>
      <c r="F40" s="334">
        <v>1.3736761171026435</v>
      </c>
      <c r="G40" s="250">
        <f>E40*F40</f>
        <v>0</v>
      </c>
      <c r="H40" s="343"/>
      <c r="I40" s="250">
        <v>0</v>
      </c>
      <c r="J40" s="250">
        <f>SUM(G40:I40)</f>
        <v>0</v>
      </c>
      <c r="K40" s="343"/>
      <c r="L40" s="250">
        <f>J40-K40</f>
        <v>0</v>
      </c>
      <c r="M40" s="252">
        <f ca="1">M30*(1+Indexation!$C$8)</f>
        <v>1.6334556901996113</v>
      </c>
      <c r="N40" s="311">
        <f>L40*M40/1000</f>
        <v>0</v>
      </c>
      <c r="O40" s="340"/>
      <c r="P40" s="259">
        <f>P30</f>
        <v>0</v>
      </c>
      <c r="Q40" s="259">
        <f>P40*$Q$28</f>
        <v>0</v>
      </c>
      <c r="R40" s="259">
        <v>0</v>
      </c>
      <c r="S40" s="259">
        <f>Q40+R40</f>
        <v>0</v>
      </c>
      <c r="T40" s="252">
        <f ca="1">T30*(1+Indexation!$C$8)</f>
        <v>101.67891363309548</v>
      </c>
      <c r="U40" s="311">
        <f>S40*T40/1000</f>
        <v>0</v>
      </c>
      <c r="V40" s="340"/>
      <c r="W40" s="312">
        <f>N40+U40</f>
        <v>0</v>
      </c>
    </row>
    <row r="41" spans="1:23" s="55" customFormat="1" ht="14.25" customHeight="1">
      <c r="A41" s="339" t="s">
        <v>15</v>
      </c>
      <c r="B41" s="340"/>
      <c r="C41" s="343"/>
      <c r="D41" s="250">
        <v>0</v>
      </c>
      <c r="E41" s="250">
        <f>SUM(C41:D41)</f>
        <v>0</v>
      </c>
      <c r="F41" s="334">
        <v>1.3451810074291308</v>
      </c>
      <c r="G41" s="250">
        <f>E41*F41</f>
        <v>0</v>
      </c>
      <c r="H41" s="343"/>
      <c r="I41" s="250">
        <v>0</v>
      </c>
      <c r="J41" s="250">
        <f>SUM(G41:I41)</f>
        <v>0</v>
      </c>
      <c r="K41" s="343"/>
      <c r="L41" s="250">
        <f>J41-K41</f>
        <v>0</v>
      </c>
      <c r="M41" s="252">
        <f ca="1">M31*(1+Indexation!$C$8)</f>
        <v>1.6193215212749636</v>
      </c>
      <c r="N41" s="311">
        <f>L41*M41/1000</f>
        <v>0</v>
      </c>
      <c r="O41" s="340"/>
      <c r="P41" s="259">
        <f>P31</f>
        <v>0</v>
      </c>
      <c r="Q41" s="259">
        <f>P41*$Q$28</f>
        <v>0</v>
      </c>
      <c r="R41" s="259">
        <v>0</v>
      </c>
      <c r="S41" s="259">
        <f>Q41+R41</f>
        <v>0</v>
      </c>
      <c r="T41" s="252">
        <f ca="1">T31*(1+Indexation!$C$8)</f>
        <v>100.799093660024</v>
      </c>
      <c r="U41" s="311">
        <f>S41*T41/1000</f>
        <v>0</v>
      </c>
      <c r="V41" s="340"/>
      <c r="W41" s="312">
        <f>N41+U41</f>
        <v>0</v>
      </c>
    </row>
    <row r="42" spans="1:23" s="55" customFormat="1" ht="14.25" customHeight="1" thickBot="1">
      <c r="A42" s="341" t="s">
        <v>17</v>
      </c>
      <c r="B42" s="342"/>
      <c r="C42" s="344"/>
      <c r="D42" s="271">
        <v>0</v>
      </c>
      <c r="E42" s="271">
        <f>SUM(C42:D42)</f>
        <v>0</v>
      </c>
      <c r="F42" s="335">
        <v>1.465628732481334</v>
      </c>
      <c r="G42" s="271">
        <f>E42*F42</f>
        <v>0</v>
      </c>
      <c r="H42" s="344"/>
      <c r="I42" s="271">
        <v>0</v>
      </c>
      <c r="J42" s="271">
        <f>SUM(G42:I42)</f>
        <v>0</v>
      </c>
      <c r="K42" s="344"/>
      <c r="L42" s="271">
        <f>J42-K42</f>
        <v>0</v>
      </c>
      <c r="M42" s="274">
        <f ca="1">M32*(1+Indexation!$C$8)</f>
        <v>1.6334556901996107</v>
      </c>
      <c r="N42" s="314">
        <f>L42*M42/1000</f>
        <v>0</v>
      </c>
      <c r="O42" s="342"/>
      <c r="P42" s="290">
        <f>P32</f>
        <v>0</v>
      </c>
      <c r="Q42" s="290">
        <f>P42*$Q$28</f>
        <v>0</v>
      </c>
      <c r="R42" s="290">
        <v>0</v>
      </c>
      <c r="S42" s="290">
        <f>Q42+R42</f>
        <v>0</v>
      </c>
      <c r="T42" s="274">
        <f ca="1">T32*(1+Indexation!$C$8)</f>
        <v>101.67891363309545</v>
      </c>
      <c r="U42" s="314">
        <f>S42*T42/1000</f>
        <v>0</v>
      </c>
      <c r="V42" s="342"/>
      <c r="W42" s="315">
        <f>N42+U42</f>
        <v>0</v>
      </c>
    </row>
    <row r="43" spans="1:23" s="55" customFormat="1" ht="16.5" customHeight="1">
      <c r="A43" s="10" t="s">
        <v>213</v>
      </c>
    </row>
    <row r="44" spans="1:23" s="55" customFormat="1" ht="15.75">
      <c r="A44" s="20" t="s">
        <v>209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</row>
    <row r="45" spans="1:23" s="55" customFormat="1" ht="9.75" customHeight="1" thickBot="1">
      <c r="A45" s="336"/>
      <c r="B45" s="331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</row>
    <row r="46" spans="1:23" s="55" customFormat="1" ht="13.5" customHeight="1" thickBot="1">
      <c r="A46" s="354" t="s">
        <v>0</v>
      </c>
      <c r="B46" s="65"/>
      <c r="C46" s="357" t="s">
        <v>72</v>
      </c>
      <c r="D46" s="357"/>
      <c r="E46" s="357"/>
      <c r="F46" s="357"/>
      <c r="G46" s="357"/>
      <c r="H46" s="357"/>
      <c r="I46" s="357"/>
      <c r="J46" s="357"/>
      <c r="K46" s="357"/>
      <c r="L46" s="357"/>
      <c r="M46" s="357"/>
      <c r="N46" s="357"/>
      <c r="O46" s="65"/>
      <c r="P46" s="356" t="s">
        <v>79</v>
      </c>
      <c r="Q46" s="356"/>
      <c r="R46" s="356"/>
      <c r="S46" s="356"/>
      <c r="T46" s="356"/>
      <c r="U46" s="356"/>
      <c r="V46" s="65"/>
      <c r="W46" s="65"/>
    </row>
    <row r="47" spans="1:23" s="55" customFormat="1" ht="63.75" customHeight="1">
      <c r="A47" s="355"/>
      <c r="B47" s="337"/>
      <c r="C47" s="48" t="s">
        <v>127</v>
      </c>
      <c r="D47" s="296" t="s">
        <v>128</v>
      </c>
      <c r="E47" s="296" t="s">
        <v>129</v>
      </c>
      <c r="F47" s="332" t="s">
        <v>75</v>
      </c>
      <c r="G47" s="48" t="s">
        <v>76</v>
      </c>
      <c r="H47" s="48" t="s">
        <v>130</v>
      </c>
      <c r="I47" s="48" t="s">
        <v>131</v>
      </c>
      <c r="J47" s="48" t="s">
        <v>78</v>
      </c>
      <c r="K47" s="296" t="s">
        <v>120</v>
      </c>
      <c r="L47" s="296" t="s">
        <v>122</v>
      </c>
      <c r="M47" s="296" t="s">
        <v>113</v>
      </c>
      <c r="N47" s="299" t="s">
        <v>115</v>
      </c>
      <c r="O47" s="337"/>
      <c r="P47" s="67" t="s">
        <v>124</v>
      </c>
      <c r="Q47" s="67" t="s">
        <v>80</v>
      </c>
      <c r="R47" s="67" t="s">
        <v>125</v>
      </c>
      <c r="S47" s="67" t="s">
        <v>126</v>
      </c>
      <c r="T47" s="296" t="s">
        <v>113</v>
      </c>
      <c r="U47" s="299" t="s">
        <v>115</v>
      </c>
      <c r="V47" s="337"/>
      <c r="W47" s="121" t="s">
        <v>171</v>
      </c>
    </row>
    <row r="48" spans="1:23" s="55" customFormat="1" ht="17.25" customHeight="1">
      <c r="A48" s="355"/>
      <c r="B48" s="337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9" t="s">
        <v>47</v>
      </c>
      <c r="O48" s="337"/>
      <c r="P48" s="68"/>
      <c r="Q48" s="69">
        <v>2.5500451957059092</v>
      </c>
      <c r="R48" s="296"/>
      <c r="S48" s="296"/>
      <c r="T48" s="296"/>
      <c r="U48" s="299" t="s">
        <v>47</v>
      </c>
      <c r="V48" s="337"/>
      <c r="W48" s="300" t="s">
        <v>47</v>
      </c>
    </row>
    <row r="49" spans="1:23" s="55" customFormat="1" ht="18" customHeight="1">
      <c r="A49" s="62"/>
      <c r="B49" s="338"/>
      <c r="C49" s="16" t="s">
        <v>74</v>
      </c>
      <c r="D49" s="16" t="s">
        <v>74</v>
      </c>
      <c r="E49" s="16" t="s">
        <v>74</v>
      </c>
      <c r="F49" s="16"/>
      <c r="G49" s="16" t="s">
        <v>74</v>
      </c>
      <c r="H49" s="16" t="s">
        <v>74</v>
      </c>
      <c r="I49" s="16" t="s">
        <v>74</v>
      </c>
      <c r="J49" s="16" t="s">
        <v>74</v>
      </c>
      <c r="K49" s="16" t="s">
        <v>74</v>
      </c>
      <c r="L49" s="16" t="s">
        <v>74</v>
      </c>
      <c r="M49" s="16" t="s">
        <v>121</v>
      </c>
      <c r="N49" s="119" t="s">
        <v>1</v>
      </c>
      <c r="O49" s="338"/>
      <c r="P49" s="16" t="s">
        <v>43</v>
      </c>
      <c r="Q49" s="16" t="s">
        <v>43</v>
      </c>
      <c r="R49" s="16" t="s">
        <v>43</v>
      </c>
      <c r="S49" s="16" t="s">
        <v>43</v>
      </c>
      <c r="T49" s="16" t="s">
        <v>123</v>
      </c>
      <c r="U49" s="119" t="s">
        <v>1</v>
      </c>
      <c r="V49" s="338"/>
      <c r="W49" s="122" t="s">
        <v>1</v>
      </c>
    </row>
    <row r="50" spans="1:23" s="55" customFormat="1" ht="14.25" customHeight="1">
      <c r="A50" s="339" t="s">
        <v>4</v>
      </c>
      <c r="B50" s="340"/>
      <c r="C50" s="343"/>
      <c r="D50" s="250">
        <v>0</v>
      </c>
      <c r="E50" s="250">
        <f>SUM(C50:D50)</f>
        <v>0</v>
      </c>
      <c r="F50" s="334">
        <v>1.3736761171026435</v>
      </c>
      <c r="G50" s="250">
        <f>E50*F50</f>
        <v>0</v>
      </c>
      <c r="H50" s="343"/>
      <c r="I50" s="250">
        <v>0</v>
      </c>
      <c r="J50" s="250">
        <f>SUM(G50:I50)</f>
        <v>0</v>
      </c>
      <c r="K50" s="343"/>
      <c r="L50" s="250">
        <f>J50-K50</f>
        <v>0</v>
      </c>
      <c r="M50" s="252">
        <f ca="1">M40*(1+Indexation!$C$9)</f>
        <v>1.6497902471016075</v>
      </c>
      <c r="N50" s="311">
        <f>L50*M50/1000</f>
        <v>0</v>
      </c>
      <c r="O50" s="340"/>
      <c r="P50" s="259">
        <f>P40</f>
        <v>0</v>
      </c>
      <c r="Q50" s="259">
        <f>P50*$Q$28</f>
        <v>0</v>
      </c>
      <c r="R50" s="259">
        <v>0</v>
      </c>
      <c r="S50" s="259">
        <f>Q50+R50</f>
        <v>0</v>
      </c>
      <c r="T50" s="252">
        <f ca="1">T40*(1+Indexation!$C$9)</f>
        <v>102.69570276942643</v>
      </c>
      <c r="U50" s="311">
        <f>S50*T50/1000</f>
        <v>0</v>
      </c>
      <c r="V50" s="340"/>
      <c r="W50" s="312">
        <f>N50+U50</f>
        <v>0</v>
      </c>
    </row>
    <row r="51" spans="1:23" s="55" customFormat="1" ht="14.25" customHeight="1">
      <c r="A51" s="339" t="s">
        <v>15</v>
      </c>
      <c r="B51" s="340"/>
      <c r="C51" s="343"/>
      <c r="D51" s="250">
        <v>0</v>
      </c>
      <c r="E51" s="250">
        <f>SUM(C51:D51)</f>
        <v>0</v>
      </c>
      <c r="F51" s="334">
        <v>1.3451810074291308</v>
      </c>
      <c r="G51" s="250">
        <f>E51*F51</f>
        <v>0</v>
      </c>
      <c r="H51" s="343"/>
      <c r="I51" s="250">
        <v>0</v>
      </c>
      <c r="J51" s="250">
        <f>SUM(G51:I51)</f>
        <v>0</v>
      </c>
      <c r="K51" s="343"/>
      <c r="L51" s="250">
        <f>J51-K51</f>
        <v>0</v>
      </c>
      <c r="M51" s="252">
        <f ca="1">M41*(1+Indexation!$C$9)</f>
        <v>1.6355147364877134</v>
      </c>
      <c r="N51" s="311">
        <f>L51*M51/1000</f>
        <v>0</v>
      </c>
      <c r="O51" s="340"/>
      <c r="P51" s="259">
        <f>P41</f>
        <v>0</v>
      </c>
      <c r="Q51" s="259">
        <f>P51*$Q$28</f>
        <v>0</v>
      </c>
      <c r="R51" s="259">
        <v>0</v>
      </c>
      <c r="S51" s="259">
        <f>Q51+R51</f>
        <v>0</v>
      </c>
      <c r="T51" s="252">
        <f ca="1">T41*(1+Indexation!$C$9)</f>
        <v>101.80708459662424</v>
      </c>
      <c r="U51" s="311">
        <f>S51*T51/1000</f>
        <v>0</v>
      </c>
      <c r="V51" s="340"/>
      <c r="W51" s="312">
        <f>N51+U51</f>
        <v>0</v>
      </c>
    </row>
    <row r="52" spans="1:23" s="55" customFormat="1" ht="14.25" customHeight="1" thickBot="1">
      <c r="A52" s="341" t="s">
        <v>17</v>
      </c>
      <c r="B52" s="342"/>
      <c r="C52" s="344"/>
      <c r="D52" s="271">
        <v>0</v>
      </c>
      <c r="E52" s="271">
        <f>SUM(C52:D52)</f>
        <v>0</v>
      </c>
      <c r="F52" s="335">
        <v>1.465628732481334</v>
      </c>
      <c r="G52" s="271">
        <f>E52*F52</f>
        <v>0</v>
      </c>
      <c r="H52" s="344"/>
      <c r="I52" s="271">
        <v>0</v>
      </c>
      <c r="J52" s="271">
        <f>SUM(G52:I52)</f>
        <v>0</v>
      </c>
      <c r="K52" s="344"/>
      <c r="L52" s="271">
        <f>J52-K52</f>
        <v>0</v>
      </c>
      <c r="M52" s="274">
        <f ca="1">M42*(1+Indexation!$C$9)</f>
        <v>1.6497902471016068</v>
      </c>
      <c r="N52" s="314">
        <f>L52*M52/1000</f>
        <v>0</v>
      </c>
      <c r="O52" s="342"/>
      <c r="P52" s="290">
        <f>P42</f>
        <v>0</v>
      </c>
      <c r="Q52" s="290">
        <f>P52*$Q$28</f>
        <v>0</v>
      </c>
      <c r="R52" s="290">
        <v>0</v>
      </c>
      <c r="S52" s="290">
        <f>Q52+R52</f>
        <v>0</v>
      </c>
      <c r="T52" s="274">
        <f ca="1">T42*(1+Indexation!$C$9)</f>
        <v>102.6957027694264</v>
      </c>
      <c r="U52" s="314">
        <f>S52*T52/1000</f>
        <v>0</v>
      </c>
      <c r="V52" s="342"/>
      <c r="W52" s="315">
        <f>N52+U52</f>
        <v>0</v>
      </c>
    </row>
    <row r="53" spans="1:23" s="55" customFormat="1" ht="16.5" customHeight="1">
      <c r="A53" s="10"/>
      <c r="C53" s="10"/>
      <c r="E53" s="10"/>
      <c r="G53" s="10"/>
      <c r="I53" s="10"/>
      <c r="K53" s="10"/>
      <c r="M53" s="10"/>
      <c r="O53" s="10"/>
      <c r="Q53" s="10"/>
      <c r="S53" s="10"/>
      <c r="U53" s="10"/>
      <c r="W53" s="10"/>
    </row>
    <row r="54" spans="1:23" s="55" customFormat="1" ht="15.75">
      <c r="A54" s="20" t="s">
        <v>212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</row>
    <row r="55" spans="1:23" s="55" customFormat="1" ht="9.75" customHeight="1" thickBot="1">
      <c r="A55" s="336"/>
      <c r="B55" s="331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</row>
    <row r="56" spans="1:23" s="55" customFormat="1" ht="13.5" customHeight="1" thickBot="1">
      <c r="A56" s="354" t="s">
        <v>0</v>
      </c>
      <c r="B56" s="65"/>
      <c r="C56" s="357" t="s">
        <v>72</v>
      </c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65"/>
      <c r="P56" s="356" t="s">
        <v>79</v>
      </c>
      <c r="Q56" s="356"/>
      <c r="R56" s="356"/>
      <c r="S56" s="356"/>
      <c r="T56" s="356"/>
      <c r="U56" s="356"/>
      <c r="V56" s="65"/>
      <c r="W56" s="65"/>
    </row>
    <row r="57" spans="1:23" s="55" customFormat="1" ht="63.75" customHeight="1">
      <c r="A57" s="355"/>
      <c r="B57" s="337"/>
      <c r="C57" s="48" t="s">
        <v>127</v>
      </c>
      <c r="D57" s="296" t="s">
        <v>128</v>
      </c>
      <c r="E57" s="296" t="s">
        <v>129</v>
      </c>
      <c r="F57" s="332" t="s">
        <v>75</v>
      </c>
      <c r="G57" s="48" t="s">
        <v>76</v>
      </c>
      <c r="H57" s="48" t="s">
        <v>130</v>
      </c>
      <c r="I57" s="48" t="s">
        <v>131</v>
      </c>
      <c r="J57" s="48" t="s">
        <v>78</v>
      </c>
      <c r="K57" s="296" t="s">
        <v>120</v>
      </c>
      <c r="L57" s="296" t="s">
        <v>122</v>
      </c>
      <c r="M57" s="296" t="s">
        <v>113</v>
      </c>
      <c r="N57" s="299" t="s">
        <v>115</v>
      </c>
      <c r="O57" s="337"/>
      <c r="P57" s="67" t="s">
        <v>124</v>
      </c>
      <c r="Q57" s="67" t="s">
        <v>80</v>
      </c>
      <c r="R57" s="67" t="s">
        <v>125</v>
      </c>
      <c r="S57" s="67" t="s">
        <v>126</v>
      </c>
      <c r="T57" s="296" t="s">
        <v>113</v>
      </c>
      <c r="U57" s="299" t="s">
        <v>115</v>
      </c>
      <c r="V57" s="337"/>
      <c r="W57" s="121" t="s">
        <v>171</v>
      </c>
    </row>
    <row r="58" spans="1:23" s="55" customFormat="1" ht="17.25" customHeight="1">
      <c r="A58" s="355"/>
      <c r="B58" s="337"/>
      <c r="C58" s="296"/>
      <c r="D58" s="296"/>
      <c r="E58" s="296"/>
      <c r="F58" s="296"/>
      <c r="G58" s="296"/>
      <c r="H58" s="296"/>
      <c r="I58" s="296"/>
      <c r="J58" s="296"/>
      <c r="K58" s="296"/>
      <c r="L58" s="296"/>
      <c r="M58" s="296"/>
      <c r="N58" s="299" t="s">
        <v>47</v>
      </c>
      <c r="O58" s="337"/>
      <c r="P58" s="68"/>
      <c r="Q58" s="69">
        <v>2.5500451957059092</v>
      </c>
      <c r="R58" s="296"/>
      <c r="S58" s="296"/>
      <c r="T58" s="296"/>
      <c r="U58" s="299" t="s">
        <v>47</v>
      </c>
      <c r="V58" s="337"/>
      <c r="W58" s="300" t="s">
        <v>47</v>
      </c>
    </row>
    <row r="59" spans="1:23" s="55" customFormat="1" ht="18" customHeight="1">
      <c r="A59" s="62"/>
      <c r="B59" s="338"/>
      <c r="C59" s="16" t="s">
        <v>74</v>
      </c>
      <c r="D59" s="16" t="s">
        <v>74</v>
      </c>
      <c r="E59" s="16" t="s">
        <v>74</v>
      </c>
      <c r="F59" s="16"/>
      <c r="G59" s="16" t="s">
        <v>74</v>
      </c>
      <c r="H59" s="16" t="s">
        <v>74</v>
      </c>
      <c r="I59" s="16" t="s">
        <v>74</v>
      </c>
      <c r="J59" s="16" t="s">
        <v>74</v>
      </c>
      <c r="K59" s="16" t="s">
        <v>74</v>
      </c>
      <c r="L59" s="16" t="s">
        <v>74</v>
      </c>
      <c r="M59" s="16" t="s">
        <v>121</v>
      </c>
      <c r="N59" s="119" t="s">
        <v>1</v>
      </c>
      <c r="O59" s="338"/>
      <c r="P59" s="16" t="s">
        <v>43</v>
      </c>
      <c r="Q59" s="16" t="s">
        <v>43</v>
      </c>
      <c r="R59" s="16" t="s">
        <v>43</v>
      </c>
      <c r="S59" s="16" t="s">
        <v>43</v>
      </c>
      <c r="T59" s="16" t="s">
        <v>123</v>
      </c>
      <c r="U59" s="119" t="s">
        <v>1</v>
      </c>
      <c r="V59" s="338"/>
      <c r="W59" s="122" t="s">
        <v>1</v>
      </c>
    </row>
    <row r="60" spans="1:23" s="55" customFormat="1" ht="13.5" customHeight="1">
      <c r="A60" s="339" t="s">
        <v>4</v>
      </c>
      <c r="B60" s="340"/>
      <c r="C60" s="343"/>
      <c r="D60" s="250">
        <v>0</v>
      </c>
      <c r="E60" s="250">
        <f>SUM(C60:D60)</f>
        <v>0</v>
      </c>
      <c r="F60" s="334">
        <v>1.3736761171026435</v>
      </c>
      <c r="G60" s="250">
        <f>E60*F60</f>
        <v>0</v>
      </c>
      <c r="H60" s="343"/>
      <c r="I60" s="250">
        <v>0</v>
      </c>
      <c r="J60" s="250">
        <f>SUM(G60:I60)</f>
        <v>0</v>
      </c>
      <c r="K60" s="343"/>
      <c r="L60" s="250">
        <f>J60-K60</f>
        <v>0</v>
      </c>
      <c r="M60" s="252">
        <f ca="1">M50*(1+Indexation!$C$10)</f>
        <v>1.6662881495726236</v>
      </c>
      <c r="N60" s="311">
        <f>L60*M60/1000</f>
        <v>0</v>
      </c>
      <c r="O60" s="340"/>
      <c r="P60" s="259">
        <f>P50</f>
        <v>0</v>
      </c>
      <c r="Q60" s="259">
        <f>P60*$Q$28</f>
        <v>0</v>
      </c>
      <c r="R60" s="259">
        <v>0</v>
      </c>
      <c r="S60" s="259">
        <f>Q60+R60</f>
        <v>0</v>
      </c>
      <c r="T60" s="252">
        <f ca="1">T50*(1+Indexation!$C$10)</f>
        <v>103.7226597971207</v>
      </c>
      <c r="U60" s="311">
        <f>S60*T60/1000</f>
        <v>0</v>
      </c>
      <c r="V60" s="340"/>
      <c r="W60" s="312">
        <f>N60+U60</f>
        <v>0</v>
      </c>
    </row>
    <row r="61" spans="1:23" s="55" customFormat="1" ht="14.25" customHeight="1">
      <c r="A61" s="339" t="s">
        <v>15</v>
      </c>
      <c r="B61" s="340"/>
      <c r="C61" s="343"/>
      <c r="D61" s="250">
        <v>0</v>
      </c>
      <c r="E61" s="250">
        <f>SUM(C61:D61)</f>
        <v>0</v>
      </c>
      <c r="F61" s="334">
        <v>1.3451810074291308</v>
      </c>
      <c r="G61" s="250">
        <f>E61*F61</f>
        <v>0</v>
      </c>
      <c r="H61" s="343"/>
      <c r="I61" s="250">
        <v>0</v>
      </c>
      <c r="J61" s="250">
        <f>SUM(G61:I61)</f>
        <v>0</v>
      </c>
      <c r="K61" s="343"/>
      <c r="L61" s="250">
        <f>J61-K61</f>
        <v>0</v>
      </c>
      <c r="M61" s="252">
        <f ca="1">M51*(1+Indexation!$C$10)</f>
        <v>1.6518698838525905</v>
      </c>
      <c r="N61" s="311">
        <f>L61*M61/1000</f>
        <v>0</v>
      </c>
      <c r="O61" s="340"/>
      <c r="P61" s="259">
        <f>P51</f>
        <v>0</v>
      </c>
      <c r="Q61" s="259">
        <f>P61*$Q$28</f>
        <v>0</v>
      </c>
      <c r="R61" s="259">
        <v>0</v>
      </c>
      <c r="S61" s="259">
        <f>Q61+R61</f>
        <v>0</v>
      </c>
      <c r="T61" s="252">
        <f ca="1">T51*(1+Indexation!$C$10)</f>
        <v>102.82515544259049</v>
      </c>
      <c r="U61" s="311">
        <f>S61*T61/1000</f>
        <v>0</v>
      </c>
      <c r="V61" s="340"/>
      <c r="W61" s="312">
        <f>N61+U61</f>
        <v>0</v>
      </c>
    </row>
    <row r="62" spans="1:23" s="55" customFormat="1" ht="14.25" customHeight="1" thickBot="1">
      <c r="A62" s="341" t="s">
        <v>17</v>
      </c>
      <c r="B62" s="342"/>
      <c r="C62" s="344"/>
      <c r="D62" s="271">
        <v>0</v>
      </c>
      <c r="E62" s="271">
        <f>SUM(C62:D62)</f>
        <v>0</v>
      </c>
      <c r="F62" s="335">
        <v>1.465628732481334</v>
      </c>
      <c r="G62" s="271">
        <f>E62*F62</f>
        <v>0</v>
      </c>
      <c r="H62" s="344"/>
      <c r="I62" s="271">
        <v>0</v>
      </c>
      <c r="J62" s="271">
        <f>SUM(G62:I62)</f>
        <v>0</v>
      </c>
      <c r="K62" s="344"/>
      <c r="L62" s="271">
        <f>J62-K62</f>
        <v>0</v>
      </c>
      <c r="M62" s="274">
        <f ca="1">M52*(1+Indexation!$C$10)</f>
        <v>1.6662881495726229</v>
      </c>
      <c r="N62" s="314">
        <f>L62*M62/1000</f>
        <v>0</v>
      </c>
      <c r="O62" s="342"/>
      <c r="P62" s="290">
        <f>P52</f>
        <v>0</v>
      </c>
      <c r="Q62" s="290">
        <f>P62*$Q$28</f>
        <v>0</v>
      </c>
      <c r="R62" s="290">
        <v>0</v>
      </c>
      <c r="S62" s="290">
        <f>Q62+R62</f>
        <v>0</v>
      </c>
      <c r="T62" s="274">
        <f ca="1">T52*(1+Indexation!$C$10)</f>
        <v>103.72265979712067</v>
      </c>
      <c r="U62" s="314">
        <f>S62*T62/1000</f>
        <v>0</v>
      </c>
      <c r="V62" s="342"/>
      <c r="W62" s="315">
        <f>N62+U62</f>
        <v>0</v>
      </c>
    </row>
    <row r="63" spans="1:23" s="55" customFormat="1" ht="16.5" customHeight="1">
      <c r="A63" s="10"/>
    </row>
  </sheetData>
  <mergeCells count="18">
    <mergeCell ref="P16:U16"/>
    <mergeCell ref="C16:N16"/>
    <mergeCell ref="A36:A38"/>
    <mergeCell ref="P36:U36"/>
    <mergeCell ref="C36:N36"/>
    <mergeCell ref="A46:A48"/>
    <mergeCell ref="P46:U46"/>
    <mergeCell ref="C46:N46"/>
    <mergeCell ref="A56:A58"/>
    <mergeCell ref="P56:U56"/>
    <mergeCell ref="C56:N56"/>
    <mergeCell ref="A6:A8"/>
    <mergeCell ref="C6:N6"/>
    <mergeCell ref="P6:U6"/>
    <mergeCell ref="P26:U26"/>
    <mergeCell ref="C26:N26"/>
    <mergeCell ref="A26:A28"/>
    <mergeCell ref="A16:A18"/>
  </mergeCells>
  <phoneticPr fontId="6" type="noConversion"/>
  <pageMargins left="0.74803149606299213" right="0.95" top="0.47244094488188981" bottom="0.47244094488188981" header="0.35433070866141736" footer="0.23622047244094491"/>
  <pageSetup paperSize="5" orientation="landscape" r:id="rId1"/>
  <headerFooter alignWithMargins="0">
    <oddFooter>&amp;L&amp;Z&amp;F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  <pageSetUpPr fitToPage="1"/>
  </sheetPr>
  <dimension ref="A2:P60"/>
  <sheetViews>
    <sheetView workbookViewId="0">
      <selection activeCell="M10" sqref="M10"/>
    </sheetView>
  </sheetViews>
  <sheetFormatPr baseColWidth="10" defaultRowHeight="12.75"/>
  <cols>
    <col min="1" max="1" width="32.42578125" style="2" bestFit="1" customWidth="1"/>
    <col min="2" max="2" width="1.5703125" style="2" customWidth="1"/>
    <col min="3" max="7" width="10.42578125" style="2" customWidth="1"/>
    <col min="8" max="9" width="11.42578125" style="2" customWidth="1"/>
    <col min="10" max="10" width="10.42578125" style="2" customWidth="1"/>
    <col min="11" max="11" width="10.140625" style="2" customWidth="1"/>
    <col min="12" max="12" width="10.5703125" style="2" customWidth="1"/>
    <col min="13" max="16384" width="11.42578125" style="2"/>
  </cols>
  <sheetData>
    <row r="2" spans="1:11" ht="15.75">
      <c r="A2" s="1" t="s">
        <v>38</v>
      </c>
      <c r="B2" s="1"/>
      <c r="C2" s="81"/>
    </row>
    <row r="3" spans="1:11" ht="15.75">
      <c r="A3" s="1"/>
      <c r="B3" s="1"/>
    </row>
    <row r="4" spans="1:11" ht="15.75">
      <c r="A4" s="20" t="s">
        <v>132</v>
      </c>
      <c r="B4" s="1"/>
    </row>
    <row r="5" spans="1:11" ht="13.5" customHeight="1" thickBot="1"/>
    <row r="6" spans="1:11" ht="63.75" customHeight="1">
      <c r="A6" s="352" t="s">
        <v>0</v>
      </c>
      <c r="B6" s="34"/>
      <c r="C6" s="4" t="s">
        <v>168</v>
      </c>
      <c r="D6" s="4" t="s">
        <v>31</v>
      </c>
      <c r="E6" s="4" t="s">
        <v>32</v>
      </c>
      <c r="F6" s="4" t="s">
        <v>33</v>
      </c>
      <c r="G6" s="320" t="s">
        <v>218</v>
      </c>
      <c r="H6" s="4" t="s">
        <v>214</v>
      </c>
      <c r="I6" s="4" t="s">
        <v>215</v>
      </c>
      <c r="J6" s="4" t="s">
        <v>216</v>
      </c>
      <c r="K6" s="4" t="s">
        <v>300</v>
      </c>
    </row>
    <row r="7" spans="1:11" ht="18" customHeight="1">
      <c r="A7" s="353"/>
      <c r="B7" s="5"/>
      <c r="C7" s="16" t="s">
        <v>23</v>
      </c>
      <c r="D7" s="16" t="s">
        <v>23</v>
      </c>
      <c r="E7" s="16" t="s">
        <v>23</v>
      </c>
      <c r="F7" s="16" t="s">
        <v>23</v>
      </c>
      <c r="G7" s="294" t="s">
        <v>23</v>
      </c>
      <c r="H7" s="16" t="s">
        <v>23</v>
      </c>
      <c r="I7" s="16" t="s">
        <v>23</v>
      </c>
      <c r="J7" s="16" t="s">
        <v>23</v>
      </c>
      <c r="K7" s="16" t="s">
        <v>23</v>
      </c>
    </row>
    <row r="8" spans="1:11" ht="14.25" customHeight="1">
      <c r="A8" s="7" t="s">
        <v>4</v>
      </c>
      <c r="B8" s="7"/>
      <c r="C8" s="173">
        <v>171197</v>
      </c>
      <c r="D8" s="14">
        <v>172961</v>
      </c>
      <c r="E8" s="14">
        <v>173310</v>
      </c>
      <c r="F8" s="14">
        <v>174543</v>
      </c>
      <c r="G8" s="328">
        <v>174089.45611579923</v>
      </c>
      <c r="H8" s="59">
        <v>172118</v>
      </c>
      <c r="I8" s="59">
        <v>175560</v>
      </c>
      <c r="J8" s="59">
        <v>176793</v>
      </c>
      <c r="K8" s="59">
        <v>170545</v>
      </c>
    </row>
    <row r="9" spans="1:11" ht="14.25" customHeight="1">
      <c r="A9" s="7" t="s">
        <v>15</v>
      </c>
      <c r="B9" s="7"/>
      <c r="C9" s="173">
        <v>100115</v>
      </c>
      <c r="D9" s="14">
        <v>101530</v>
      </c>
      <c r="E9" s="14">
        <v>103129</v>
      </c>
      <c r="F9" s="14">
        <v>104402</v>
      </c>
      <c r="G9" s="328">
        <v>103860.15240587696</v>
      </c>
      <c r="H9" s="59">
        <v>102684</v>
      </c>
      <c r="I9" s="59">
        <v>105248</v>
      </c>
      <c r="J9" s="59">
        <v>106927</v>
      </c>
      <c r="K9" s="59">
        <v>103967</v>
      </c>
    </row>
    <row r="10" spans="1:11" ht="14.25" customHeight="1">
      <c r="A10" s="8" t="s">
        <v>17</v>
      </c>
      <c r="B10" s="7"/>
      <c r="C10" s="174">
        <v>75530</v>
      </c>
      <c r="D10" s="15">
        <v>78027</v>
      </c>
      <c r="E10" s="15">
        <v>79716</v>
      </c>
      <c r="F10" s="15">
        <v>80622</v>
      </c>
      <c r="G10" s="329">
        <v>82398.107940329224</v>
      </c>
      <c r="H10" s="66">
        <v>81465</v>
      </c>
      <c r="I10" s="66">
        <v>84299</v>
      </c>
      <c r="J10" s="66">
        <v>85818</v>
      </c>
      <c r="K10" s="66">
        <v>84629</v>
      </c>
    </row>
    <row r="11" spans="1:11" ht="18" customHeight="1" thickBot="1">
      <c r="A11" s="11" t="s">
        <v>21</v>
      </c>
      <c r="B11" s="135"/>
      <c r="C11" s="18">
        <f>SUM(C8:C10)</f>
        <v>346842</v>
      </c>
      <c r="D11" s="18">
        <f>SUM(D8:D10)</f>
        <v>352518</v>
      </c>
      <c r="E11" s="18">
        <f>SUM(E8:E10)</f>
        <v>356155</v>
      </c>
      <c r="F11" s="18">
        <f>SUM(F8:F10)</f>
        <v>359567</v>
      </c>
      <c r="G11" s="295">
        <v>1777495.0390801523</v>
      </c>
      <c r="H11" s="18">
        <f>SUM(H8:H10)</f>
        <v>356267</v>
      </c>
      <c r="I11" s="18">
        <f>SUM(I8:I10)</f>
        <v>365107</v>
      </c>
      <c r="J11" s="18">
        <f>SUM(J8:J10)</f>
        <v>369538</v>
      </c>
      <c r="K11" s="18">
        <f>SUM(K8:K10)</f>
        <v>359141</v>
      </c>
    </row>
    <row r="12" spans="1:11" ht="14.45" customHeight="1" thickBot="1">
      <c r="A12" s="201" t="s">
        <v>217</v>
      </c>
    </row>
    <row r="13" spans="1:11" ht="16.5" thickBot="1">
      <c r="B13" s="1"/>
      <c r="D13" s="30"/>
      <c r="H13" s="200">
        <v>1.0002459340551362</v>
      </c>
      <c r="J13" s="128"/>
      <c r="K13" s="127"/>
    </row>
    <row r="14" spans="1:11" ht="15.75">
      <c r="A14" s="20" t="s">
        <v>162</v>
      </c>
      <c r="B14" s="163"/>
      <c r="C14" s="160"/>
      <c r="D14" s="160"/>
      <c r="E14" s="160"/>
      <c r="F14" s="160"/>
      <c r="G14" s="160"/>
      <c r="H14" s="160"/>
      <c r="I14" s="160"/>
      <c r="J14" s="160"/>
      <c r="K14" s="160"/>
    </row>
    <row r="15" spans="1:11" ht="13.5" thickBot="1">
      <c r="A15" s="105"/>
      <c r="B15" s="164"/>
      <c r="C15" s="164"/>
      <c r="D15" s="164"/>
      <c r="E15" s="164"/>
      <c r="F15" s="164"/>
      <c r="G15" s="164"/>
      <c r="H15" s="164"/>
      <c r="I15" s="164"/>
      <c r="J15" s="164"/>
      <c r="K15" s="160"/>
    </row>
    <row r="16" spans="1:11" ht="67.5" customHeight="1">
      <c r="A16" s="352" t="s">
        <v>0</v>
      </c>
      <c r="B16" s="154"/>
      <c r="C16" s="4" t="s">
        <v>169</v>
      </c>
      <c r="D16" s="4" t="s">
        <v>25</v>
      </c>
      <c r="E16" s="4" t="s">
        <v>170</v>
      </c>
      <c r="F16" s="4" t="s">
        <v>113</v>
      </c>
      <c r="G16" s="118" t="s">
        <v>115</v>
      </c>
      <c r="H16" s="19" t="s">
        <v>138</v>
      </c>
      <c r="I16" s="4" t="s">
        <v>113</v>
      </c>
      <c r="J16" s="118" t="s">
        <v>115</v>
      </c>
      <c r="K16" s="121" t="s">
        <v>171</v>
      </c>
    </row>
    <row r="17" spans="1:11">
      <c r="A17" s="353"/>
      <c r="B17" s="302"/>
      <c r="C17" s="16" t="s">
        <v>23</v>
      </c>
      <c r="D17" s="6" t="s">
        <v>1</v>
      </c>
      <c r="E17" s="16" t="s">
        <v>23</v>
      </c>
      <c r="F17" s="16" t="s">
        <v>137</v>
      </c>
      <c r="G17" s="119" t="s">
        <v>1</v>
      </c>
      <c r="H17" s="6" t="s">
        <v>1</v>
      </c>
      <c r="I17" s="16" t="s">
        <v>140</v>
      </c>
      <c r="J17" s="119" t="s">
        <v>1</v>
      </c>
      <c r="K17" s="122" t="s">
        <v>1</v>
      </c>
    </row>
    <row r="18" spans="1:11">
      <c r="A18" s="249" t="s">
        <v>4</v>
      </c>
      <c r="B18" s="304"/>
      <c r="C18" s="250">
        <f>D8-C8</f>
        <v>1764</v>
      </c>
      <c r="D18" s="17">
        <v>1.3736761171026435</v>
      </c>
      <c r="E18" s="250">
        <f>C18*D18</f>
        <v>2423.1646705690632</v>
      </c>
      <c r="F18" s="252">
        <v>24.706739146193382</v>
      </c>
      <c r="G18" s="253">
        <f>E18*F18/1000</f>
        <v>59.868497424021463</v>
      </c>
      <c r="H18" s="259">
        <v>0</v>
      </c>
      <c r="I18" s="252">
        <v>44.288535164723591</v>
      </c>
      <c r="J18" s="253">
        <f>H18*I18/1000</f>
        <v>0</v>
      </c>
      <c r="K18" s="255">
        <f>G18+J18</f>
        <v>59.868497424021463</v>
      </c>
    </row>
    <row r="19" spans="1:11">
      <c r="A19" s="249" t="s">
        <v>15</v>
      </c>
      <c r="B19" s="304"/>
      <c r="C19" s="250">
        <f>D9-C9</f>
        <v>1415</v>
      </c>
      <c r="D19" s="17">
        <v>1.3451810074291308</v>
      </c>
      <c r="E19" s="250">
        <f>C19*D19</f>
        <v>1903.4311255122202</v>
      </c>
      <c r="F19" s="252">
        <v>24.706739146193382</v>
      </c>
      <c r="G19" s="253">
        <f>E19*F19/1000</f>
        <v>47.027576300775699</v>
      </c>
      <c r="H19" s="259">
        <v>0</v>
      </c>
      <c r="I19" s="252">
        <v>44.288535164723591</v>
      </c>
      <c r="J19" s="253">
        <f>H19*I19/1000</f>
        <v>0</v>
      </c>
      <c r="K19" s="255">
        <f>G19+J19</f>
        <v>47.027576300775699</v>
      </c>
    </row>
    <row r="20" spans="1:11" ht="13.5" thickBot="1">
      <c r="A20" s="269" t="s">
        <v>17</v>
      </c>
      <c r="B20" s="282"/>
      <c r="C20" s="271">
        <f>D10-C10</f>
        <v>2497</v>
      </c>
      <c r="D20" s="272">
        <v>1.465628732481334</v>
      </c>
      <c r="E20" s="271">
        <f>C20*D20</f>
        <v>3659.674945005891</v>
      </c>
      <c r="F20" s="274">
        <v>24.706739146193382</v>
      </c>
      <c r="G20" s="275">
        <f>E20*F20/1000</f>
        <v>90.418634226120162</v>
      </c>
      <c r="H20" s="290">
        <v>0</v>
      </c>
      <c r="I20" s="274">
        <v>44.288535164723591</v>
      </c>
      <c r="J20" s="275">
        <f>H20*I20/1000</f>
        <v>0</v>
      </c>
      <c r="K20" s="277">
        <f>G20+J20</f>
        <v>90.418634226120162</v>
      </c>
    </row>
    <row r="21" spans="1:11">
      <c r="A21" s="135"/>
      <c r="G21" s="63"/>
    </row>
    <row r="22" spans="1:11" ht="15.75">
      <c r="A22" s="20" t="s">
        <v>29</v>
      </c>
      <c r="B22" s="1"/>
      <c r="D22" s="58"/>
      <c r="H22" s="64"/>
      <c r="I22" s="64"/>
    </row>
    <row r="23" spans="1:11" ht="13.5" thickBot="1">
      <c r="A23" s="105"/>
      <c r="B23" s="13"/>
      <c r="C23" s="13"/>
      <c r="D23" s="13"/>
      <c r="E23" s="13"/>
      <c r="F23" s="13"/>
      <c r="G23" s="13"/>
      <c r="H23" s="13"/>
      <c r="I23" s="13"/>
      <c r="J23" s="13"/>
    </row>
    <row r="24" spans="1:11" ht="67.5" customHeight="1">
      <c r="A24" s="352" t="s">
        <v>0</v>
      </c>
      <c r="B24" s="3"/>
      <c r="C24" s="4" t="s">
        <v>133</v>
      </c>
      <c r="D24" s="4" t="s">
        <v>25</v>
      </c>
      <c r="E24" s="4" t="s">
        <v>135</v>
      </c>
      <c r="F24" s="4" t="s">
        <v>166</v>
      </c>
      <c r="G24" s="118" t="s">
        <v>115</v>
      </c>
      <c r="H24" s="19" t="s">
        <v>138</v>
      </c>
      <c r="I24" s="4" t="s">
        <v>166</v>
      </c>
      <c r="J24" s="118" t="s">
        <v>115</v>
      </c>
      <c r="K24" s="121" t="s">
        <v>171</v>
      </c>
    </row>
    <row r="25" spans="1:11">
      <c r="A25" s="353"/>
      <c r="B25" s="301"/>
      <c r="C25" s="16" t="s">
        <v>23</v>
      </c>
      <c r="D25" s="6" t="s">
        <v>1</v>
      </c>
      <c r="E25" s="16" t="s">
        <v>23</v>
      </c>
      <c r="F25" s="16" t="s">
        <v>137</v>
      </c>
      <c r="G25" s="119" t="s">
        <v>1</v>
      </c>
      <c r="H25" s="6" t="s">
        <v>1</v>
      </c>
      <c r="I25" s="16" t="s">
        <v>140</v>
      </c>
      <c r="J25" s="119" t="s">
        <v>1</v>
      </c>
      <c r="K25" s="122" t="s">
        <v>1</v>
      </c>
    </row>
    <row r="26" spans="1:11">
      <c r="A26" s="249" t="s">
        <v>4</v>
      </c>
      <c r="B26" s="249"/>
      <c r="C26" s="307">
        <f>E8-D8</f>
        <v>349</v>
      </c>
      <c r="D26" s="17">
        <v>1.3736761171026435</v>
      </c>
      <c r="E26" s="307">
        <f>C26*D26</f>
        <v>479.4129648688226</v>
      </c>
      <c r="F26" s="309">
        <v>24.929133326828403</v>
      </c>
      <c r="G26" s="311">
        <f>E26*F26/1000</f>
        <v>11.951349719824979</v>
      </c>
      <c r="H26" s="264">
        <v>0</v>
      </c>
      <c r="I26" s="309">
        <v>44.687192083032528</v>
      </c>
      <c r="J26" s="311">
        <f>H26*I26/1000</f>
        <v>0</v>
      </c>
      <c r="K26" s="312">
        <f>G26+J26</f>
        <v>11.951349719824979</v>
      </c>
    </row>
    <row r="27" spans="1:11">
      <c r="A27" s="249" t="s">
        <v>15</v>
      </c>
      <c r="B27" s="249"/>
      <c r="C27" s="307">
        <f>E9-D9</f>
        <v>1599</v>
      </c>
      <c r="D27" s="17">
        <v>1.3451810074291308</v>
      </c>
      <c r="E27" s="307">
        <f>C27*D27</f>
        <v>2150.9444308791803</v>
      </c>
      <c r="F27" s="309">
        <v>24.708284926661765</v>
      </c>
      <c r="G27" s="311">
        <f>E27*F27/1000</f>
        <v>53.146147859579116</v>
      </c>
      <c r="H27" s="264">
        <v>43802.100000000006</v>
      </c>
      <c r="I27" s="309">
        <v>44.291306082902068</v>
      </c>
      <c r="J27" s="311">
        <f>H27*I27/1000</f>
        <v>1940.052218173885</v>
      </c>
      <c r="K27" s="312">
        <f>G27+J27</f>
        <v>1993.198366033464</v>
      </c>
    </row>
    <row r="28" spans="1:11" ht="13.5" thickBot="1">
      <c r="A28" s="269" t="s">
        <v>17</v>
      </c>
      <c r="B28" s="269"/>
      <c r="C28" s="279">
        <f>E10-D10</f>
        <v>1689</v>
      </c>
      <c r="D28" s="272">
        <v>1.465628732481334</v>
      </c>
      <c r="E28" s="279">
        <f>C28*D28</f>
        <v>2475.446929160973</v>
      </c>
      <c r="F28" s="281">
        <v>24.953806537655318</v>
      </c>
      <c r="G28" s="314">
        <f>E28*F28/1000</f>
        <v>61.771823764515865</v>
      </c>
      <c r="H28" s="316">
        <v>0</v>
      </c>
      <c r="I28" s="281">
        <v>44.731420516370832</v>
      </c>
      <c r="J28" s="314">
        <f>H28*I28/1000</f>
        <v>0</v>
      </c>
      <c r="K28" s="315">
        <f>G28+J28</f>
        <v>61.771823764515865</v>
      </c>
    </row>
    <row r="29" spans="1:11">
      <c r="A29" s="10" t="s">
        <v>167</v>
      </c>
      <c r="G29" s="63"/>
    </row>
    <row r="30" spans="1:11" ht="15.75">
      <c r="A30" s="20" t="s">
        <v>30</v>
      </c>
      <c r="B30" s="1"/>
      <c r="G30" s="63"/>
      <c r="H30" s="136"/>
    </row>
    <row r="31" spans="1:11" ht="13.5" thickBot="1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1" ht="67.5" customHeight="1">
      <c r="A32" s="352" t="s">
        <v>0</v>
      </c>
      <c r="B32" s="3"/>
      <c r="C32" s="4" t="s">
        <v>134</v>
      </c>
      <c r="D32" s="4" t="s">
        <v>25</v>
      </c>
      <c r="E32" s="4" t="s">
        <v>136</v>
      </c>
      <c r="F32" s="4" t="s">
        <v>113</v>
      </c>
      <c r="G32" s="118" t="s">
        <v>115</v>
      </c>
      <c r="H32" s="19" t="s">
        <v>138</v>
      </c>
      <c r="I32" s="4" t="s">
        <v>113</v>
      </c>
      <c r="J32" s="118" t="s">
        <v>115</v>
      </c>
      <c r="K32" s="121" t="s">
        <v>171</v>
      </c>
    </row>
    <row r="33" spans="1:11">
      <c r="A33" s="353"/>
      <c r="B33" s="301"/>
      <c r="C33" s="16" t="s">
        <v>23</v>
      </c>
      <c r="D33" s="6" t="s">
        <v>1</v>
      </c>
      <c r="E33" s="16" t="s">
        <v>23</v>
      </c>
      <c r="F33" s="16" t="s">
        <v>137</v>
      </c>
      <c r="G33" s="119" t="s">
        <v>1</v>
      </c>
      <c r="H33" s="6" t="s">
        <v>1</v>
      </c>
      <c r="I33" s="16" t="s">
        <v>140</v>
      </c>
      <c r="J33" s="119" t="s">
        <v>1</v>
      </c>
      <c r="K33" s="122" t="s">
        <v>1</v>
      </c>
    </row>
    <row r="34" spans="1:11">
      <c r="A34" s="249" t="s">
        <v>4</v>
      </c>
      <c r="B34" s="249"/>
      <c r="C34" s="307">
        <f>F8-E8</f>
        <v>1233</v>
      </c>
      <c r="D34" s="17">
        <v>1.3736761171026435</v>
      </c>
      <c r="E34" s="307">
        <f>C34*D34</f>
        <v>1693.7426523875595</v>
      </c>
      <c r="F34" s="309">
        <f ca="1">F26*(1+Indexation!$C$7)</f>
        <v>25.303070326730825</v>
      </c>
      <c r="G34" s="311">
        <f ca="1">E34*F34/1000</f>
        <v>42.856889448746017</v>
      </c>
      <c r="H34" s="264">
        <v>0</v>
      </c>
      <c r="I34" s="309">
        <f ca="1">I26*(1+Indexation!$C$7)</f>
        <v>45.357499964278013</v>
      </c>
      <c r="J34" s="311">
        <f>H34*I34/1000</f>
        <v>0</v>
      </c>
      <c r="K34" s="312">
        <f>G34+J34</f>
        <v>42.856889448746017</v>
      </c>
    </row>
    <row r="35" spans="1:11">
      <c r="A35" s="249" t="s">
        <v>15</v>
      </c>
      <c r="B35" s="249"/>
      <c r="C35" s="307">
        <f>F9-E9</f>
        <v>1273</v>
      </c>
      <c r="D35" s="17">
        <v>1.3451810074291308</v>
      </c>
      <c r="E35" s="307">
        <f>C35*D35</f>
        <v>1712.4154224572835</v>
      </c>
      <c r="F35" s="309">
        <f ca="1">F27*(1+Indexation!$C$7)</f>
        <v>25.078909200561689</v>
      </c>
      <c r="G35" s="311">
        <f ca="1">E35*F35/1000</f>
        <v>42.945510893447704</v>
      </c>
      <c r="H35" s="264">
        <v>0</v>
      </c>
      <c r="I35" s="309">
        <f ca="1">I27*(1+Indexation!$C$7)</f>
        <v>44.955675674145596</v>
      </c>
      <c r="J35" s="311">
        <f>H35*I35/1000</f>
        <v>0</v>
      </c>
      <c r="K35" s="312">
        <f>G35+J35</f>
        <v>42.945510893447704</v>
      </c>
    </row>
    <row r="36" spans="1:11" ht="13.5" thickBot="1">
      <c r="A36" s="269" t="s">
        <v>17</v>
      </c>
      <c r="B36" s="269"/>
      <c r="C36" s="279">
        <f>F10-E10</f>
        <v>906</v>
      </c>
      <c r="D36" s="272">
        <v>1.465628732481334</v>
      </c>
      <c r="E36" s="279">
        <f>C36*D36</f>
        <v>1327.8596316280887</v>
      </c>
      <c r="F36" s="281">
        <f ca="1">F28*(1+Indexation!$C$7)</f>
        <v>25.328113635720147</v>
      </c>
      <c r="G36" s="314">
        <f ca="1">E36*F36/1000</f>
        <v>33.632179642161724</v>
      </c>
      <c r="H36" s="316">
        <v>0</v>
      </c>
      <c r="I36" s="281">
        <f ca="1">I28*(1+Indexation!$C$7)</f>
        <v>45.402391824116393</v>
      </c>
      <c r="J36" s="314">
        <f>H36*I36/1000</f>
        <v>0</v>
      </c>
      <c r="K36" s="315">
        <f>G36+J36</f>
        <v>33.632179642161724</v>
      </c>
    </row>
    <row r="37" spans="1:11">
      <c r="A37" s="10"/>
      <c r="G37" s="63"/>
    </row>
    <row r="38" spans="1:11" ht="15.75">
      <c r="A38" s="20" t="s">
        <v>206</v>
      </c>
      <c r="B38" s="1"/>
      <c r="G38" s="63"/>
      <c r="H38" s="136"/>
    </row>
    <row r="39" spans="1:11" ht="13.5" thickBot="1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1" ht="67.5" customHeight="1">
      <c r="A40" s="352" t="s">
        <v>0</v>
      </c>
      <c r="B40" s="3"/>
      <c r="C40" s="4" t="s">
        <v>220</v>
      </c>
      <c r="D40" s="4" t="s">
        <v>25</v>
      </c>
      <c r="E40" s="4" t="s">
        <v>222</v>
      </c>
      <c r="F40" s="4" t="s">
        <v>113</v>
      </c>
      <c r="G40" s="118" t="s">
        <v>115</v>
      </c>
      <c r="H40" s="19" t="s">
        <v>138</v>
      </c>
      <c r="I40" s="4" t="s">
        <v>113</v>
      </c>
      <c r="J40" s="118" t="s">
        <v>115</v>
      </c>
      <c r="K40" s="121" t="s">
        <v>171</v>
      </c>
    </row>
    <row r="41" spans="1:11">
      <c r="A41" s="353"/>
      <c r="B41" s="5"/>
      <c r="C41" s="16" t="s">
        <v>23</v>
      </c>
      <c r="D41" s="6" t="s">
        <v>1</v>
      </c>
      <c r="E41" s="16" t="s">
        <v>23</v>
      </c>
      <c r="F41" s="16" t="s">
        <v>137</v>
      </c>
      <c r="G41" s="119" t="s">
        <v>1</v>
      </c>
      <c r="H41" s="6" t="s">
        <v>1</v>
      </c>
      <c r="I41" s="16" t="s">
        <v>140</v>
      </c>
      <c r="J41" s="119" t="s">
        <v>1</v>
      </c>
      <c r="K41" s="122" t="s">
        <v>1</v>
      </c>
    </row>
    <row r="42" spans="1:11">
      <c r="A42" s="7" t="s">
        <v>4</v>
      </c>
      <c r="B42" s="7"/>
      <c r="C42" s="14">
        <f>G8-F8</f>
        <v>-453.54388420077157</v>
      </c>
      <c r="D42" s="17">
        <v>1.3736761171026435</v>
      </c>
      <c r="E42" s="14">
        <f>C42*D42</f>
        <v>-623.02240178456691</v>
      </c>
      <c r="F42" s="106">
        <f ca="1">F34*(1+Indexation!$C$8)</f>
        <v>25.556101029998135</v>
      </c>
      <c r="G42" s="120">
        <f ca="1">E42*F42/1000</f>
        <v>-15.922023443958482</v>
      </c>
      <c r="H42" s="27">
        <v>0</v>
      </c>
      <c r="I42" s="106">
        <f ca="1">I34*(1+Indexation!$C$8)</f>
        <v>45.811074963920795</v>
      </c>
      <c r="J42" s="120">
        <f>H42*I42/1000</f>
        <v>0</v>
      </c>
      <c r="K42" s="123">
        <f>G42+J42</f>
        <v>-15.922023443958482</v>
      </c>
    </row>
    <row r="43" spans="1:11">
      <c r="A43" s="249" t="s">
        <v>15</v>
      </c>
      <c r="B43" s="249"/>
      <c r="C43" s="307">
        <f>G9-F9</f>
        <v>-541.84759412304265</v>
      </c>
      <c r="D43" s="17">
        <v>1.3451810074291308</v>
      </c>
      <c r="E43" s="307">
        <f>C43*D43</f>
        <v>-728.88309253548528</v>
      </c>
      <c r="F43" s="309">
        <f ca="1">F35*(1+Indexation!$C$8)</f>
        <v>25.329698292567308</v>
      </c>
      <c r="G43" s="311">
        <f ca="1">E43*F43/1000</f>
        <v>-18.462388824477262</v>
      </c>
      <c r="H43" s="264">
        <v>0</v>
      </c>
      <c r="I43" s="309">
        <f ca="1">I35*(1+Indexation!$C$8)</f>
        <v>45.405232430887054</v>
      </c>
      <c r="J43" s="311">
        <f>H43*I43/1000</f>
        <v>0</v>
      </c>
      <c r="K43" s="312">
        <f>G43+J43</f>
        <v>-18.462388824477262</v>
      </c>
    </row>
    <row r="44" spans="1:11" ht="13.5" thickBot="1">
      <c r="A44" s="269" t="s">
        <v>17</v>
      </c>
      <c r="B44" s="269"/>
      <c r="C44" s="279">
        <f>G10-F10</f>
        <v>1776.1079403292242</v>
      </c>
      <c r="D44" s="272">
        <v>1.465628732481334</v>
      </c>
      <c r="E44" s="279">
        <f>C44*D44</f>
        <v>2603.1148293347537</v>
      </c>
      <c r="F44" s="281">
        <f ca="1">F36*(1+Indexation!$C$8)</f>
        <v>25.581394772077349</v>
      </c>
      <c r="G44" s="314">
        <f ca="1">E44*F44/1000</f>
        <v>66.591308086261094</v>
      </c>
      <c r="H44" s="316">
        <v>0</v>
      </c>
      <c r="I44" s="281">
        <f ca="1">I36*(1+Indexation!$C$8)</f>
        <v>45.856415742357555</v>
      </c>
      <c r="J44" s="314">
        <f>H44*I44/1000</f>
        <v>0</v>
      </c>
      <c r="K44" s="315">
        <f>G44+J44</f>
        <v>66.591308086261094</v>
      </c>
    </row>
    <row r="45" spans="1:11">
      <c r="A45" s="201" t="s">
        <v>217</v>
      </c>
      <c r="G45" s="63"/>
    </row>
    <row r="46" spans="1:11" ht="15.75">
      <c r="A46" s="20" t="s">
        <v>209</v>
      </c>
      <c r="B46" s="1"/>
      <c r="G46" s="63"/>
      <c r="H46" s="136"/>
    </row>
    <row r="47" spans="1:11" ht="13.5" thickBot="1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1" ht="67.5" customHeight="1">
      <c r="A48" s="352" t="s">
        <v>0</v>
      </c>
      <c r="B48" s="3"/>
      <c r="C48" s="4" t="s">
        <v>221</v>
      </c>
      <c r="D48" s="4" t="s">
        <v>25</v>
      </c>
      <c r="E48" s="4" t="s">
        <v>223</v>
      </c>
      <c r="F48" s="4" t="s">
        <v>113</v>
      </c>
      <c r="G48" s="118" t="s">
        <v>115</v>
      </c>
      <c r="H48" s="19" t="s">
        <v>138</v>
      </c>
      <c r="I48" s="4" t="s">
        <v>113</v>
      </c>
      <c r="J48" s="118" t="s">
        <v>115</v>
      </c>
      <c r="K48" s="121" t="s">
        <v>171</v>
      </c>
    </row>
    <row r="49" spans="1:16">
      <c r="A49" s="353"/>
      <c r="B49" s="5"/>
      <c r="C49" s="16" t="s">
        <v>23</v>
      </c>
      <c r="D49" s="6" t="s">
        <v>1</v>
      </c>
      <c r="E49" s="16" t="s">
        <v>23</v>
      </c>
      <c r="F49" s="16" t="s">
        <v>137</v>
      </c>
      <c r="G49" s="119" t="s">
        <v>1</v>
      </c>
      <c r="H49" s="6" t="s">
        <v>1</v>
      </c>
      <c r="I49" s="16" t="s">
        <v>140</v>
      </c>
      <c r="J49" s="119" t="s">
        <v>1</v>
      </c>
      <c r="K49" s="122" t="s">
        <v>1</v>
      </c>
    </row>
    <row r="50" spans="1:16">
      <c r="A50" s="249" t="s">
        <v>4</v>
      </c>
      <c r="B50" s="249"/>
      <c r="C50" s="307">
        <f>I8-G8</f>
        <v>1470.5438842007716</v>
      </c>
      <c r="D50" s="17">
        <v>1.3736761171026435</v>
      </c>
      <c r="E50" s="307">
        <f>C50*D50</f>
        <v>2020.0510128779554</v>
      </c>
      <c r="F50" s="309">
        <f ca="1">F42*(1+Indexation!$C$9)</f>
        <v>25.811662040298117</v>
      </c>
      <c r="G50" s="311">
        <f ca="1">E50*F50/1000</f>
        <v>52.140874048567682</v>
      </c>
      <c r="H50" s="259">
        <v>0</v>
      </c>
      <c r="I50" s="309">
        <f ca="1">I42*(1+Indexation!$C$9)</f>
        <v>46.269185713560006</v>
      </c>
      <c r="J50" s="311">
        <f>H50*I50/1000</f>
        <v>0</v>
      </c>
      <c r="K50" s="312">
        <f>G50+J50</f>
        <v>52.140874048567682</v>
      </c>
    </row>
    <row r="51" spans="1:16">
      <c r="A51" s="249" t="s">
        <v>15</v>
      </c>
      <c r="B51" s="249"/>
      <c r="C51" s="307">
        <f>I9-G9</f>
        <v>1387.8475941230427</v>
      </c>
      <c r="D51" s="17">
        <v>1.3451810074291308</v>
      </c>
      <c r="E51" s="307">
        <f>C51*D51</f>
        <v>1866.90622482053</v>
      </c>
      <c r="F51" s="309">
        <f ca="1">F43*(1+Indexation!$C$9)</f>
        <v>25.58299527549298</v>
      </c>
      <c r="G51" s="311">
        <f ca="1">E51*F51/1000</f>
        <v>47.761053129372058</v>
      </c>
      <c r="H51" s="259">
        <v>0</v>
      </c>
      <c r="I51" s="309">
        <f ca="1">I43*(1+Indexation!$C$9)</f>
        <v>45.859284755195922</v>
      </c>
      <c r="J51" s="311">
        <f>H51*I51/1000</f>
        <v>0</v>
      </c>
      <c r="K51" s="312">
        <f>G51+J51</f>
        <v>47.761053129372058</v>
      </c>
    </row>
    <row r="52" spans="1:16" ht="13.5" thickBot="1">
      <c r="A52" s="269" t="s">
        <v>17</v>
      </c>
      <c r="B52" s="269"/>
      <c r="C52" s="279">
        <f>I10-G10</f>
        <v>1900.8920596707758</v>
      </c>
      <c r="D52" s="272">
        <v>1.465628732481334</v>
      </c>
      <c r="E52" s="279">
        <f>C52*D52</f>
        <v>2786.0020199991113</v>
      </c>
      <c r="F52" s="281">
        <f ca="1">F44*(1+Indexation!$C$9)</f>
        <v>25.837208719798124</v>
      </c>
      <c r="G52" s="314">
        <f ca="1">E52*F52/1000</f>
        <v>71.982515684496235</v>
      </c>
      <c r="H52" s="290">
        <v>0</v>
      </c>
      <c r="I52" s="281">
        <f ca="1">I44*(1+Indexation!$C$9)</f>
        <v>46.314979899781129</v>
      </c>
      <c r="J52" s="314">
        <f>H52*I52/1000</f>
        <v>0</v>
      </c>
      <c r="K52" s="315">
        <f>G52+J52</f>
        <v>71.982515684496235</v>
      </c>
    </row>
    <row r="53" spans="1:16">
      <c r="A53" s="201" t="s">
        <v>217</v>
      </c>
      <c r="G53" s="63"/>
    </row>
    <row r="54" spans="1:16" ht="15.75">
      <c r="A54" s="20" t="s">
        <v>212</v>
      </c>
      <c r="B54" s="1"/>
      <c r="G54" s="63"/>
      <c r="H54" s="136"/>
    </row>
    <row r="55" spans="1:16" ht="13.5" thickBot="1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6" ht="67.5" customHeight="1">
      <c r="A56" s="352" t="s">
        <v>0</v>
      </c>
      <c r="B56" s="3"/>
      <c r="C56" s="4" t="s">
        <v>224</v>
      </c>
      <c r="D56" s="4" t="s">
        <v>25</v>
      </c>
      <c r="E56" s="4" t="s">
        <v>225</v>
      </c>
      <c r="F56" s="4" t="s">
        <v>113</v>
      </c>
      <c r="G56" s="118" t="s">
        <v>115</v>
      </c>
      <c r="H56" s="19" t="s">
        <v>138</v>
      </c>
      <c r="I56" s="4" t="s">
        <v>113</v>
      </c>
      <c r="J56" s="118" t="s">
        <v>115</v>
      </c>
      <c r="K56" s="121" t="s">
        <v>171</v>
      </c>
    </row>
    <row r="57" spans="1:16">
      <c r="A57" s="353"/>
      <c r="B57" s="5"/>
      <c r="C57" s="16" t="s">
        <v>23</v>
      </c>
      <c r="D57" s="6" t="s">
        <v>1</v>
      </c>
      <c r="E57" s="16" t="s">
        <v>23</v>
      </c>
      <c r="F57" s="16" t="s">
        <v>137</v>
      </c>
      <c r="G57" s="119" t="s">
        <v>1</v>
      </c>
      <c r="H57" s="6" t="s">
        <v>1</v>
      </c>
      <c r="I57" s="16" t="s">
        <v>140</v>
      </c>
      <c r="J57" s="119" t="s">
        <v>1</v>
      </c>
      <c r="K57" s="122" t="s">
        <v>1</v>
      </c>
    </row>
    <row r="58" spans="1:16">
      <c r="A58" s="7" t="s">
        <v>4</v>
      </c>
      <c r="B58" s="7"/>
      <c r="C58" s="14">
        <f>J8-I8</f>
        <v>1233</v>
      </c>
      <c r="D58" s="17">
        <v>1.3736761171026435</v>
      </c>
      <c r="E58" s="14">
        <f>C58*D58</f>
        <v>1693.7426523875595</v>
      </c>
      <c r="F58" s="106">
        <f ca="1">F50*(1+Indexation!$C$10)</f>
        <v>26.069778660701097</v>
      </c>
      <c r="G58" s="120">
        <f ca="1">E58*F58/1000</f>
        <v>44.155496055932474</v>
      </c>
      <c r="H58" s="40">
        <v>0</v>
      </c>
      <c r="I58" s="106">
        <f ca="1">I50*(1+Indexation!$C$10)</f>
        <v>46.731877570695609</v>
      </c>
      <c r="J58" s="120">
        <f>H58*I58/1000</f>
        <v>0</v>
      </c>
      <c r="K58" s="123">
        <f>G58+J58</f>
        <v>44.155496055932474</v>
      </c>
    </row>
    <row r="59" spans="1:16">
      <c r="A59" s="7" t="s">
        <v>15</v>
      </c>
      <c r="B59" s="7"/>
      <c r="C59" s="14">
        <f>J9-I9</f>
        <v>1679</v>
      </c>
      <c r="D59" s="17">
        <v>1.3451810074291308</v>
      </c>
      <c r="E59" s="14">
        <f>C59*D59</f>
        <v>2258.5589114735108</v>
      </c>
      <c r="F59" s="106">
        <f ca="1">F51*(1+Indexation!$C$10)</f>
        <v>25.838825228247909</v>
      </c>
      <c r="G59" s="120">
        <f ca="1">E59*F59/1000</f>
        <v>58.358508981265885</v>
      </c>
      <c r="H59" s="40">
        <v>0</v>
      </c>
      <c r="I59" s="106">
        <f ca="1">I51*(1+Indexation!$C$10)</f>
        <v>46.317877602747885</v>
      </c>
      <c r="J59" s="120">
        <f>H59*I59/1000</f>
        <v>0</v>
      </c>
      <c r="K59" s="123">
        <f>G59+J59</f>
        <v>58.358508981265885</v>
      </c>
      <c r="P59" s="2" t="e">
        <f>#REF!/1.01</f>
        <v>#REF!</v>
      </c>
    </row>
    <row r="60" spans="1:16" ht="13.5" thickBot="1">
      <c r="A60" s="269" t="s">
        <v>17</v>
      </c>
      <c r="B60" s="269"/>
      <c r="C60" s="279">
        <f>J10-I10</f>
        <v>1519</v>
      </c>
      <c r="D60" s="272">
        <v>1.465628732481334</v>
      </c>
      <c r="E60" s="279">
        <f>C60*D60</f>
        <v>2226.2900446391463</v>
      </c>
      <c r="F60" s="281">
        <f ca="1">F52*(1+Indexation!$C$10)</f>
        <v>26.095580806996104</v>
      </c>
      <c r="G60" s="314">
        <f ca="1">E60*F60/1000</f>
        <v>58.096331759691807</v>
      </c>
      <c r="H60" s="290">
        <v>0</v>
      </c>
      <c r="I60" s="281">
        <f ca="1">I52*(1+Indexation!$C$10)</f>
        <v>46.77812969877894</v>
      </c>
      <c r="J60" s="314">
        <f>H60*I60/1000</f>
        <v>0</v>
      </c>
      <c r="K60" s="315">
        <f>G60+J60</f>
        <v>58.096331759691807</v>
      </c>
    </row>
  </sheetData>
  <mergeCells count="7">
    <mergeCell ref="A48:A49"/>
    <mergeCell ref="A56:A57"/>
    <mergeCell ref="A32:A33"/>
    <mergeCell ref="A6:A7"/>
    <mergeCell ref="A24:A25"/>
    <mergeCell ref="A16:A17"/>
    <mergeCell ref="A40:A41"/>
  </mergeCells>
  <phoneticPr fontId="6" type="noConversion"/>
  <pageMargins left="0.74803149606299213" right="0.95" top="0.47244094488188981" bottom="0.47244094488188981" header="0.35433070866141736" footer="0.23622047244094491"/>
  <pageSetup scale="72" orientation="landscape" r:id="rId1"/>
  <headerFooter alignWithMargins="0">
    <oddFooter>&amp;L&amp;Z&amp;F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2:Y160"/>
  <sheetViews>
    <sheetView zoomScale="85" zoomScaleNormal="85" workbookViewId="0">
      <selection activeCell="J64" sqref="J64"/>
    </sheetView>
  </sheetViews>
  <sheetFormatPr baseColWidth="10" defaultRowHeight="12.75"/>
  <cols>
    <col min="1" max="1" width="32.42578125" style="2" bestFit="1" customWidth="1"/>
    <col min="2" max="2" width="1.5703125" style="2" customWidth="1"/>
    <col min="3" max="6" width="10.42578125" style="2" customWidth="1"/>
    <col min="7" max="8" width="9.140625" style="2" customWidth="1"/>
    <col min="9" max="13" width="10.42578125" style="2" customWidth="1"/>
    <col min="14" max="14" width="1.42578125" style="2" customWidth="1"/>
    <col min="15" max="16" width="11.42578125" style="2"/>
    <col min="17" max="17" width="12.140625" style="2" customWidth="1"/>
    <col min="18" max="16384" width="11.42578125" style="2"/>
  </cols>
  <sheetData>
    <row r="2" spans="1:13" ht="15.75">
      <c r="A2" s="1" t="s">
        <v>22</v>
      </c>
      <c r="B2" s="1"/>
      <c r="C2" s="81"/>
    </row>
    <row r="3" spans="1:13" ht="15.75">
      <c r="A3" s="1"/>
      <c r="B3" s="1"/>
    </row>
    <row r="4" spans="1:13" ht="15.75">
      <c r="A4" s="20" t="s">
        <v>132</v>
      </c>
      <c r="B4" s="1"/>
    </row>
    <row r="5" spans="1:13" ht="13.5" customHeight="1" thickBot="1"/>
    <row r="6" spans="1:13" ht="63.75" customHeight="1">
      <c r="A6" s="352" t="s">
        <v>0</v>
      </c>
      <c r="B6" s="129"/>
      <c r="C6" s="4" t="s">
        <v>168</v>
      </c>
      <c r="D6" s="4" t="s">
        <v>31</v>
      </c>
      <c r="E6" s="4" t="s">
        <v>32</v>
      </c>
      <c r="F6" s="4" t="s">
        <v>33</v>
      </c>
      <c r="G6" s="320" t="s">
        <v>226</v>
      </c>
      <c r="H6" s="4" t="s">
        <v>214</v>
      </c>
      <c r="I6" s="4" t="s">
        <v>215</v>
      </c>
      <c r="J6" s="4" t="s">
        <v>216</v>
      </c>
      <c r="K6" s="4" t="s">
        <v>300</v>
      </c>
      <c r="L6" s="4" t="s">
        <v>301</v>
      </c>
    </row>
    <row r="7" spans="1:13" ht="18" customHeight="1">
      <c r="A7" s="353"/>
      <c r="B7" s="129"/>
      <c r="C7" s="16" t="s">
        <v>23</v>
      </c>
      <c r="D7" s="16" t="s">
        <v>23</v>
      </c>
      <c r="E7" s="16" t="s">
        <v>23</v>
      </c>
      <c r="F7" s="16" t="s">
        <v>23</v>
      </c>
      <c r="G7" s="294" t="s">
        <v>23</v>
      </c>
      <c r="H7" s="16" t="s">
        <v>23</v>
      </c>
      <c r="I7" s="16" t="s">
        <v>23</v>
      </c>
      <c r="J7" s="16" t="s">
        <v>23</v>
      </c>
      <c r="K7" s="16" t="s">
        <v>23</v>
      </c>
      <c r="L7" s="26"/>
    </row>
    <row r="8" spans="1:13" ht="14.25" customHeight="1">
      <c r="A8" s="7" t="s">
        <v>4</v>
      </c>
      <c r="B8" s="129"/>
      <c r="C8" s="173">
        <v>171197</v>
      </c>
      <c r="D8" s="14">
        <v>172961</v>
      </c>
      <c r="E8" s="14">
        <v>173310</v>
      </c>
      <c r="F8" s="14">
        <v>174543</v>
      </c>
      <c r="G8" s="14">
        <v>172963.29050214958</v>
      </c>
      <c r="H8" s="59">
        <v>172118</v>
      </c>
      <c r="I8" s="59">
        <v>175560</v>
      </c>
      <c r="J8" s="59">
        <v>176793</v>
      </c>
      <c r="K8" s="59">
        <v>170545</v>
      </c>
      <c r="L8" s="142">
        <f>((K8/E8)^(1/5))-1</f>
        <v>-3.2113738612025156E-3</v>
      </c>
    </row>
    <row r="9" spans="1:13" ht="14.25" customHeight="1">
      <c r="A9" s="7" t="s">
        <v>15</v>
      </c>
      <c r="B9" s="129"/>
      <c r="C9" s="173">
        <v>100115</v>
      </c>
      <c r="D9" s="14">
        <v>101530</v>
      </c>
      <c r="E9" s="14">
        <v>103129</v>
      </c>
      <c r="F9" s="14">
        <v>104402</v>
      </c>
      <c r="G9" s="14">
        <v>103188.29246169912</v>
      </c>
      <c r="H9" s="59">
        <v>102684</v>
      </c>
      <c r="I9" s="59">
        <v>105248</v>
      </c>
      <c r="J9" s="59">
        <v>106927</v>
      </c>
      <c r="K9" s="59">
        <v>103967</v>
      </c>
      <c r="L9" s="142">
        <f>((K9/E9)^(1/5))-1</f>
        <v>1.6198924736232634E-3</v>
      </c>
    </row>
    <row r="10" spans="1:13" ht="14.25" customHeight="1">
      <c r="A10" s="8" t="s">
        <v>17</v>
      </c>
      <c r="B10" s="129"/>
      <c r="C10" s="174">
        <v>75530</v>
      </c>
      <c r="D10" s="15">
        <v>78027</v>
      </c>
      <c r="E10" s="15">
        <v>79716</v>
      </c>
      <c r="F10" s="15">
        <v>80622</v>
      </c>
      <c r="G10" s="15">
        <v>81865.083609835201</v>
      </c>
      <c r="H10" s="66">
        <v>81465</v>
      </c>
      <c r="I10" s="66">
        <v>84299</v>
      </c>
      <c r="J10" s="66">
        <v>85818</v>
      </c>
      <c r="K10" s="66">
        <v>84629</v>
      </c>
      <c r="L10" s="142">
        <f>((K10/E10)^(1/5))-1</f>
        <v>1.2033158657211329E-2</v>
      </c>
    </row>
    <row r="11" spans="1:13" ht="18" customHeight="1" thickBot="1">
      <c r="A11" s="11" t="s">
        <v>21</v>
      </c>
      <c r="B11" s="129"/>
      <c r="C11" s="18">
        <f>SUM(C8:C10)</f>
        <v>346842</v>
      </c>
      <c r="D11" s="18">
        <f>SUM(D8:D10)</f>
        <v>352518</v>
      </c>
      <c r="E11" s="18">
        <f>SUM(E8:E10)</f>
        <v>356155</v>
      </c>
      <c r="F11" s="18">
        <f>SUM(F8:F10)</f>
        <v>359567</v>
      </c>
      <c r="G11" s="295">
        <v>1765996.6184629186</v>
      </c>
      <c r="H11" s="18">
        <f>SUM(H8:H10)</f>
        <v>356267</v>
      </c>
      <c r="I11" s="18">
        <f>SUM(I8:I10)</f>
        <v>365107</v>
      </c>
      <c r="J11" s="18">
        <f>SUM(J8:J10)</f>
        <v>369538</v>
      </c>
      <c r="K11" s="18">
        <f>SUM(K8:K10)</f>
        <v>359141</v>
      </c>
      <c r="L11" s="25">
        <f>((K11/E11)^(1/5))-1</f>
        <v>1.6712028425793779E-3</v>
      </c>
    </row>
    <row r="12" spans="1:13" ht="13.7" customHeight="1">
      <c r="A12" s="201" t="s">
        <v>217</v>
      </c>
      <c r="C12" s="22"/>
      <c r="D12" s="23"/>
      <c r="G12" s="142"/>
      <c r="H12" s="146"/>
    </row>
    <row r="13" spans="1:13" ht="13.7" customHeight="1">
      <c r="A13" s="135"/>
      <c r="H13" s="256">
        <v>1.0002155726176691</v>
      </c>
    </row>
    <row r="14" spans="1:13" ht="15.75">
      <c r="A14" s="20" t="s">
        <v>162</v>
      </c>
      <c r="B14" s="163"/>
      <c r="C14" s="165"/>
      <c r="D14" s="160"/>
      <c r="E14" s="160"/>
      <c r="F14" s="160"/>
      <c r="G14" s="160"/>
      <c r="H14" s="160"/>
      <c r="I14" s="160"/>
      <c r="J14" s="160"/>
      <c r="K14" s="160"/>
      <c r="L14" s="160"/>
      <c r="M14" s="160"/>
    </row>
    <row r="15" spans="1:13" ht="13.5" thickBot="1">
      <c r="A15" s="105"/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</row>
    <row r="16" spans="1:13" ht="56.25" customHeight="1">
      <c r="A16" s="352" t="s">
        <v>0</v>
      </c>
      <c r="B16" s="154"/>
      <c r="C16" s="4" t="s">
        <v>31</v>
      </c>
      <c r="D16" s="4" t="s">
        <v>25</v>
      </c>
      <c r="E16" s="4" t="s">
        <v>172</v>
      </c>
      <c r="F16" s="4" t="s">
        <v>143</v>
      </c>
      <c r="G16" s="19" t="s">
        <v>26</v>
      </c>
      <c r="H16" s="4" t="s">
        <v>263</v>
      </c>
      <c r="I16" s="4" t="s">
        <v>28</v>
      </c>
      <c r="J16" s="4" t="s">
        <v>139</v>
      </c>
      <c r="K16" s="4" t="s">
        <v>141</v>
      </c>
      <c r="L16" s="4" t="s">
        <v>113</v>
      </c>
      <c r="M16" s="121" t="s">
        <v>171</v>
      </c>
    </row>
    <row r="17" spans="1:13">
      <c r="A17" s="353"/>
      <c r="B17" s="302"/>
      <c r="C17" s="16" t="s">
        <v>23</v>
      </c>
      <c r="D17" s="6" t="s">
        <v>1</v>
      </c>
      <c r="E17" s="16" t="s">
        <v>23</v>
      </c>
      <c r="F17" s="16" t="s">
        <v>23</v>
      </c>
      <c r="G17" s="16" t="s">
        <v>27</v>
      </c>
      <c r="H17" s="16" t="s">
        <v>27</v>
      </c>
      <c r="I17" s="6" t="s">
        <v>1</v>
      </c>
      <c r="J17" s="6" t="s">
        <v>1</v>
      </c>
      <c r="K17" s="6" t="s">
        <v>1</v>
      </c>
      <c r="L17" s="16" t="s">
        <v>140</v>
      </c>
      <c r="M17" s="122" t="s">
        <v>1</v>
      </c>
    </row>
    <row r="18" spans="1:13">
      <c r="A18" s="249" t="s">
        <v>4</v>
      </c>
      <c r="B18" s="304"/>
      <c r="C18" s="250">
        <f>D8</f>
        <v>172961</v>
      </c>
      <c r="D18" s="17">
        <v>1.3910297156976275</v>
      </c>
      <c r="E18" s="250">
        <f>C18*D18</f>
        <v>240593.89065677734</v>
      </c>
      <c r="F18" s="250">
        <f>E18-(C8*D18)</f>
        <v>2453.7764184905973</v>
      </c>
      <c r="G18" s="21">
        <v>3</v>
      </c>
      <c r="H18" s="21">
        <v>0</v>
      </c>
      <c r="I18" s="254">
        <v>2535.1829020284545</v>
      </c>
      <c r="J18" s="254">
        <v>2518.2751917364335</v>
      </c>
      <c r="K18" s="254">
        <f>I18-J18</f>
        <v>16.907710292020965</v>
      </c>
      <c r="L18" s="259">
        <v>860.67877199999998</v>
      </c>
      <c r="M18" s="255">
        <f>K18*L18/1000</f>
        <v>14.552107331468365</v>
      </c>
    </row>
    <row r="19" spans="1:13">
      <c r="A19" s="249" t="s">
        <v>15</v>
      </c>
      <c r="B19" s="304"/>
      <c r="C19" s="250">
        <f>D9</f>
        <v>101530</v>
      </c>
      <c r="D19" s="17">
        <v>1.3431388683633469</v>
      </c>
      <c r="E19" s="250">
        <f>C19*D19</f>
        <v>136368.88930493061</v>
      </c>
      <c r="F19" s="250">
        <f>E19-(C9*D19)</f>
        <v>1900.541498734121</v>
      </c>
      <c r="G19" s="21">
        <v>1</v>
      </c>
      <c r="H19" s="21">
        <v>0</v>
      </c>
      <c r="I19" s="254">
        <v>1232.10666714832</v>
      </c>
      <c r="J19" s="254">
        <v>1219.0102511845175</v>
      </c>
      <c r="K19" s="254">
        <f>I19-J19</f>
        <v>13.096415963802428</v>
      </c>
      <c r="L19" s="259">
        <v>860.67877199999998</v>
      </c>
      <c r="M19" s="255">
        <f>K19*L19/1000</f>
        <v>11.271807209326671</v>
      </c>
    </row>
    <row r="20" spans="1:13" ht="13.5" thickBot="1">
      <c r="A20" s="269" t="s">
        <v>17</v>
      </c>
      <c r="B20" s="282"/>
      <c r="C20" s="271">
        <f>D10</f>
        <v>78027</v>
      </c>
      <c r="D20" s="272">
        <v>1.5294326282225161</v>
      </c>
      <c r="E20" s="271">
        <f>C20*D20</f>
        <v>119337.03968231827</v>
      </c>
      <c r="F20" s="271">
        <f>E20-(C10*D20)</f>
        <v>3818.9932726716215</v>
      </c>
      <c r="G20" s="321">
        <v>1</v>
      </c>
      <c r="H20" s="321">
        <v>0</v>
      </c>
      <c r="I20" s="318">
        <v>1114.7479218593598</v>
      </c>
      <c r="J20" s="318">
        <v>1088.433478360027</v>
      </c>
      <c r="K20" s="318">
        <f>I20-J20</f>
        <v>26.31444349933281</v>
      </c>
      <c r="L20" s="290">
        <v>860.67877199999998</v>
      </c>
      <c r="M20" s="277">
        <f>K20*L20/1000</f>
        <v>22.648282916869146</v>
      </c>
    </row>
    <row r="21" spans="1:13">
      <c r="A21" s="135"/>
    </row>
    <row r="22" spans="1:13" ht="15.75">
      <c r="A22" s="20" t="s">
        <v>29</v>
      </c>
      <c r="B22" s="1"/>
      <c r="C22" s="101"/>
      <c r="E22" s="58"/>
      <c r="F22" s="58"/>
    </row>
    <row r="23" spans="1:13" ht="13.5" thickBot="1">
      <c r="A23" s="105"/>
      <c r="B23" s="13"/>
      <c r="C23" s="13"/>
      <c r="D23" s="13"/>
      <c r="E23" s="105"/>
      <c r="F23" s="105"/>
      <c r="G23" s="13"/>
      <c r="H23" s="13"/>
      <c r="I23" s="13"/>
      <c r="J23" s="13"/>
      <c r="K23" s="13"/>
      <c r="L23" s="13"/>
      <c r="M23" s="13"/>
    </row>
    <row r="24" spans="1:13" ht="56.25" customHeight="1">
      <c r="A24" s="352" t="s">
        <v>0</v>
      </c>
      <c r="B24" s="3"/>
      <c r="C24" s="4" t="s">
        <v>32</v>
      </c>
      <c r="D24" s="4" t="s">
        <v>25</v>
      </c>
      <c r="E24" s="4" t="s">
        <v>34</v>
      </c>
      <c r="F24" s="4" t="s">
        <v>143</v>
      </c>
      <c r="G24" s="19" t="s">
        <v>26</v>
      </c>
      <c r="H24" s="4" t="s">
        <v>263</v>
      </c>
      <c r="I24" s="4" t="s">
        <v>28</v>
      </c>
      <c r="J24" s="4" t="s">
        <v>139</v>
      </c>
      <c r="K24" s="4" t="s">
        <v>141</v>
      </c>
      <c r="L24" s="4" t="s">
        <v>166</v>
      </c>
      <c r="M24" s="121" t="s">
        <v>171</v>
      </c>
    </row>
    <row r="25" spans="1:13">
      <c r="A25" s="353"/>
      <c r="B25" s="301"/>
      <c r="C25" s="16" t="s">
        <v>23</v>
      </c>
      <c r="D25" s="6" t="s">
        <v>1</v>
      </c>
      <c r="E25" s="16" t="s">
        <v>23</v>
      </c>
      <c r="F25" s="16" t="s">
        <v>23</v>
      </c>
      <c r="G25" s="16" t="s">
        <v>27</v>
      </c>
      <c r="H25" s="16" t="s">
        <v>27</v>
      </c>
      <c r="I25" s="6" t="s">
        <v>1</v>
      </c>
      <c r="J25" s="6" t="s">
        <v>1</v>
      </c>
      <c r="K25" s="6" t="s">
        <v>1</v>
      </c>
      <c r="L25" s="16" t="s">
        <v>140</v>
      </c>
      <c r="M25" s="122" t="s">
        <v>1</v>
      </c>
    </row>
    <row r="26" spans="1:13">
      <c r="A26" s="249" t="s">
        <v>4</v>
      </c>
      <c r="B26" s="249"/>
      <c r="C26" s="250">
        <f>E8</f>
        <v>173310</v>
      </c>
      <c r="D26" s="17">
        <v>1.3910297156976275</v>
      </c>
      <c r="E26" s="250">
        <f>C26*D26</f>
        <v>241079.36002755581</v>
      </c>
      <c r="F26" s="250">
        <f>E26-E18</f>
        <v>485.46937077847542</v>
      </c>
      <c r="G26" s="21">
        <v>3</v>
      </c>
      <c r="H26" s="21">
        <f>G26-G18</f>
        <v>0</v>
      </c>
      <c r="I26" s="254">
        <v>2538.5280215816938</v>
      </c>
      <c r="J26" s="254">
        <f>I18</f>
        <v>2535.1829020284545</v>
      </c>
      <c r="K26" s="264">
        <f>I26-J26</f>
        <v>3.3451195532393285</v>
      </c>
      <c r="L26" s="264">
        <v>869.28899409054111</v>
      </c>
      <c r="M26" s="312">
        <f>K26*L26/1000</f>
        <v>2.907875611548016</v>
      </c>
    </row>
    <row r="27" spans="1:13">
      <c r="A27" s="249" t="s">
        <v>15</v>
      </c>
      <c r="B27" s="249"/>
      <c r="C27" s="250">
        <f>E9</f>
        <v>103129</v>
      </c>
      <c r="D27" s="17">
        <v>1.3431388683633469</v>
      </c>
      <c r="E27" s="250">
        <f>C27*D27</f>
        <v>138516.5683554436</v>
      </c>
      <c r="F27" s="250">
        <f>E27-E19</f>
        <v>2147.6790505129902</v>
      </c>
      <c r="G27" s="21">
        <v>1</v>
      </c>
      <c r="H27" s="21">
        <f>G27-G19</f>
        <v>0</v>
      </c>
      <c r="I27" s="254">
        <v>1246.9044552892979</v>
      </c>
      <c r="J27" s="254">
        <f>I19</f>
        <v>1232.10666714832</v>
      </c>
      <c r="K27" s="264">
        <f>I27-J27</f>
        <v>14.7977881409779</v>
      </c>
      <c r="L27" s="264">
        <v>869.28899409054122</v>
      </c>
      <c r="M27" s="312">
        <f>K27*L27/1000</f>
        <v>12.863554367835619</v>
      </c>
    </row>
    <row r="28" spans="1:13" ht="13.5" thickBot="1">
      <c r="A28" s="269" t="s">
        <v>17</v>
      </c>
      <c r="B28" s="269"/>
      <c r="C28" s="271">
        <f>E10</f>
        <v>79716</v>
      </c>
      <c r="D28" s="272">
        <v>1.5294326282225161</v>
      </c>
      <c r="E28" s="271">
        <f>C28*D28</f>
        <v>121920.25139138609</v>
      </c>
      <c r="F28" s="271">
        <f>E28-E20</f>
        <v>2583.2117090678221</v>
      </c>
      <c r="G28" s="321">
        <v>1</v>
      </c>
      <c r="H28" s="321">
        <f>G28-G20</f>
        <v>0</v>
      </c>
      <c r="I28" s="318">
        <v>1132.5477775462452</v>
      </c>
      <c r="J28" s="318">
        <f>I20</f>
        <v>1114.7479218593598</v>
      </c>
      <c r="K28" s="316">
        <f>I28-J28</f>
        <v>17.799855686885394</v>
      </c>
      <c r="L28" s="316">
        <v>869.28899409054122</v>
      </c>
      <c r="M28" s="315">
        <f>K28*L28/1000</f>
        <v>15.473218645009403</v>
      </c>
    </row>
    <row r="29" spans="1:13">
      <c r="A29" s="10" t="s">
        <v>167</v>
      </c>
    </row>
    <row r="30" spans="1:13" ht="15.75">
      <c r="A30" s="20" t="s">
        <v>30</v>
      </c>
      <c r="B30" s="1"/>
    </row>
    <row r="31" spans="1:13" ht="13.5" thickBo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 ht="56.25" customHeight="1">
      <c r="A32" s="352" t="s">
        <v>0</v>
      </c>
      <c r="B32" s="3"/>
      <c r="C32" s="4" t="s">
        <v>33</v>
      </c>
      <c r="D32" s="4" t="s">
        <v>25</v>
      </c>
      <c r="E32" s="4" t="s">
        <v>35</v>
      </c>
      <c r="F32" s="4" t="s">
        <v>143</v>
      </c>
      <c r="G32" s="19" t="s">
        <v>26</v>
      </c>
      <c r="H32" s="4" t="s">
        <v>263</v>
      </c>
      <c r="I32" s="4" t="s">
        <v>28</v>
      </c>
      <c r="J32" s="4" t="s">
        <v>139</v>
      </c>
      <c r="K32" s="4" t="s">
        <v>141</v>
      </c>
      <c r="L32" s="4" t="s">
        <v>113</v>
      </c>
      <c r="M32" s="121" t="s">
        <v>171</v>
      </c>
    </row>
    <row r="33" spans="1:13">
      <c r="A33" s="353"/>
      <c r="B33" s="301"/>
      <c r="C33" s="16" t="s">
        <v>23</v>
      </c>
      <c r="D33" s="6" t="s">
        <v>1</v>
      </c>
      <c r="E33" s="16" t="s">
        <v>23</v>
      </c>
      <c r="F33" s="16" t="s">
        <v>23</v>
      </c>
      <c r="G33" s="16" t="s">
        <v>27</v>
      </c>
      <c r="H33" s="16" t="s">
        <v>27</v>
      </c>
      <c r="I33" s="6" t="s">
        <v>1</v>
      </c>
      <c r="J33" s="6" t="s">
        <v>1</v>
      </c>
      <c r="K33" s="6" t="s">
        <v>1</v>
      </c>
      <c r="L33" s="16" t="s">
        <v>140</v>
      </c>
      <c r="M33" s="122" t="s">
        <v>1</v>
      </c>
    </row>
    <row r="34" spans="1:13">
      <c r="A34" s="249" t="s">
        <v>4</v>
      </c>
      <c r="B34" s="249"/>
      <c r="C34" s="250">
        <f>F8</f>
        <v>174543</v>
      </c>
      <c r="D34" s="17">
        <v>1.3910297156976275</v>
      </c>
      <c r="E34" s="250">
        <f>C34*D34</f>
        <v>242794.499667011</v>
      </c>
      <c r="F34" s="250">
        <f>E34-E26</f>
        <v>1715.1396394551848</v>
      </c>
      <c r="G34" s="21">
        <v>3</v>
      </c>
      <c r="H34" s="21">
        <f>G34-G26</f>
        <v>0</v>
      </c>
      <c r="I34" s="254">
        <v>2550.3461660205044</v>
      </c>
      <c r="J34" s="254">
        <f>I26</f>
        <v>2538.5280215816938</v>
      </c>
      <c r="K34" s="264">
        <f>I34-J34</f>
        <v>11.818144438810577</v>
      </c>
      <c r="L34" s="264">
        <f ca="1">L26*(1+Indexation!$C$7)</f>
        <v>882.32832900189919</v>
      </c>
      <c r="M34" s="312">
        <f>K34*L34/1000</f>
        <v>10.427483634598824</v>
      </c>
    </row>
    <row r="35" spans="1:13">
      <c r="A35" s="249" t="s">
        <v>15</v>
      </c>
      <c r="B35" s="249"/>
      <c r="C35" s="250">
        <f>F9</f>
        <v>104402</v>
      </c>
      <c r="D35" s="17">
        <v>1.3431388683633469</v>
      </c>
      <c r="E35" s="250">
        <f>C35*D35</f>
        <v>140226.38413487014</v>
      </c>
      <c r="F35" s="250">
        <f>E35-E27</f>
        <v>1709.8157794265426</v>
      </c>
      <c r="G35" s="21">
        <v>1</v>
      </c>
      <c r="H35" s="21">
        <f>G35-G27</f>
        <v>0</v>
      </c>
      <c r="I35" s="254">
        <v>1258.6859157489482</v>
      </c>
      <c r="J35" s="254">
        <f>I27</f>
        <v>1246.9044552892979</v>
      </c>
      <c r="K35" s="264">
        <f>I35-J35</f>
        <v>11.781460459650361</v>
      </c>
      <c r="L35" s="264">
        <f ca="1">L27*(1+Indexation!$C$7)</f>
        <v>882.32832900189931</v>
      </c>
      <c r="M35" s="312">
        <f>K35*L35/1000</f>
        <v>10.395116320565252</v>
      </c>
    </row>
    <row r="36" spans="1:13" ht="13.5" thickBot="1">
      <c r="A36" s="269" t="s">
        <v>17</v>
      </c>
      <c r="B36" s="269"/>
      <c r="C36" s="271">
        <f>F10</f>
        <v>80622</v>
      </c>
      <c r="D36" s="272">
        <v>1.5294326282225161</v>
      </c>
      <c r="E36" s="271">
        <f>C36*D36</f>
        <v>123305.9173525557</v>
      </c>
      <c r="F36" s="271">
        <f>E36-E28</f>
        <v>1385.6659611696086</v>
      </c>
      <c r="G36" s="321">
        <v>1</v>
      </c>
      <c r="H36" s="321">
        <f>G36-G28</f>
        <v>0</v>
      </c>
      <c r="I36" s="318">
        <v>1142.0956884546799</v>
      </c>
      <c r="J36" s="318">
        <f>I28</f>
        <v>1132.5477775462452</v>
      </c>
      <c r="K36" s="316">
        <f>I36-J36</f>
        <v>9.5479109084346874</v>
      </c>
      <c r="L36" s="316">
        <f ca="1">L28*(1+Indexation!$C$7)</f>
        <v>882.32832900189931</v>
      </c>
      <c r="M36" s="315">
        <f>K36*L36/1000</f>
        <v>8.4243922772981836</v>
      </c>
    </row>
    <row r="37" spans="1:13">
      <c r="A37" s="10"/>
    </row>
    <row r="38" spans="1:13" ht="15.75">
      <c r="A38" s="20" t="s">
        <v>206</v>
      </c>
      <c r="B38" s="1"/>
    </row>
    <row r="39" spans="1:13" ht="13.5" thickBo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 ht="56.25" customHeight="1">
      <c r="A40" s="352" t="s">
        <v>0</v>
      </c>
      <c r="B40" s="3"/>
      <c r="C40" s="4" t="s">
        <v>214</v>
      </c>
      <c r="D40" s="4" t="s">
        <v>25</v>
      </c>
      <c r="E40" s="4" t="s">
        <v>227</v>
      </c>
      <c r="F40" s="4" t="s">
        <v>143</v>
      </c>
      <c r="G40" s="19" t="s">
        <v>26</v>
      </c>
      <c r="H40" s="4" t="s">
        <v>263</v>
      </c>
      <c r="I40" s="4" t="s">
        <v>28</v>
      </c>
      <c r="J40" s="4" t="s">
        <v>139</v>
      </c>
      <c r="K40" s="4" t="s">
        <v>141</v>
      </c>
      <c r="L40" s="4" t="s">
        <v>113</v>
      </c>
      <c r="M40" s="121" t="s">
        <v>171</v>
      </c>
    </row>
    <row r="41" spans="1:13">
      <c r="A41" s="353"/>
      <c r="B41" s="301"/>
      <c r="C41" s="16" t="s">
        <v>23</v>
      </c>
      <c r="D41" s="6" t="s">
        <v>1</v>
      </c>
      <c r="E41" s="16" t="s">
        <v>23</v>
      </c>
      <c r="F41" s="16" t="s">
        <v>23</v>
      </c>
      <c r="G41" s="16" t="s">
        <v>27</v>
      </c>
      <c r="H41" s="16" t="s">
        <v>27</v>
      </c>
      <c r="I41" s="6" t="s">
        <v>1</v>
      </c>
      <c r="J41" s="6" t="s">
        <v>1</v>
      </c>
      <c r="K41" s="6" t="s">
        <v>1</v>
      </c>
      <c r="L41" s="16" t="s">
        <v>140</v>
      </c>
      <c r="M41" s="122" t="s">
        <v>1</v>
      </c>
    </row>
    <row r="42" spans="1:13">
      <c r="A42" s="249" t="s">
        <v>4</v>
      </c>
      <c r="B42" s="249"/>
      <c r="C42" s="250">
        <f>G8</f>
        <v>172963.29050214958</v>
      </c>
      <c r="D42" s="17">
        <v>1.3910297156976275</v>
      </c>
      <c r="E42" s="250">
        <f>C42*D42</f>
        <v>240597.07681333128</v>
      </c>
      <c r="F42" s="250">
        <f>E42-E34</f>
        <v>-2197.4228536797164</v>
      </c>
      <c r="G42" s="21">
        <v>3</v>
      </c>
      <c r="H42" s="21">
        <f>G42-G34</f>
        <v>0</v>
      </c>
      <c r="I42" s="254">
        <v>2545.9483575607906</v>
      </c>
      <c r="J42" s="254">
        <f>I34</f>
        <v>2550.3461660205044</v>
      </c>
      <c r="K42" s="264">
        <f>I42-J42</f>
        <v>-4.397808459713815</v>
      </c>
      <c r="L42" s="264">
        <f ca="1">L34*(1+Indexation!$C$8)</f>
        <v>891.15161229191824</v>
      </c>
      <c r="M42" s="312">
        <f>K42*L42/1000</f>
        <v>-3.9191140994250038</v>
      </c>
    </row>
    <row r="43" spans="1:13">
      <c r="A43" s="249" t="s">
        <v>15</v>
      </c>
      <c r="B43" s="249"/>
      <c r="C43" s="250">
        <f>G9</f>
        <v>103188.29246169912</v>
      </c>
      <c r="D43" s="17">
        <v>1.3431388683633469</v>
      </c>
      <c r="E43" s="250">
        <f>C43*D43</f>
        <v>138596.20636535264</v>
      </c>
      <c r="F43" s="250">
        <f>E43-E35</f>
        <v>-1630.1777695174969</v>
      </c>
      <c r="G43" s="21">
        <v>1</v>
      </c>
      <c r="H43" s="21">
        <f>G43-G35</f>
        <v>0</v>
      </c>
      <c r="I43" s="254">
        <v>1253.6420054088881</v>
      </c>
      <c r="J43" s="254">
        <f>I35</f>
        <v>1258.6859157489482</v>
      </c>
      <c r="K43" s="264">
        <f>I43-J43</f>
        <v>-5.0439103400601653</v>
      </c>
      <c r="L43" s="264">
        <f ca="1">L35*(1+Indexation!$C$8)</f>
        <v>891.15161229191835</v>
      </c>
      <c r="M43" s="312">
        <f>K43*L43/1000</f>
        <v>-4.4948888318004947</v>
      </c>
    </row>
    <row r="44" spans="1:13" ht="13.5" thickBot="1">
      <c r="A44" s="269" t="s">
        <v>17</v>
      </c>
      <c r="B44" s="269"/>
      <c r="C44" s="271">
        <f>G10</f>
        <v>81865.083609835201</v>
      </c>
      <c r="D44" s="272">
        <v>1.5294326282225161</v>
      </c>
      <c r="E44" s="271">
        <f>C44*D44</f>
        <v>125207.12998504628</v>
      </c>
      <c r="F44" s="271">
        <f>E44-E36</f>
        <v>1901.2126324905839</v>
      </c>
      <c r="G44" s="321">
        <v>1</v>
      </c>
      <c r="H44" s="321">
        <f>G44-G36</f>
        <v>0</v>
      </c>
      <c r="I44" s="318">
        <v>1160.7869025866835</v>
      </c>
      <c r="J44" s="318">
        <f>I36</f>
        <v>1142.0956884546799</v>
      </c>
      <c r="K44" s="316">
        <f>I44-J44</f>
        <v>18.691214132003552</v>
      </c>
      <c r="L44" s="316">
        <f ca="1">L36*(1+Indexation!$C$8)</f>
        <v>891.15161229191835</v>
      </c>
      <c r="M44" s="315">
        <f>K44*L44/1000</f>
        <v>16.656705609428453</v>
      </c>
    </row>
    <row r="45" spans="1:13" ht="12.75" customHeight="1">
      <c r="A45" s="201" t="s">
        <v>217</v>
      </c>
      <c r="E45" s="58"/>
      <c r="F45" s="58"/>
    </row>
    <row r="46" spans="1:13" ht="15.75">
      <c r="A46" s="20" t="s">
        <v>209</v>
      </c>
      <c r="B46" s="1"/>
    </row>
    <row r="47" spans="1:13" ht="13.5" thickBo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 ht="56.25" customHeight="1">
      <c r="A48" s="352" t="s">
        <v>0</v>
      </c>
      <c r="B48" s="3"/>
      <c r="C48" s="4" t="s">
        <v>215</v>
      </c>
      <c r="D48" s="4" t="s">
        <v>25</v>
      </c>
      <c r="E48" s="4" t="s">
        <v>228</v>
      </c>
      <c r="F48" s="4" t="s">
        <v>143</v>
      </c>
      <c r="G48" s="19" t="s">
        <v>26</v>
      </c>
      <c r="H48" s="4" t="s">
        <v>263</v>
      </c>
      <c r="I48" s="4" t="s">
        <v>28</v>
      </c>
      <c r="J48" s="4" t="s">
        <v>139</v>
      </c>
      <c r="K48" s="4" t="s">
        <v>141</v>
      </c>
      <c r="L48" s="4" t="s">
        <v>113</v>
      </c>
      <c r="M48" s="121" t="s">
        <v>171</v>
      </c>
    </row>
    <row r="49" spans="1:25">
      <c r="A49" s="353"/>
      <c r="B49" s="301"/>
      <c r="C49" s="16" t="s">
        <v>23</v>
      </c>
      <c r="D49" s="6" t="s">
        <v>1</v>
      </c>
      <c r="E49" s="16" t="s">
        <v>23</v>
      </c>
      <c r="F49" s="16" t="s">
        <v>23</v>
      </c>
      <c r="G49" s="16" t="s">
        <v>27</v>
      </c>
      <c r="H49" s="16" t="s">
        <v>27</v>
      </c>
      <c r="I49" s="6" t="s">
        <v>1</v>
      </c>
      <c r="J49" s="6" t="s">
        <v>1</v>
      </c>
      <c r="K49" s="6" t="s">
        <v>1</v>
      </c>
      <c r="L49" s="16" t="s">
        <v>140</v>
      </c>
      <c r="M49" s="122" t="s">
        <v>1</v>
      </c>
    </row>
    <row r="50" spans="1:25">
      <c r="A50" s="249" t="s">
        <v>4</v>
      </c>
      <c r="B50" s="249"/>
      <c r="C50" s="250">
        <f>I8</f>
        <v>175560</v>
      </c>
      <c r="D50" s="17">
        <v>1.3910297156976275</v>
      </c>
      <c r="E50" s="250">
        <f>C50*D50</f>
        <v>244209.17688787548</v>
      </c>
      <c r="F50" s="250">
        <f>E50-E42</f>
        <v>3612.1000745441997</v>
      </c>
      <c r="G50" s="21">
        <v>3</v>
      </c>
      <c r="H50" s="21">
        <f>G50-G42</f>
        <v>0</v>
      </c>
      <c r="I50" s="254">
        <v>2560.0939785868222</v>
      </c>
      <c r="J50" s="254">
        <f>I42</f>
        <v>2545.9483575607906</v>
      </c>
      <c r="K50" s="264">
        <f>I50-J50</f>
        <v>14.145621026031677</v>
      </c>
      <c r="L50" s="264">
        <f ca="1">L42*(1+Indexation!$C$9)</f>
        <v>900.06312841483748</v>
      </c>
      <c r="M50" s="312">
        <f>K50*L50/1000</f>
        <v>12.731951914060774</v>
      </c>
    </row>
    <row r="51" spans="1:25">
      <c r="A51" s="249" t="s">
        <v>15</v>
      </c>
      <c r="B51" s="249"/>
      <c r="C51" s="250">
        <f>I9</f>
        <v>105248</v>
      </c>
      <c r="D51" s="17">
        <v>1.3431388683633469</v>
      </c>
      <c r="E51" s="250">
        <f>C51*D51</f>
        <v>141362.67961750555</v>
      </c>
      <c r="F51" s="250">
        <f>E51-E43</f>
        <v>2766.4732521529077</v>
      </c>
      <c r="G51" s="21">
        <v>1</v>
      </c>
      <c r="H51" s="21">
        <f>G51-G43</f>
        <v>0</v>
      </c>
      <c r="I51" s="254">
        <v>1266.5155430457783</v>
      </c>
      <c r="J51" s="254">
        <f>I43</f>
        <v>1253.6420054088881</v>
      </c>
      <c r="K51" s="264">
        <f>I51-J51</f>
        <v>12.873537636890205</v>
      </c>
      <c r="L51" s="264">
        <f ca="1">L43*(1+Indexation!$C$9)</f>
        <v>900.06312841483759</v>
      </c>
      <c r="M51" s="312">
        <f>K51*L51/1000</f>
        <v>11.586996559225554</v>
      </c>
    </row>
    <row r="52" spans="1:25" ht="13.5" thickBot="1">
      <c r="A52" s="269" t="s">
        <v>17</v>
      </c>
      <c r="B52" s="269"/>
      <c r="C52" s="271">
        <f>I10</f>
        <v>84299</v>
      </c>
      <c r="D52" s="272">
        <v>1.5294326282225161</v>
      </c>
      <c r="E52" s="271">
        <f>C52*D52</f>
        <v>128929.64112652988</v>
      </c>
      <c r="F52" s="271">
        <f>E52-E44</f>
        <v>3722.5111414835992</v>
      </c>
      <c r="G52" s="321">
        <v>1</v>
      </c>
      <c r="H52" s="321">
        <f>G52-G44</f>
        <v>0</v>
      </c>
      <c r="I52" s="318">
        <v>1180.8458743380368</v>
      </c>
      <c r="J52" s="318">
        <f>I44</f>
        <v>1160.7869025866835</v>
      </c>
      <c r="K52" s="316">
        <f>I52-J52</f>
        <v>20.058971751353283</v>
      </c>
      <c r="L52" s="316">
        <f ca="1">L44*(1+Indexation!$C$9)</f>
        <v>900.06312841483759</v>
      </c>
      <c r="M52" s="315">
        <f>K52*L52/1000</f>
        <v>18.054340867307889</v>
      </c>
    </row>
    <row r="53" spans="1:25" ht="12.75" customHeight="1">
      <c r="A53" s="201"/>
      <c r="E53" s="58"/>
      <c r="F53" s="58"/>
    </row>
    <row r="54" spans="1:25" ht="15.75">
      <c r="A54" s="20" t="s">
        <v>212</v>
      </c>
      <c r="B54" s="1"/>
    </row>
    <row r="55" spans="1:25" ht="13.5" thickBo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R55" s="38" t="s">
        <v>270</v>
      </c>
    </row>
    <row r="56" spans="1:25" ht="56.25" customHeight="1">
      <c r="A56" s="352" t="s">
        <v>0</v>
      </c>
      <c r="B56" s="3"/>
      <c r="C56" s="4" t="s">
        <v>224</v>
      </c>
      <c r="D56" s="4" t="s">
        <v>25</v>
      </c>
      <c r="E56" s="4" t="s">
        <v>267</v>
      </c>
      <c r="F56" s="4" t="s">
        <v>113</v>
      </c>
      <c r="G56" s="118" t="s">
        <v>115</v>
      </c>
      <c r="H56" s="19" t="s">
        <v>26</v>
      </c>
      <c r="I56" s="4" t="s">
        <v>263</v>
      </c>
      <c r="J56" s="4" t="s">
        <v>113</v>
      </c>
      <c r="K56" s="118" t="s">
        <v>115</v>
      </c>
      <c r="L56" s="121" t="s">
        <v>171</v>
      </c>
      <c r="R56" s="219" t="s">
        <v>28</v>
      </c>
      <c r="S56" s="4" t="s">
        <v>139</v>
      </c>
      <c r="T56" s="4" t="s">
        <v>141</v>
      </c>
      <c r="U56" s="4" t="s">
        <v>113</v>
      </c>
      <c r="V56" s="4" t="s">
        <v>264</v>
      </c>
      <c r="W56" s="4" t="s">
        <v>273</v>
      </c>
      <c r="X56" s="220" t="s">
        <v>272</v>
      </c>
      <c r="Y56" s="228" t="s">
        <v>276</v>
      </c>
    </row>
    <row r="57" spans="1:25">
      <c r="A57" s="353"/>
      <c r="B57" s="301"/>
      <c r="C57" s="16" t="s">
        <v>23</v>
      </c>
      <c r="D57" s="6"/>
      <c r="E57" s="16" t="s">
        <v>23</v>
      </c>
      <c r="F57" s="16" t="s">
        <v>265</v>
      </c>
      <c r="G57" s="119" t="s">
        <v>1</v>
      </c>
      <c r="H57" s="16" t="s">
        <v>27</v>
      </c>
      <c r="I57" s="16" t="s">
        <v>27</v>
      </c>
      <c r="J57" s="6" t="s">
        <v>266</v>
      </c>
      <c r="K57" s="119" t="s">
        <v>1</v>
      </c>
      <c r="L57" s="122" t="s">
        <v>1</v>
      </c>
      <c r="R57" s="221" t="s">
        <v>1</v>
      </c>
      <c r="S57" s="6" t="s">
        <v>1</v>
      </c>
      <c r="T57" s="6" t="s">
        <v>1</v>
      </c>
      <c r="U57" s="16" t="s">
        <v>140</v>
      </c>
      <c r="V57" s="6"/>
      <c r="W57" s="324"/>
      <c r="X57" s="225"/>
      <c r="Y57" s="229"/>
    </row>
    <row r="58" spans="1:25">
      <c r="A58" s="249" t="s">
        <v>4</v>
      </c>
      <c r="B58" s="249"/>
      <c r="C58" s="250">
        <f>J8-I8</f>
        <v>1233</v>
      </c>
      <c r="D58" s="17">
        <v>1.3910297156976275</v>
      </c>
      <c r="E58" s="250">
        <f>C58*D58</f>
        <v>1715.1396394551746</v>
      </c>
      <c r="F58" s="322">
        <f>0.00626389045478749*1000</f>
        <v>6.2638904547874903</v>
      </c>
      <c r="G58" s="311">
        <f>E58*F58/1000</f>
        <v>10.743446816210927</v>
      </c>
      <c r="H58" s="21">
        <f>G50</f>
        <v>3</v>
      </c>
      <c r="I58" s="21">
        <f>H58-G50</f>
        <v>0</v>
      </c>
      <c r="J58" s="322">
        <v>265.86304175914665</v>
      </c>
      <c r="K58" s="311">
        <f>I58*J58</f>
        <v>0</v>
      </c>
      <c r="L58" s="312">
        <f>G58+K58</f>
        <v>10.743446816210927</v>
      </c>
      <c r="R58" s="226">
        <v>2571.9121230256328</v>
      </c>
      <c r="S58" s="254">
        <f>I50</f>
        <v>2560.0939785868222</v>
      </c>
      <c r="T58" s="264">
        <f>R58-S58</f>
        <v>11.818144438810577</v>
      </c>
      <c r="U58" s="264">
        <f ca="1">L50*(1+Indexation!$C$10)</f>
        <v>909.0637596989859</v>
      </c>
      <c r="V58" s="254">
        <v>2864.3702030256327</v>
      </c>
      <c r="W58" s="322">
        <f>V58-R58</f>
        <v>292.45807999999988</v>
      </c>
      <c r="X58" s="227">
        <f>W58*U58/1000</f>
        <v>265.86304175914665</v>
      </c>
      <c r="Y58" s="230">
        <f>T58*U58/1000</f>
        <v>10.743446816210806</v>
      </c>
    </row>
    <row r="59" spans="1:25">
      <c r="A59" s="249" t="s">
        <v>15</v>
      </c>
      <c r="B59" s="249"/>
      <c r="C59" s="250">
        <f>J9-I9</f>
        <v>1679</v>
      </c>
      <c r="D59" s="17">
        <v>1.3431388683633469</v>
      </c>
      <c r="E59" s="250">
        <f>C59*D59</f>
        <v>2255.1301599820595</v>
      </c>
      <c r="F59" s="322">
        <f>0.00626389045478727*1000</f>
        <v>6.26389045478727</v>
      </c>
      <c r="G59" s="311">
        <f>E59*F59/1000</f>
        <v>14.125888283414511</v>
      </c>
      <c r="H59" s="21">
        <f>G51</f>
        <v>1</v>
      </c>
      <c r="I59" s="21">
        <f>H59-G51</f>
        <v>0</v>
      </c>
      <c r="J59" s="322">
        <v>265.86304175914688</v>
      </c>
      <c r="K59" s="311">
        <f>I59*J59</f>
        <v>0</v>
      </c>
      <c r="L59" s="312">
        <f>G59+K59</f>
        <v>14.125888283414511</v>
      </c>
      <c r="R59" s="226">
        <v>1282.0544842176184</v>
      </c>
      <c r="S59" s="254">
        <f>I51</f>
        <v>1266.5155430457783</v>
      </c>
      <c r="T59" s="264">
        <f>R59-S59</f>
        <v>15.538941171840179</v>
      </c>
      <c r="U59" s="264">
        <f ca="1">L51*(1+Indexation!$C$10)</f>
        <v>909.06375969898602</v>
      </c>
      <c r="V59" s="254">
        <v>1574.5125642176185</v>
      </c>
      <c r="W59" s="322">
        <f>V59-R59</f>
        <v>292.45808000000011</v>
      </c>
      <c r="X59" s="227">
        <f>W59*U59/1000</f>
        <v>265.86304175914688</v>
      </c>
      <c r="Y59" s="230">
        <f>T59*U59/1000</f>
        <v>14.125888283414401</v>
      </c>
    </row>
    <row r="60" spans="1:25" ht="13.5" thickBot="1">
      <c r="A60" s="269" t="s">
        <v>17</v>
      </c>
      <c r="B60" s="269"/>
      <c r="C60" s="271">
        <f>J10-I10</f>
        <v>1519</v>
      </c>
      <c r="D60" s="272">
        <v>1.5294326282225161</v>
      </c>
      <c r="E60" s="271">
        <f>C60*D60</f>
        <v>2323.208162270002</v>
      </c>
      <c r="F60" s="323">
        <f>0.00626389045478733*1000</f>
        <v>6.2638904547873295</v>
      </c>
      <c r="G60" s="314">
        <f>E60*F60/1000</f>
        <v>14.552321432127078</v>
      </c>
      <c r="H60" s="321">
        <f>G52</f>
        <v>1</v>
      </c>
      <c r="I60" s="321">
        <f>H60-G52</f>
        <v>0</v>
      </c>
      <c r="J60" s="323">
        <v>265.86304175914671</v>
      </c>
      <c r="K60" s="314">
        <f>I60*J60</f>
        <v>0</v>
      </c>
      <c r="L60" s="315">
        <f>G60+K60</f>
        <v>14.552321432127078</v>
      </c>
      <c r="R60" s="325">
        <v>1196.8539059825341</v>
      </c>
      <c r="S60" s="318">
        <f>I52</f>
        <v>1180.8458743380368</v>
      </c>
      <c r="T60" s="316">
        <f>R60-S60</f>
        <v>16.00803164449735</v>
      </c>
      <c r="U60" s="316">
        <f ca="1">L52*(1+Indexation!$C$10)</f>
        <v>909.06375969898602</v>
      </c>
      <c r="V60" s="318">
        <v>1489.311985982534</v>
      </c>
      <c r="W60" s="323">
        <f>V60-R60</f>
        <v>292.45807999999988</v>
      </c>
      <c r="X60" s="326">
        <f>W60*U60/1000</f>
        <v>265.86304175914671</v>
      </c>
      <c r="Y60" s="327">
        <f>T60*U60/1000</f>
        <v>14.552321432127103</v>
      </c>
    </row>
    <row r="61" spans="1:25" ht="12.75" customHeight="1">
      <c r="A61" s="201"/>
      <c r="E61" s="58"/>
      <c r="F61" s="58"/>
    </row>
    <row r="62" spans="1:25">
      <c r="O62" s="217"/>
      <c r="P62" s="217"/>
      <c r="Q62" s="217"/>
      <c r="R62" s="217"/>
      <c r="S62" s="217"/>
      <c r="T62" s="218"/>
    </row>
    <row r="63" spans="1:25">
      <c r="O63" s="217"/>
      <c r="P63" s="217"/>
      <c r="Q63" s="217"/>
      <c r="R63" s="217"/>
      <c r="S63" s="217"/>
      <c r="T63" s="218"/>
    </row>
    <row r="64" spans="1:25">
      <c r="O64" s="217"/>
      <c r="P64" s="217"/>
      <c r="Q64" s="217"/>
      <c r="R64" s="217"/>
      <c r="S64" s="217"/>
      <c r="T64" s="218"/>
    </row>
    <row r="65" spans="15:20">
      <c r="O65" s="217"/>
      <c r="P65" s="217"/>
      <c r="Q65" s="217"/>
      <c r="R65" s="217"/>
      <c r="S65" s="217"/>
      <c r="T65" s="218"/>
    </row>
    <row r="66" spans="15:20">
      <c r="O66" s="217"/>
      <c r="P66" s="217"/>
      <c r="Q66" s="217"/>
      <c r="R66" s="217"/>
      <c r="S66" s="217"/>
      <c r="T66" s="218"/>
    </row>
    <row r="67" spans="15:20">
      <c r="O67" s="217"/>
      <c r="P67" s="217"/>
      <c r="Q67" s="217"/>
      <c r="R67" s="217"/>
      <c r="S67" s="217"/>
      <c r="T67" s="218"/>
    </row>
    <row r="68" spans="15:20">
      <c r="O68" s="217"/>
      <c r="P68" s="217"/>
      <c r="Q68" s="217"/>
      <c r="R68" s="217"/>
      <c r="S68" s="217"/>
      <c r="T68" s="218"/>
    </row>
    <row r="69" spans="15:20">
      <c r="O69" s="217"/>
      <c r="P69" s="217"/>
      <c r="Q69" s="217"/>
      <c r="R69" s="217"/>
      <c r="S69" s="217"/>
      <c r="T69" s="218"/>
    </row>
    <row r="70" spans="15:20">
      <c r="O70" s="217"/>
      <c r="P70" s="217"/>
      <c r="Q70" s="217"/>
      <c r="R70" s="217"/>
      <c r="S70" s="217"/>
      <c r="T70" s="218"/>
    </row>
    <row r="71" spans="15:20">
      <c r="O71" s="217"/>
      <c r="P71" s="217"/>
      <c r="Q71" s="217"/>
      <c r="R71" s="217"/>
      <c r="S71" s="217"/>
      <c r="T71" s="218"/>
    </row>
    <row r="72" spans="15:20">
      <c r="O72" s="217"/>
      <c r="P72" s="217"/>
      <c r="Q72" s="217"/>
      <c r="R72" s="217"/>
      <c r="S72" s="217"/>
      <c r="T72" s="218"/>
    </row>
    <row r="73" spans="15:20">
      <c r="O73" s="217"/>
      <c r="P73" s="217"/>
      <c r="Q73" s="217"/>
      <c r="R73" s="217"/>
      <c r="S73" s="217"/>
      <c r="T73" s="218"/>
    </row>
    <row r="74" spans="15:20">
      <c r="O74" s="217"/>
      <c r="P74" s="217"/>
      <c r="Q74" s="217"/>
      <c r="R74" s="217"/>
      <c r="S74" s="217"/>
      <c r="T74" s="218"/>
    </row>
    <row r="75" spans="15:20">
      <c r="O75" s="217"/>
      <c r="P75" s="217"/>
      <c r="Q75" s="217"/>
      <c r="R75" s="217"/>
      <c r="S75" s="217"/>
      <c r="T75" s="218"/>
    </row>
    <row r="76" spans="15:20">
      <c r="O76" s="217"/>
      <c r="P76" s="217"/>
      <c r="Q76" s="217"/>
      <c r="R76" s="217"/>
      <c r="S76" s="217"/>
      <c r="T76" s="218"/>
    </row>
    <row r="77" spans="15:20">
      <c r="O77" s="217"/>
      <c r="P77" s="217"/>
      <c r="Q77" s="217"/>
      <c r="R77" s="217"/>
      <c r="S77" s="217"/>
      <c r="T77" s="218"/>
    </row>
    <row r="78" spans="15:20">
      <c r="O78" s="217"/>
      <c r="P78" s="217"/>
      <c r="Q78" s="217"/>
      <c r="R78" s="217"/>
      <c r="S78" s="217"/>
      <c r="T78" s="218"/>
    </row>
    <row r="79" spans="15:20">
      <c r="O79" s="217"/>
      <c r="P79" s="217"/>
      <c r="Q79" s="217"/>
      <c r="R79" s="217"/>
      <c r="S79" s="217"/>
      <c r="T79" s="218"/>
    </row>
    <row r="80" spans="15:20">
      <c r="O80" s="217"/>
      <c r="P80" s="217"/>
      <c r="Q80" s="217"/>
      <c r="R80" s="217"/>
      <c r="S80" s="217"/>
      <c r="T80" s="218"/>
    </row>
    <row r="81" spans="15:20">
      <c r="O81" s="217"/>
      <c r="P81" s="217"/>
      <c r="Q81" s="217"/>
      <c r="R81" s="217"/>
      <c r="S81" s="217"/>
      <c r="T81" s="218"/>
    </row>
    <row r="82" spans="15:20">
      <c r="O82" s="217"/>
      <c r="P82" s="217"/>
      <c r="Q82" s="217"/>
      <c r="R82" s="217"/>
      <c r="S82" s="217"/>
      <c r="T82" s="218"/>
    </row>
    <row r="83" spans="15:20">
      <c r="O83" s="217"/>
      <c r="P83" s="217"/>
      <c r="Q83" s="217"/>
      <c r="R83" s="217"/>
      <c r="S83" s="217"/>
      <c r="T83" s="218"/>
    </row>
    <row r="84" spans="15:20">
      <c r="O84" s="217"/>
      <c r="P84" s="217"/>
      <c r="Q84" s="217"/>
      <c r="R84" s="217"/>
      <c r="S84" s="217"/>
      <c r="T84" s="218"/>
    </row>
    <row r="85" spans="15:20">
      <c r="O85" s="217"/>
      <c r="P85" s="217"/>
      <c r="Q85" s="217"/>
      <c r="R85" s="217"/>
      <c r="S85" s="217"/>
      <c r="T85" s="218"/>
    </row>
    <row r="86" spans="15:20">
      <c r="O86" s="217"/>
      <c r="P86" s="217"/>
      <c r="Q86" s="217"/>
      <c r="R86" s="217"/>
      <c r="S86" s="217"/>
      <c r="T86" s="218"/>
    </row>
    <row r="87" spans="15:20">
      <c r="O87" s="217"/>
      <c r="P87" s="217"/>
      <c r="Q87" s="217"/>
      <c r="R87" s="217"/>
      <c r="S87" s="217"/>
      <c r="T87" s="218"/>
    </row>
    <row r="88" spans="15:20">
      <c r="O88" s="217"/>
      <c r="P88" s="217"/>
      <c r="Q88" s="217"/>
      <c r="R88" s="217"/>
      <c r="S88" s="217"/>
      <c r="T88" s="218"/>
    </row>
    <row r="89" spans="15:20">
      <c r="O89" s="217"/>
      <c r="P89" s="217"/>
      <c r="Q89" s="217"/>
      <c r="R89" s="217"/>
      <c r="S89" s="217"/>
      <c r="T89" s="218"/>
    </row>
    <row r="90" spans="15:20">
      <c r="O90" s="217"/>
      <c r="P90" s="217"/>
      <c r="Q90" s="217"/>
      <c r="R90" s="217"/>
      <c r="S90" s="217"/>
      <c r="T90" s="218"/>
    </row>
    <row r="91" spans="15:20">
      <c r="O91" s="217"/>
      <c r="P91" s="217"/>
      <c r="Q91" s="217"/>
      <c r="R91" s="217"/>
      <c r="S91" s="217"/>
      <c r="T91" s="218"/>
    </row>
    <row r="92" spans="15:20">
      <c r="O92" s="217"/>
      <c r="P92" s="217"/>
      <c r="Q92" s="217"/>
      <c r="R92" s="217"/>
      <c r="S92" s="217"/>
      <c r="T92" s="218"/>
    </row>
    <row r="93" spans="15:20">
      <c r="O93" s="217"/>
      <c r="P93" s="217"/>
      <c r="Q93" s="217"/>
      <c r="R93" s="217"/>
      <c r="S93" s="217"/>
      <c r="T93" s="218"/>
    </row>
    <row r="94" spans="15:20">
      <c r="O94" s="217"/>
      <c r="P94" s="217"/>
      <c r="Q94" s="217"/>
      <c r="R94" s="217"/>
      <c r="S94" s="217"/>
      <c r="T94" s="218"/>
    </row>
    <row r="95" spans="15:20">
      <c r="O95" s="217"/>
      <c r="P95" s="217"/>
      <c r="Q95" s="217"/>
      <c r="R95" s="217"/>
      <c r="S95" s="217"/>
      <c r="T95" s="218"/>
    </row>
    <row r="96" spans="15:20">
      <c r="O96" s="217"/>
      <c r="P96" s="217"/>
      <c r="Q96" s="217"/>
      <c r="R96" s="217"/>
      <c r="S96" s="217"/>
      <c r="T96" s="218"/>
    </row>
    <row r="97" spans="15:20">
      <c r="O97" s="217"/>
      <c r="P97" s="217"/>
      <c r="Q97" s="217"/>
      <c r="R97" s="217"/>
      <c r="S97" s="217"/>
      <c r="T97" s="218"/>
    </row>
    <row r="98" spans="15:20">
      <c r="O98" s="217"/>
      <c r="P98" s="217"/>
      <c r="Q98" s="217"/>
      <c r="R98" s="217"/>
      <c r="S98" s="217"/>
      <c r="T98" s="218"/>
    </row>
    <row r="99" spans="15:20">
      <c r="O99" s="217"/>
      <c r="P99" s="217"/>
      <c r="Q99" s="217"/>
      <c r="R99" s="217"/>
      <c r="S99" s="217"/>
      <c r="T99" s="218"/>
    </row>
    <row r="100" spans="15:20">
      <c r="O100" s="217"/>
      <c r="P100" s="217"/>
      <c r="Q100" s="217"/>
      <c r="R100" s="217"/>
      <c r="S100" s="217"/>
      <c r="T100" s="218"/>
    </row>
    <row r="101" spans="15:20">
      <c r="O101" s="217"/>
      <c r="P101" s="217"/>
      <c r="Q101" s="217"/>
      <c r="R101" s="217"/>
      <c r="S101" s="217"/>
      <c r="T101" s="218"/>
    </row>
    <row r="102" spans="15:20">
      <c r="O102" s="217"/>
      <c r="P102" s="217"/>
      <c r="Q102" s="217"/>
      <c r="R102" s="217"/>
      <c r="S102" s="217"/>
      <c r="T102" s="218"/>
    </row>
    <row r="103" spans="15:20">
      <c r="O103" s="217"/>
      <c r="P103" s="217"/>
      <c r="Q103" s="217"/>
      <c r="R103" s="217"/>
      <c r="S103" s="217"/>
      <c r="T103" s="218"/>
    </row>
    <row r="104" spans="15:20">
      <c r="O104" s="217"/>
      <c r="P104" s="217"/>
      <c r="Q104" s="217"/>
      <c r="R104" s="217"/>
      <c r="S104" s="217"/>
      <c r="T104" s="218"/>
    </row>
    <row r="105" spans="15:20">
      <c r="O105" s="217"/>
      <c r="P105" s="217"/>
      <c r="Q105" s="217"/>
      <c r="R105" s="217"/>
      <c r="S105" s="217"/>
      <c r="T105" s="218"/>
    </row>
    <row r="106" spans="15:20">
      <c r="O106" s="217"/>
      <c r="P106" s="217"/>
      <c r="Q106" s="217"/>
      <c r="R106" s="217"/>
      <c r="S106" s="217"/>
      <c r="T106" s="218"/>
    </row>
    <row r="107" spans="15:20">
      <c r="O107" s="217"/>
      <c r="P107" s="217"/>
      <c r="Q107" s="217"/>
      <c r="R107" s="217"/>
      <c r="S107" s="217"/>
      <c r="T107" s="218"/>
    </row>
    <row r="108" spans="15:20">
      <c r="O108" s="217"/>
      <c r="P108" s="217"/>
      <c r="Q108" s="217"/>
      <c r="R108" s="217"/>
      <c r="S108" s="217"/>
      <c r="T108" s="218"/>
    </row>
    <row r="109" spans="15:20">
      <c r="O109" s="217"/>
      <c r="P109" s="217"/>
      <c r="Q109" s="217"/>
      <c r="R109" s="217"/>
      <c r="S109" s="217"/>
      <c r="T109" s="218"/>
    </row>
    <row r="110" spans="15:20">
      <c r="O110" s="217"/>
      <c r="P110" s="217"/>
      <c r="Q110" s="217"/>
      <c r="R110" s="217"/>
      <c r="S110" s="217"/>
      <c r="T110" s="218"/>
    </row>
    <row r="111" spans="15:20">
      <c r="O111" s="217"/>
      <c r="P111" s="217"/>
      <c r="Q111" s="217"/>
      <c r="R111" s="217"/>
      <c r="S111" s="217"/>
      <c r="T111" s="218"/>
    </row>
    <row r="112" spans="15:20">
      <c r="O112" s="217"/>
      <c r="P112" s="217"/>
      <c r="Q112" s="217"/>
      <c r="R112" s="217"/>
      <c r="S112" s="217"/>
      <c r="T112" s="218"/>
    </row>
    <row r="113" spans="15:20">
      <c r="O113" s="217"/>
      <c r="P113" s="217"/>
      <c r="Q113" s="217"/>
      <c r="R113" s="217"/>
      <c r="S113" s="217"/>
      <c r="T113" s="218"/>
    </row>
    <row r="114" spans="15:20">
      <c r="O114" s="217"/>
      <c r="P114" s="217"/>
      <c r="Q114" s="217"/>
      <c r="R114" s="217"/>
      <c r="S114" s="217"/>
      <c r="T114" s="218"/>
    </row>
    <row r="115" spans="15:20">
      <c r="O115" s="217"/>
      <c r="P115" s="217"/>
      <c r="Q115" s="217"/>
      <c r="R115" s="217"/>
      <c r="S115" s="217"/>
      <c r="T115" s="218"/>
    </row>
    <row r="116" spans="15:20">
      <c r="O116" s="217"/>
      <c r="P116" s="217"/>
      <c r="Q116" s="217"/>
      <c r="R116" s="217"/>
      <c r="S116" s="217"/>
      <c r="T116" s="218"/>
    </row>
    <row r="117" spans="15:20">
      <c r="O117" s="217"/>
      <c r="P117" s="217"/>
      <c r="Q117" s="217"/>
      <c r="R117" s="217"/>
      <c r="S117" s="217"/>
      <c r="T117" s="218"/>
    </row>
    <row r="118" spans="15:20">
      <c r="O118" s="217"/>
      <c r="P118" s="217"/>
      <c r="Q118" s="217"/>
      <c r="R118" s="217"/>
      <c r="S118" s="217"/>
      <c r="T118" s="218"/>
    </row>
    <row r="119" spans="15:20">
      <c r="O119" s="217"/>
      <c r="P119" s="217"/>
      <c r="Q119" s="217"/>
      <c r="R119" s="217"/>
      <c r="S119" s="217"/>
      <c r="T119" s="218"/>
    </row>
    <row r="120" spans="15:20">
      <c r="O120" s="217"/>
      <c r="P120" s="217"/>
      <c r="Q120" s="217"/>
      <c r="R120" s="217"/>
      <c r="S120" s="217"/>
      <c r="T120" s="218"/>
    </row>
    <row r="121" spans="15:20">
      <c r="O121" s="217"/>
      <c r="P121" s="217"/>
      <c r="Q121" s="217"/>
      <c r="R121" s="217"/>
      <c r="S121" s="217"/>
      <c r="T121" s="218"/>
    </row>
    <row r="122" spans="15:20">
      <c r="O122" s="217"/>
      <c r="P122" s="217"/>
      <c r="Q122" s="217"/>
      <c r="R122" s="217"/>
      <c r="S122" s="217"/>
      <c r="T122" s="218"/>
    </row>
    <row r="123" spans="15:20">
      <c r="O123" s="217"/>
      <c r="P123" s="217"/>
      <c r="Q123" s="217"/>
      <c r="R123" s="217"/>
      <c r="S123" s="217"/>
      <c r="T123" s="218"/>
    </row>
    <row r="124" spans="15:20">
      <c r="O124" s="217"/>
      <c r="P124" s="217"/>
      <c r="Q124" s="217"/>
      <c r="R124" s="217"/>
      <c r="S124" s="217"/>
      <c r="T124" s="218"/>
    </row>
    <row r="125" spans="15:20">
      <c r="O125" s="217"/>
      <c r="P125" s="217"/>
      <c r="Q125" s="217"/>
      <c r="R125" s="217"/>
      <c r="S125" s="217"/>
      <c r="T125" s="218"/>
    </row>
    <row r="126" spans="15:20">
      <c r="O126" s="217"/>
      <c r="P126" s="217"/>
      <c r="Q126" s="217"/>
      <c r="R126" s="217"/>
      <c r="S126" s="217"/>
      <c r="T126" s="218"/>
    </row>
    <row r="127" spans="15:20">
      <c r="O127" s="217"/>
      <c r="P127" s="217"/>
      <c r="Q127" s="217"/>
      <c r="R127" s="217"/>
      <c r="S127" s="217"/>
      <c r="T127" s="218"/>
    </row>
    <row r="128" spans="15:20">
      <c r="O128" s="217"/>
      <c r="P128" s="217"/>
      <c r="Q128" s="217"/>
      <c r="R128" s="217"/>
      <c r="S128" s="217"/>
      <c r="T128" s="218"/>
    </row>
    <row r="129" spans="15:20">
      <c r="O129" s="217"/>
      <c r="P129" s="217"/>
      <c r="Q129" s="217"/>
      <c r="R129" s="217"/>
      <c r="S129" s="217"/>
      <c r="T129" s="218"/>
    </row>
    <row r="130" spans="15:20">
      <c r="O130" s="217"/>
      <c r="P130" s="217"/>
      <c r="Q130" s="217"/>
      <c r="R130" s="217"/>
      <c r="S130" s="217"/>
      <c r="T130" s="218"/>
    </row>
    <row r="131" spans="15:20">
      <c r="O131" s="217"/>
      <c r="P131" s="217"/>
      <c r="Q131" s="217"/>
      <c r="R131" s="217"/>
      <c r="S131" s="217"/>
      <c r="T131" s="218"/>
    </row>
    <row r="132" spans="15:20">
      <c r="O132" s="217"/>
      <c r="P132" s="217"/>
      <c r="Q132" s="217"/>
      <c r="R132" s="217"/>
      <c r="S132" s="217"/>
      <c r="T132" s="218"/>
    </row>
    <row r="133" spans="15:20">
      <c r="O133" s="217"/>
      <c r="P133" s="217"/>
      <c r="Q133" s="217"/>
      <c r="R133" s="217"/>
      <c r="S133" s="217"/>
      <c r="T133" s="218"/>
    </row>
    <row r="134" spans="15:20">
      <c r="O134" s="217"/>
      <c r="P134" s="217"/>
      <c r="Q134" s="217"/>
      <c r="R134" s="217"/>
      <c r="S134" s="217"/>
      <c r="T134" s="218"/>
    </row>
    <row r="135" spans="15:20">
      <c r="O135" s="217"/>
      <c r="P135" s="217"/>
      <c r="Q135" s="217"/>
      <c r="R135" s="217"/>
      <c r="S135" s="217"/>
      <c r="T135" s="218"/>
    </row>
    <row r="136" spans="15:20">
      <c r="O136" s="217"/>
      <c r="P136" s="217"/>
      <c r="Q136" s="217"/>
      <c r="R136" s="217"/>
      <c r="S136" s="217"/>
      <c r="T136" s="218"/>
    </row>
    <row r="137" spans="15:20">
      <c r="O137" s="217"/>
      <c r="P137" s="217"/>
      <c r="Q137" s="217"/>
      <c r="R137" s="217"/>
      <c r="S137" s="217"/>
      <c r="T137" s="218"/>
    </row>
    <row r="138" spans="15:20">
      <c r="O138" s="217"/>
      <c r="P138" s="217"/>
      <c r="Q138" s="217"/>
      <c r="R138" s="217"/>
      <c r="S138" s="217"/>
      <c r="T138" s="218"/>
    </row>
    <row r="139" spans="15:20">
      <c r="O139" s="217"/>
      <c r="P139" s="217"/>
      <c r="Q139" s="217"/>
      <c r="R139" s="217"/>
      <c r="S139" s="217"/>
      <c r="T139" s="218"/>
    </row>
    <row r="140" spans="15:20">
      <c r="O140" s="217"/>
      <c r="P140" s="217"/>
      <c r="Q140" s="217"/>
      <c r="R140" s="217"/>
      <c r="S140" s="217"/>
      <c r="T140" s="218"/>
    </row>
    <row r="141" spans="15:20">
      <c r="O141" s="217"/>
      <c r="P141" s="217"/>
      <c r="Q141" s="217"/>
      <c r="R141" s="217"/>
      <c r="S141" s="217"/>
      <c r="T141" s="218"/>
    </row>
    <row r="142" spans="15:20">
      <c r="O142" s="217"/>
      <c r="P142" s="217"/>
      <c r="Q142" s="217"/>
      <c r="R142" s="217"/>
      <c r="S142" s="217"/>
      <c r="T142" s="218"/>
    </row>
    <row r="143" spans="15:20">
      <c r="O143" s="217"/>
      <c r="P143" s="217"/>
      <c r="Q143" s="217"/>
      <c r="R143" s="217"/>
      <c r="S143" s="217"/>
      <c r="T143" s="218"/>
    </row>
    <row r="144" spans="15:20">
      <c r="O144" s="217"/>
      <c r="P144" s="217"/>
      <c r="Q144" s="217"/>
      <c r="R144" s="217"/>
      <c r="S144" s="217"/>
      <c r="T144" s="218"/>
    </row>
    <row r="145" spans="15:20">
      <c r="O145" s="217"/>
      <c r="P145" s="217"/>
      <c r="Q145" s="217"/>
      <c r="R145" s="217"/>
      <c r="S145" s="217"/>
      <c r="T145" s="218"/>
    </row>
    <row r="146" spans="15:20">
      <c r="O146" s="217"/>
      <c r="P146" s="217"/>
      <c r="Q146" s="217"/>
      <c r="R146" s="217"/>
      <c r="S146" s="217"/>
      <c r="T146" s="218"/>
    </row>
    <row r="147" spans="15:20">
      <c r="O147" s="217"/>
      <c r="P147" s="217"/>
      <c r="Q147" s="217"/>
      <c r="R147" s="217"/>
      <c r="S147" s="217"/>
      <c r="T147" s="218"/>
    </row>
    <row r="148" spans="15:20">
      <c r="O148" s="217"/>
      <c r="P148" s="217"/>
      <c r="Q148" s="217"/>
      <c r="R148" s="217"/>
      <c r="S148" s="217"/>
      <c r="T148" s="218"/>
    </row>
    <row r="149" spans="15:20">
      <c r="O149" s="217"/>
      <c r="P149" s="217"/>
      <c r="Q149" s="217"/>
      <c r="R149" s="217"/>
      <c r="S149" s="217"/>
      <c r="T149" s="218"/>
    </row>
    <row r="150" spans="15:20">
      <c r="O150" s="217"/>
      <c r="P150" s="217"/>
      <c r="Q150" s="217"/>
      <c r="R150" s="217"/>
      <c r="S150" s="217"/>
      <c r="T150" s="218"/>
    </row>
    <row r="151" spans="15:20">
      <c r="O151" s="217"/>
      <c r="P151" s="217"/>
      <c r="Q151" s="217"/>
      <c r="R151" s="217"/>
      <c r="S151" s="217"/>
      <c r="T151" s="218"/>
    </row>
    <row r="152" spans="15:20">
      <c r="O152" s="217"/>
      <c r="P152" s="217"/>
      <c r="Q152" s="217"/>
      <c r="R152" s="217"/>
      <c r="S152" s="217"/>
      <c r="T152" s="218"/>
    </row>
    <row r="153" spans="15:20">
      <c r="O153" s="217"/>
      <c r="P153" s="217"/>
      <c r="Q153" s="217"/>
      <c r="R153" s="217"/>
      <c r="S153" s="217"/>
      <c r="T153" s="218"/>
    </row>
    <row r="154" spans="15:20">
      <c r="O154" s="217"/>
      <c r="P154" s="217"/>
      <c r="Q154" s="217"/>
      <c r="R154" s="217"/>
      <c r="S154" s="217"/>
      <c r="T154" s="218"/>
    </row>
    <row r="155" spans="15:20">
      <c r="O155" s="217"/>
      <c r="P155" s="217"/>
      <c r="Q155" s="217"/>
      <c r="R155" s="217"/>
      <c r="S155" s="217"/>
      <c r="T155" s="218"/>
    </row>
    <row r="156" spans="15:20">
      <c r="O156" s="217"/>
      <c r="P156" s="217"/>
      <c r="Q156" s="217"/>
      <c r="R156" s="217"/>
      <c r="S156" s="217"/>
      <c r="T156" s="218"/>
    </row>
    <row r="157" spans="15:20">
      <c r="O157" s="217"/>
      <c r="P157" s="217"/>
      <c r="Q157" s="217"/>
      <c r="R157" s="217"/>
      <c r="S157" s="217"/>
      <c r="T157" s="218"/>
    </row>
    <row r="158" spans="15:20">
      <c r="O158" s="217"/>
      <c r="P158" s="217"/>
      <c r="Q158" s="217"/>
      <c r="R158" s="217"/>
      <c r="S158" s="217"/>
      <c r="T158" s="218"/>
    </row>
    <row r="159" spans="15:20">
      <c r="O159" s="217"/>
      <c r="P159" s="217"/>
      <c r="Q159" s="217"/>
      <c r="R159" s="217"/>
      <c r="S159" s="217"/>
      <c r="T159" s="218"/>
    </row>
    <row r="160" spans="15:20">
      <c r="O160" s="217"/>
      <c r="P160" s="217"/>
      <c r="Q160" s="217"/>
      <c r="R160" s="217"/>
      <c r="S160" s="217"/>
      <c r="T160" s="218"/>
    </row>
  </sheetData>
  <mergeCells count="7">
    <mergeCell ref="A48:A49"/>
    <mergeCell ref="A56:A57"/>
    <mergeCell ref="A6:A7"/>
    <mergeCell ref="A24:A25"/>
    <mergeCell ref="A32:A33"/>
    <mergeCell ref="A16:A17"/>
    <mergeCell ref="A40:A41"/>
  </mergeCells>
  <phoneticPr fontId="6" type="noConversion"/>
  <pageMargins left="0.74803149606299213" right="0.95" top="0.47244094488188981" bottom="0.47244094488188981" header="0.35433070866141736" footer="0.23622047244094491"/>
  <pageSetup paperSize="5" orientation="landscape" r:id="rId1"/>
  <headerFooter alignWithMargins="0">
    <oddFooter>&amp;L&amp;Z&amp;F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/>
  </sheetPr>
  <dimension ref="A2:AC52"/>
  <sheetViews>
    <sheetView zoomScale="85" zoomScaleNormal="85" workbookViewId="0">
      <selection activeCell="Y49" sqref="Y49"/>
    </sheetView>
  </sheetViews>
  <sheetFormatPr baseColWidth="10" defaultRowHeight="12.75"/>
  <cols>
    <col min="1" max="1" width="32.42578125" style="2" bestFit="1" customWidth="1"/>
    <col min="2" max="2" width="1.5703125" style="2" customWidth="1"/>
    <col min="3" max="5" width="10.42578125" style="2" customWidth="1"/>
    <col min="6" max="7" width="11.42578125" style="2" customWidth="1"/>
    <col min="8" max="8" width="10.42578125" style="2" customWidth="1"/>
    <col min="9" max="12" width="10.140625" style="2" customWidth="1"/>
    <col min="13" max="13" width="10.5703125" style="2" customWidth="1"/>
    <col min="14" max="16384" width="11.42578125" style="2"/>
  </cols>
  <sheetData>
    <row r="2" spans="1:12" ht="15.75">
      <c r="A2" s="1" t="s">
        <v>39</v>
      </c>
      <c r="B2" s="1"/>
      <c r="C2" s="81"/>
      <c r="D2" s="81"/>
    </row>
    <row r="3" spans="1:12" ht="15.75">
      <c r="A3" s="1"/>
      <c r="B3" s="1"/>
    </row>
    <row r="4" spans="1:12" ht="15.75">
      <c r="A4" s="20" t="s">
        <v>162</v>
      </c>
      <c r="B4" s="1"/>
    </row>
    <row r="5" spans="1:12" ht="13.5" thickBot="1">
      <c r="A5" s="105"/>
      <c r="B5" s="105"/>
      <c r="C5" s="105"/>
      <c r="D5" s="105"/>
      <c r="E5" s="105"/>
      <c r="F5" s="105"/>
      <c r="G5" s="105"/>
      <c r="H5" s="105"/>
      <c r="L5" s="35"/>
    </row>
    <row r="6" spans="1:12" ht="67.5" customHeight="1">
      <c r="A6" s="352" t="s">
        <v>0</v>
      </c>
      <c r="B6" s="3"/>
      <c r="C6" s="4" t="s">
        <v>169</v>
      </c>
      <c r="D6" s="4" t="s">
        <v>113</v>
      </c>
      <c r="E6" s="118" t="s">
        <v>115</v>
      </c>
      <c r="F6" s="19" t="s">
        <v>138</v>
      </c>
      <c r="G6" s="4" t="s">
        <v>113</v>
      </c>
      <c r="H6" s="118" t="s">
        <v>115</v>
      </c>
      <c r="I6" s="4" t="s">
        <v>141</v>
      </c>
      <c r="J6" s="4" t="s">
        <v>113</v>
      </c>
      <c r="K6" s="118" t="s">
        <v>115</v>
      </c>
      <c r="L6" s="300" t="s">
        <v>171</v>
      </c>
    </row>
    <row r="7" spans="1:12">
      <c r="A7" s="353"/>
      <c r="B7" s="301"/>
      <c r="C7" s="16" t="s">
        <v>23</v>
      </c>
      <c r="D7" s="16" t="s">
        <v>137</v>
      </c>
      <c r="E7" s="119" t="s">
        <v>1</v>
      </c>
      <c r="F7" s="6" t="s">
        <v>1</v>
      </c>
      <c r="G7" s="16" t="s">
        <v>140</v>
      </c>
      <c r="H7" s="119" t="s">
        <v>1</v>
      </c>
      <c r="I7" s="6" t="s">
        <v>1</v>
      </c>
      <c r="J7" s="16" t="s">
        <v>140</v>
      </c>
      <c r="K7" s="119" t="s">
        <v>1</v>
      </c>
      <c r="L7" s="122" t="s">
        <v>1</v>
      </c>
    </row>
    <row r="8" spans="1:12">
      <c r="A8" s="249" t="s">
        <v>4</v>
      </c>
      <c r="B8" s="249"/>
      <c r="C8" s="250">
        <f ca="1">Sport!E18</f>
        <v>2423.1646705690632</v>
      </c>
      <c r="D8" s="252">
        <v>1.162299967460354</v>
      </c>
      <c r="E8" s="253">
        <f ca="1">C8*D8/1000</f>
        <v>2.8164442177535016</v>
      </c>
      <c r="F8" s="259">
        <f ca="1">Sport!H18</f>
        <v>0</v>
      </c>
      <c r="G8" s="252">
        <v>2.0835029129595228</v>
      </c>
      <c r="H8" s="253">
        <f>F8*G8/1000</f>
        <v>0</v>
      </c>
      <c r="I8" s="259">
        <f ca="1">Culture!K18</f>
        <v>16.907710292020965</v>
      </c>
      <c r="J8" s="252">
        <v>53.676405215258526</v>
      </c>
      <c r="K8" s="253">
        <f>I8*J8/1000</f>
        <v>0.90754510889671436</v>
      </c>
      <c r="L8" s="255">
        <f>E8+H8+K8</f>
        <v>3.7239893266502158</v>
      </c>
    </row>
    <row r="9" spans="1:12">
      <c r="A9" s="249" t="s">
        <v>15</v>
      </c>
      <c r="B9" s="249"/>
      <c r="C9" s="250">
        <f ca="1">Sport!E19</f>
        <v>1903.4311255122202</v>
      </c>
      <c r="D9" s="252">
        <v>1.162299967460354</v>
      </c>
      <c r="E9" s="253">
        <f ca="1">C9*D9/1000</f>
        <v>2.2123579352458789</v>
      </c>
      <c r="F9" s="259">
        <f ca="1">Sport!H19</f>
        <v>0</v>
      </c>
      <c r="G9" s="252">
        <v>2.0835029129595228</v>
      </c>
      <c r="H9" s="253">
        <f>F9*G9/1000</f>
        <v>0</v>
      </c>
      <c r="I9" s="259">
        <f ca="1">Culture!K19</f>
        <v>13.096415963802428</v>
      </c>
      <c r="J9" s="252">
        <v>53.676405215258526</v>
      </c>
      <c r="K9" s="253">
        <f>I9*J9/1000</f>
        <v>0.70296853014063965</v>
      </c>
      <c r="L9" s="255">
        <f>E9+H9+K9</f>
        <v>2.9153264653865185</v>
      </c>
    </row>
    <row r="10" spans="1:12" ht="13.5" thickBot="1">
      <c r="A10" s="269" t="s">
        <v>17</v>
      </c>
      <c r="B10" s="269"/>
      <c r="C10" s="271">
        <f ca="1">Sport!E20</f>
        <v>3659.674945005891</v>
      </c>
      <c r="D10" s="274">
        <v>1.162299967460354</v>
      </c>
      <c r="E10" s="275">
        <f ca="1">C10*D10/1000</f>
        <v>4.2536400694958205</v>
      </c>
      <c r="F10" s="290">
        <f ca="1">Sport!H20</f>
        <v>0</v>
      </c>
      <c r="G10" s="274">
        <v>2.0835029129595228</v>
      </c>
      <c r="H10" s="275">
        <f>F10*G10/1000</f>
        <v>0</v>
      </c>
      <c r="I10" s="290">
        <f ca="1">Culture!K20</f>
        <v>26.31444349933281</v>
      </c>
      <c r="J10" s="274">
        <v>53.676405215258526</v>
      </c>
      <c r="K10" s="275">
        <f>I10*J10/1000</f>
        <v>1.4124647322842137</v>
      </c>
      <c r="L10" s="277">
        <f>E10+H10+K10</f>
        <v>5.6661048017800342</v>
      </c>
    </row>
    <row r="11" spans="1:12">
      <c r="A11" s="135"/>
    </row>
    <row r="12" spans="1:12" ht="15.75">
      <c r="A12" s="20" t="s">
        <v>29</v>
      </c>
      <c r="B12" s="1"/>
    </row>
    <row r="13" spans="1:12" ht="13.5" thickBot="1">
      <c r="A13" s="105"/>
      <c r="B13" s="105"/>
      <c r="C13" s="105"/>
      <c r="D13" s="105"/>
      <c r="E13" s="105"/>
      <c r="F13" s="105"/>
      <c r="G13" s="105"/>
      <c r="H13" s="105"/>
    </row>
    <row r="14" spans="1:12" ht="67.5" customHeight="1">
      <c r="A14" s="352" t="s">
        <v>0</v>
      </c>
      <c r="B14" s="3"/>
      <c r="C14" s="4" t="s">
        <v>133</v>
      </c>
      <c r="D14" s="4" t="s">
        <v>166</v>
      </c>
      <c r="E14" s="118" t="s">
        <v>115</v>
      </c>
      <c r="F14" s="19" t="s">
        <v>138</v>
      </c>
      <c r="G14" s="4" t="s">
        <v>166</v>
      </c>
      <c r="H14" s="118" t="s">
        <v>115</v>
      </c>
      <c r="I14" s="4" t="s">
        <v>141</v>
      </c>
      <c r="J14" s="4" t="s">
        <v>166</v>
      </c>
      <c r="K14" s="118" t="s">
        <v>115</v>
      </c>
      <c r="L14" s="121" t="s">
        <v>171</v>
      </c>
    </row>
    <row r="15" spans="1:12">
      <c r="A15" s="353"/>
      <c r="B15" s="301"/>
      <c r="C15" s="16" t="s">
        <v>23</v>
      </c>
      <c r="D15" s="16" t="s">
        <v>137</v>
      </c>
      <c r="E15" s="119" t="s">
        <v>1</v>
      </c>
      <c r="F15" s="6" t="s">
        <v>1</v>
      </c>
      <c r="G15" s="16" t="s">
        <v>140</v>
      </c>
      <c r="H15" s="119" t="s">
        <v>1</v>
      </c>
      <c r="I15" s="6" t="s">
        <v>1</v>
      </c>
      <c r="J15" s="16" t="s">
        <v>140</v>
      </c>
      <c r="K15" s="119" t="s">
        <v>1</v>
      </c>
      <c r="L15" s="122" t="s">
        <v>1</v>
      </c>
    </row>
    <row r="16" spans="1:12">
      <c r="A16" s="249" t="s">
        <v>4</v>
      </c>
      <c r="B16" s="249"/>
      <c r="C16" s="307">
        <f ca="1">Sport!E26</f>
        <v>479.4129648688226</v>
      </c>
      <c r="D16" s="309">
        <v>1.1739229671349576</v>
      </c>
      <c r="E16" s="311">
        <f ca="1">C16*D16/1000</f>
        <v>0.56279389020177539</v>
      </c>
      <c r="F16" s="264">
        <f ca="1">Sport!H26</f>
        <v>0</v>
      </c>
      <c r="G16" s="309">
        <v>2.104337942089118</v>
      </c>
      <c r="H16" s="311">
        <f>F16*G16/1000</f>
        <v>0</v>
      </c>
      <c r="I16" s="264">
        <f ca="1">Culture!K26</f>
        <v>3.3451195532393285</v>
      </c>
      <c r="J16" s="309">
        <v>54.213169267411111</v>
      </c>
      <c r="K16" s="311">
        <f>I16*J16/1000</f>
        <v>0.18134953255949035</v>
      </c>
      <c r="L16" s="255">
        <f>E16+H16+K16</f>
        <v>0.74414342276126577</v>
      </c>
    </row>
    <row r="17" spans="1:12">
      <c r="A17" s="249" t="s">
        <v>15</v>
      </c>
      <c r="B17" s="249"/>
      <c r="C17" s="307">
        <f ca="1">Sport!E27</f>
        <v>2150.9444308791803</v>
      </c>
      <c r="D17" s="309">
        <v>1.1739229671349576</v>
      </c>
      <c r="E17" s="311">
        <f ca="1">C17*D17/1000</f>
        <v>2.5250430684401</v>
      </c>
      <c r="F17" s="264">
        <f ca="1">Sport!H27</f>
        <v>43802.100000000006</v>
      </c>
      <c r="G17" s="309">
        <v>2.104337942089118</v>
      </c>
      <c r="H17" s="311">
        <f>F17*G17/1000</f>
        <v>92.174420973181768</v>
      </c>
      <c r="I17" s="264">
        <f ca="1">Culture!K27</f>
        <v>14.7977881409779</v>
      </c>
      <c r="J17" s="309">
        <v>54.213169267411111</v>
      </c>
      <c r="K17" s="311">
        <f>I17*J17/1000</f>
        <v>0.80223499327012371</v>
      </c>
      <c r="L17" s="255">
        <f>E17+H17+K17</f>
        <v>95.501699034891985</v>
      </c>
    </row>
    <row r="18" spans="1:12" ht="13.5" thickBot="1">
      <c r="A18" s="269" t="s">
        <v>17</v>
      </c>
      <c r="B18" s="269"/>
      <c r="C18" s="279">
        <f ca="1">Sport!E28</f>
        <v>2475.446929160973</v>
      </c>
      <c r="D18" s="281">
        <v>1.1739229671349576</v>
      </c>
      <c r="E18" s="314">
        <f ca="1">C18*D18/1000</f>
        <v>2.9059840040657687</v>
      </c>
      <c r="F18" s="316">
        <f ca="1">Sport!H28</f>
        <v>0</v>
      </c>
      <c r="G18" s="281">
        <v>2.104337942089118</v>
      </c>
      <c r="H18" s="314">
        <f>F18*G18/1000</f>
        <v>0</v>
      </c>
      <c r="I18" s="316">
        <f ca="1">Culture!K28</f>
        <v>17.799855686885394</v>
      </c>
      <c r="J18" s="281">
        <v>54.213169267411111</v>
      </c>
      <c r="K18" s="314">
        <f>I18*J18/1000</f>
        <v>0.96498658928860814</v>
      </c>
      <c r="L18" s="277">
        <f>E18+H18+K18</f>
        <v>3.870970593354377</v>
      </c>
    </row>
    <row r="19" spans="1:12">
      <c r="A19" s="10" t="s">
        <v>167</v>
      </c>
    </row>
    <row r="20" spans="1:12">
      <c r="A20" s="10"/>
    </row>
    <row r="21" spans="1:12" ht="15.75">
      <c r="A21" s="20" t="s">
        <v>30</v>
      </c>
      <c r="B21" s="1"/>
    </row>
    <row r="22" spans="1:12" ht="13.5" thickBot="1">
      <c r="A22" s="13"/>
      <c r="B22" s="13"/>
      <c r="C22" s="13"/>
      <c r="D22" s="13"/>
      <c r="E22" s="13"/>
      <c r="F22" s="13"/>
      <c r="G22" s="13"/>
      <c r="H22" s="13"/>
    </row>
    <row r="23" spans="1:12" ht="67.5" customHeight="1">
      <c r="A23" s="352" t="s">
        <v>0</v>
      </c>
      <c r="B23" s="3"/>
      <c r="C23" s="4" t="s">
        <v>134</v>
      </c>
      <c r="D23" s="4" t="s">
        <v>113</v>
      </c>
      <c r="E23" s="118" t="s">
        <v>115</v>
      </c>
      <c r="F23" s="19" t="s">
        <v>138</v>
      </c>
      <c r="G23" s="4" t="s">
        <v>113</v>
      </c>
      <c r="H23" s="118" t="s">
        <v>115</v>
      </c>
      <c r="I23" s="4" t="s">
        <v>141</v>
      </c>
      <c r="J23" s="4" t="s">
        <v>113</v>
      </c>
      <c r="K23" s="118" t="s">
        <v>115</v>
      </c>
      <c r="L23" s="121" t="s">
        <v>171</v>
      </c>
    </row>
    <row r="24" spans="1:12">
      <c r="A24" s="353"/>
      <c r="B24" s="301"/>
      <c r="C24" s="16" t="s">
        <v>23</v>
      </c>
      <c r="D24" s="16" t="s">
        <v>137</v>
      </c>
      <c r="E24" s="119" t="s">
        <v>1</v>
      </c>
      <c r="F24" s="6" t="s">
        <v>1</v>
      </c>
      <c r="G24" s="16" t="s">
        <v>140</v>
      </c>
      <c r="H24" s="119" t="s">
        <v>1</v>
      </c>
      <c r="I24" s="6" t="s">
        <v>1</v>
      </c>
      <c r="J24" s="16" t="s">
        <v>140</v>
      </c>
      <c r="K24" s="119" t="s">
        <v>1</v>
      </c>
      <c r="L24" s="122" t="s">
        <v>1</v>
      </c>
    </row>
    <row r="25" spans="1:12">
      <c r="A25" s="249" t="s">
        <v>4</v>
      </c>
      <c r="B25" s="249"/>
      <c r="C25" s="307">
        <f ca="1">Sport!E34</f>
        <v>1693.7426523875595</v>
      </c>
      <c r="D25" s="309">
        <f ca="1">D16*(1+Indexation!$C$7)</f>
        <v>1.1915318116419817</v>
      </c>
      <c r="E25" s="311">
        <f ca="1">C25*D25/1000</f>
        <v>2.0181482510546442</v>
      </c>
      <c r="F25" s="264">
        <f ca="1">Sport!H34</f>
        <v>0</v>
      </c>
      <c r="G25" s="309">
        <f ca="1">G16*(1+Indexation!$C$7)</f>
        <v>2.1359030112204547</v>
      </c>
      <c r="H25" s="311">
        <f ca="1">F25*G25/1000</f>
        <v>0</v>
      </c>
      <c r="I25" s="264">
        <f ca="1">Culture!K34</f>
        <v>11.818144438810577</v>
      </c>
      <c r="J25" s="309">
        <f ca="1">J16*(1+Indexation!$C$7)</f>
        <v>55.026366806422274</v>
      </c>
      <c r="K25" s="311">
        <f>I25*J25/1000</f>
        <v>0.6503095508612704</v>
      </c>
      <c r="L25" s="312">
        <f>E25+H25+K25</f>
        <v>2.6684578019159146</v>
      </c>
    </row>
    <row r="26" spans="1:12">
      <c r="A26" s="249" t="s">
        <v>15</v>
      </c>
      <c r="B26" s="249"/>
      <c r="C26" s="307">
        <f ca="1">Sport!E35</f>
        <v>1712.4154224572835</v>
      </c>
      <c r="D26" s="309">
        <f ca="1">D17*(1+Indexation!$C$7)</f>
        <v>1.1915318116419817</v>
      </c>
      <c r="E26" s="311">
        <f ca="1">C26*D26/1000</f>
        <v>2.0403974506041966</v>
      </c>
      <c r="F26" s="264">
        <f ca="1">Sport!H35</f>
        <v>0</v>
      </c>
      <c r="G26" s="309">
        <f ca="1">G17*(1+Indexation!$C$7)</f>
        <v>2.1359030112204547</v>
      </c>
      <c r="H26" s="311">
        <f ca="1">F26*G26/1000</f>
        <v>0</v>
      </c>
      <c r="I26" s="264">
        <f ca="1">Culture!K35</f>
        <v>11.781460459650361</v>
      </c>
      <c r="J26" s="309">
        <f ca="1">J17*(1+Indexation!$C$7)</f>
        <v>55.026366806422274</v>
      </c>
      <c r="K26" s="311">
        <f>I26*J26/1000</f>
        <v>0.64829096476808112</v>
      </c>
      <c r="L26" s="312">
        <f>E26+H26+K26</f>
        <v>2.6886884153722779</v>
      </c>
    </row>
    <row r="27" spans="1:12" ht="13.5" thickBot="1">
      <c r="A27" s="269" t="s">
        <v>17</v>
      </c>
      <c r="B27" s="269"/>
      <c r="C27" s="279">
        <f ca="1">Sport!E36</f>
        <v>1327.8596316280887</v>
      </c>
      <c r="D27" s="281">
        <f ca="1">D18*(1+Indexation!$C$7)</f>
        <v>1.1915318116419817</v>
      </c>
      <c r="E27" s="314">
        <f ca="1">C27*D27/1000</f>
        <v>1.5821869924800711</v>
      </c>
      <c r="F27" s="316">
        <f ca="1">Sport!H36</f>
        <v>0</v>
      </c>
      <c r="G27" s="281">
        <f ca="1">G18*(1+Indexation!$C$7)</f>
        <v>2.1359030112204547</v>
      </c>
      <c r="H27" s="314">
        <f ca="1">F27*G27/1000</f>
        <v>0</v>
      </c>
      <c r="I27" s="316">
        <f ca="1">Culture!K36</f>
        <v>9.5479109084346874</v>
      </c>
      <c r="J27" s="281">
        <f ca="1">J18*(1+Indexation!$C$7)</f>
        <v>55.026366806422274</v>
      </c>
      <c r="K27" s="314">
        <f>I27*J27/1000</f>
        <v>0.52538684788256762</v>
      </c>
      <c r="L27" s="315">
        <f>E27+H27+K27</f>
        <v>2.1075738403626385</v>
      </c>
    </row>
    <row r="28" spans="1:12">
      <c r="A28" s="10"/>
    </row>
    <row r="29" spans="1:12" ht="15.75">
      <c r="A29" s="20" t="s">
        <v>206</v>
      </c>
      <c r="B29" s="1"/>
    </row>
    <row r="30" spans="1:12" ht="13.5" thickBot="1">
      <c r="A30" s="13"/>
      <c r="B30" s="13"/>
      <c r="C30" s="13"/>
      <c r="D30" s="13"/>
      <c r="E30" s="13"/>
      <c r="F30" s="13"/>
      <c r="G30" s="13"/>
      <c r="H30" s="13"/>
    </row>
    <row r="31" spans="1:12" ht="67.5" customHeight="1">
      <c r="A31" s="352" t="s">
        <v>0</v>
      </c>
      <c r="B31" s="3"/>
      <c r="C31" s="4" t="s">
        <v>219</v>
      </c>
      <c r="D31" s="4" t="s">
        <v>113</v>
      </c>
      <c r="E31" s="118" t="s">
        <v>115</v>
      </c>
      <c r="F31" s="19" t="s">
        <v>138</v>
      </c>
      <c r="G31" s="4" t="s">
        <v>113</v>
      </c>
      <c r="H31" s="118" t="s">
        <v>115</v>
      </c>
      <c r="I31" s="4" t="s">
        <v>141</v>
      </c>
      <c r="J31" s="4" t="s">
        <v>113</v>
      </c>
      <c r="K31" s="118" t="s">
        <v>115</v>
      </c>
      <c r="L31" s="121" t="s">
        <v>171</v>
      </c>
    </row>
    <row r="32" spans="1:12">
      <c r="A32" s="353"/>
      <c r="B32" s="301"/>
      <c r="C32" s="16" t="s">
        <v>23</v>
      </c>
      <c r="D32" s="16" t="s">
        <v>137</v>
      </c>
      <c r="E32" s="119" t="s">
        <v>1</v>
      </c>
      <c r="F32" s="6" t="s">
        <v>1</v>
      </c>
      <c r="G32" s="16" t="s">
        <v>140</v>
      </c>
      <c r="H32" s="119" t="s">
        <v>1</v>
      </c>
      <c r="I32" s="6" t="s">
        <v>1</v>
      </c>
      <c r="J32" s="16" t="s">
        <v>140</v>
      </c>
      <c r="K32" s="119" t="s">
        <v>1</v>
      </c>
      <c r="L32" s="122" t="s">
        <v>1</v>
      </c>
    </row>
    <row r="33" spans="1:29">
      <c r="A33" s="249" t="s">
        <v>4</v>
      </c>
      <c r="B33" s="249"/>
      <c r="C33" s="307">
        <f ca="1">Sport!E42</f>
        <v>-623.02240178456691</v>
      </c>
      <c r="D33" s="309">
        <f ca="1">D25*(1+Indexation!$C$8)</f>
        <v>1.2034471297584015</v>
      </c>
      <c r="E33" s="311">
        <f ca="1">C33*D33/1000</f>
        <v>-0.74977452120282273</v>
      </c>
      <c r="F33" s="264">
        <f ca="1">Sport!H42</f>
        <v>0</v>
      </c>
      <c r="G33" s="309">
        <f ca="1">G25*(1+Indexation!$C$8)</f>
        <v>2.1572620413326593</v>
      </c>
      <c r="H33" s="311">
        <f ca="1">F33*G33/1000</f>
        <v>0</v>
      </c>
      <c r="I33" s="264">
        <f ca="1">Culture!K42</f>
        <v>-4.397808459713815</v>
      </c>
      <c r="J33" s="309">
        <f ca="1">J25*(1+Indexation!$C$8)</f>
        <v>55.5766304744865</v>
      </c>
      <c r="K33" s="311">
        <f>I33*J33/1000</f>
        <v>-0.24441537566308535</v>
      </c>
      <c r="L33" s="312">
        <f>E33+H33+K33</f>
        <v>-0.99418989686590808</v>
      </c>
    </row>
    <row r="34" spans="1:29">
      <c r="A34" s="249" t="s">
        <v>15</v>
      </c>
      <c r="B34" s="249"/>
      <c r="C34" s="307">
        <f ca="1">Sport!E43</f>
        <v>-728.88309253548528</v>
      </c>
      <c r="D34" s="309">
        <f ca="1">D26*(1+Indexation!$C$8)</f>
        <v>1.2034471297584015</v>
      </c>
      <c r="E34" s="311">
        <f ca="1">C34*D34/1000</f>
        <v>-0.87717226564125717</v>
      </c>
      <c r="F34" s="264">
        <f ca="1">Sport!H43</f>
        <v>0</v>
      </c>
      <c r="G34" s="309">
        <f ca="1">G26*(1+Indexation!$C$8)</f>
        <v>2.1572620413326593</v>
      </c>
      <c r="H34" s="311">
        <f ca="1">F34*G34/1000</f>
        <v>0</v>
      </c>
      <c r="I34" s="264">
        <f ca="1">Culture!K43</f>
        <v>-5.0439103400601653</v>
      </c>
      <c r="J34" s="309">
        <f ca="1">J26*(1+Indexation!$C$8)</f>
        <v>55.5766304744865</v>
      </c>
      <c r="K34" s="311">
        <f>I34*J34/1000</f>
        <v>-0.2803235411159653</v>
      </c>
      <c r="L34" s="312">
        <f>E34+H34+K34</f>
        <v>-1.1574958067572225</v>
      </c>
    </row>
    <row r="35" spans="1:29" ht="13.5" thickBot="1">
      <c r="A35" s="269" t="s">
        <v>17</v>
      </c>
      <c r="B35" s="269"/>
      <c r="C35" s="279">
        <f ca="1">Sport!E44</f>
        <v>2603.1148293347537</v>
      </c>
      <c r="D35" s="281">
        <f ca="1">D27*(1+Indexation!$C$8)</f>
        <v>1.2034471297584015</v>
      </c>
      <c r="E35" s="314">
        <f ca="1">C35*D35/1000</f>
        <v>3.1327110697944405</v>
      </c>
      <c r="F35" s="316">
        <f ca="1">Sport!H44</f>
        <v>0</v>
      </c>
      <c r="G35" s="281">
        <f ca="1">G27*(1+Indexation!$C$8)</f>
        <v>2.1572620413326593</v>
      </c>
      <c r="H35" s="314">
        <f ca="1">F35*G35/1000</f>
        <v>0</v>
      </c>
      <c r="I35" s="316">
        <f ca="1">Culture!K44</f>
        <v>18.691214132003552</v>
      </c>
      <c r="J35" s="281">
        <f ca="1">J27*(1+Indexation!$C$8)</f>
        <v>55.5766304744865</v>
      </c>
      <c r="K35" s="314">
        <f>I35*J35/1000</f>
        <v>1.0387947009338614</v>
      </c>
      <c r="L35" s="315">
        <f>E35+H35+K35</f>
        <v>4.1715057707283023</v>
      </c>
    </row>
    <row r="36" spans="1:29">
      <c r="A36" s="10"/>
    </row>
    <row r="37" spans="1:29" ht="15.75">
      <c r="A37" s="20" t="s">
        <v>209</v>
      </c>
      <c r="B37" s="1"/>
    </row>
    <row r="38" spans="1:29" ht="13.5" thickBot="1">
      <c r="A38" s="13"/>
      <c r="B38" s="13"/>
      <c r="C38" s="13"/>
      <c r="D38" s="13"/>
      <c r="E38" s="13"/>
      <c r="F38" s="13"/>
      <c r="G38" s="13"/>
      <c r="H38" s="13"/>
    </row>
    <row r="39" spans="1:29" ht="67.5" customHeight="1">
      <c r="A39" s="352" t="s">
        <v>0</v>
      </c>
      <c r="B39" s="3"/>
      <c r="C39" s="4" t="s">
        <v>229</v>
      </c>
      <c r="D39" s="4" t="s">
        <v>113</v>
      </c>
      <c r="E39" s="118" t="s">
        <v>115</v>
      </c>
      <c r="F39" s="19" t="s">
        <v>138</v>
      </c>
      <c r="G39" s="4" t="s">
        <v>113</v>
      </c>
      <c r="H39" s="118" t="s">
        <v>115</v>
      </c>
      <c r="I39" s="4" t="s">
        <v>141</v>
      </c>
      <c r="J39" s="4" t="s">
        <v>113</v>
      </c>
      <c r="K39" s="118" t="s">
        <v>115</v>
      </c>
      <c r="L39" s="121" t="s">
        <v>171</v>
      </c>
    </row>
    <row r="40" spans="1:29">
      <c r="A40" s="353"/>
      <c r="B40" s="301"/>
      <c r="C40" s="16" t="s">
        <v>23</v>
      </c>
      <c r="D40" s="16" t="s">
        <v>137</v>
      </c>
      <c r="E40" s="119" t="s">
        <v>1</v>
      </c>
      <c r="F40" s="6" t="s">
        <v>1</v>
      </c>
      <c r="G40" s="16" t="s">
        <v>140</v>
      </c>
      <c r="H40" s="119" t="s">
        <v>1</v>
      </c>
      <c r="I40" s="6" t="s">
        <v>1</v>
      </c>
      <c r="J40" s="16" t="s">
        <v>140</v>
      </c>
      <c r="K40" s="119" t="s">
        <v>1</v>
      </c>
      <c r="L40" s="122" t="s">
        <v>1</v>
      </c>
    </row>
    <row r="41" spans="1:29">
      <c r="A41" s="249" t="s">
        <v>4</v>
      </c>
      <c r="B41" s="249"/>
      <c r="C41" s="307">
        <f ca="1">Sport!E50</f>
        <v>2020.0510128779554</v>
      </c>
      <c r="D41" s="309">
        <f ca="1">D33*(1+Indexation!$C$9)</f>
        <v>1.2154816010559855</v>
      </c>
      <c r="E41" s="311">
        <f ca="1">C41*D41/1000</f>
        <v>2.4553348393476622</v>
      </c>
      <c r="F41" s="264">
        <f ca="1">Sport!H50</f>
        <v>0</v>
      </c>
      <c r="G41" s="309">
        <f ca="1">G33*(1+Indexation!$C$9)</f>
        <v>2.1788346617459857</v>
      </c>
      <c r="H41" s="311">
        <f ca="1">F41*G41/1000</f>
        <v>0</v>
      </c>
      <c r="I41" s="264">
        <f ca="1">Culture!K50</f>
        <v>14.145621026031677</v>
      </c>
      <c r="J41" s="309">
        <f ca="1">J33*(1+Indexation!$C$9)</f>
        <v>56.132396779231364</v>
      </c>
      <c r="K41" s="311">
        <f>I41*J41/1000</f>
        <v>0.79402761212184791</v>
      </c>
      <c r="L41" s="312">
        <f>E41+H41+K41</f>
        <v>3.2493624514695103</v>
      </c>
    </row>
    <row r="42" spans="1:29">
      <c r="A42" s="249" t="s">
        <v>15</v>
      </c>
      <c r="B42" s="249"/>
      <c r="C42" s="307">
        <f ca="1">Sport!E51</f>
        <v>1866.90622482053</v>
      </c>
      <c r="D42" s="309">
        <f ca="1">D34*(1+Indexation!$C$9)</f>
        <v>1.2154816010559855</v>
      </c>
      <c r="E42" s="311">
        <f ca="1">C42*D42/1000</f>
        <v>2.2691901671662436</v>
      </c>
      <c r="F42" s="264">
        <f ca="1">Sport!H51</f>
        <v>0</v>
      </c>
      <c r="G42" s="309">
        <f ca="1">G34*(1+Indexation!$C$9)</f>
        <v>2.1788346617459857</v>
      </c>
      <c r="H42" s="311">
        <f ca="1">F42*G42/1000</f>
        <v>0</v>
      </c>
      <c r="I42" s="264">
        <f ca="1">Culture!K51</f>
        <v>12.873537636890205</v>
      </c>
      <c r="J42" s="309">
        <f ca="1">J34*(1+Indexation!$C$9)</f>
        <v>56.132396779231364</v>
      </c>
      <c r="K42" s="311">
        <f>I42*J42/1000</f>
        <v>0.72262252258628945</v>
      </c>
      <c r="L42" s="312">
        <f>E42+H42+K42</f>
        <v>2.9918126897525328</v>
      </c>
    </row>
    <row r="43" spans="1:29" ht="13.5" thickBot="1">
      <c r="A43" s="269" t="s">
        <v>17</v>
      </c>
      <c r="B43" s="269"/>
      <c r="C43" s="279">
        <f ca="1">Sport!E52</f>
        <v>2786.0020199991113</v>
      </c>
      <c r="D43" s="281">
        <f ca="1">D35*(1+Indexation!$C$9)</f>
        <v>1.2154816010559855</v>
      </c>
      <c r="E43" s="314">
        <f ca="1">C43*D43/1000</f>
        <v>3.3863341958137294</v>
      </c>
      <c r="F43" s="316">
        <f ca="1">Sport!H52</f>
        <v>0</v>
      </c>
      <c r="G43" s="281">
        <f ca="1">G35*(1+Indexation!$C$9)</f>
        <v>2.1788346617459857</v>
      </c>
      <c r="H43" s="314">
        <f ca="1">F43*G43/1000</f>
        <v>0</v>
      </c>
      <c r="I43" s="316">
        <f ca="1">Culture!K52</f>
        <v>20.058971751353283</v>
      </c>
      <c r="J43" s="281">
        <f ca="1">J35*(1+Indexation!$C$9)</f>
        <v>56.132396779231364</v>
      </c>
      <c r="K43" s="314">
        <f>I43*J43/1000</f>
        <v>1.125958161330356</v>
      </c>
      <c r="L43" s="315">
        <f>E43+H43+K43</f>
        <v>4.5122923571440854</v>
      </c>
    </row>
    <row r="44" spans="1:29">
      <c r="A44" s="10"/>
    </row>
    <row r="45" spans="1:29" ht="16.5" thickBot="1">
      <c r="A45" s="20" t="s">
        <v>212</v>
      </c>
      <c r="B45" s="1"/>
    </row>
    <row r="46" spans="1:29" ht="13.5" thickBot="1">
      <c r="A46" s="13"/>
      <c r="B46" s="13"/>
      <c r="C46" s="359" t="s">
        <v>268</v>
      </c>
      <c r="D46" s="360"/>
      <c r="E46" s="360"/>
      <c r="F46" s="360"/>
      <c r="G46" s="360"/>
      <c r="H46" s="361"/>
      <c r="I46" s="359" t="s">
        <v>262</v>
      </c>
      <c r="J46" s="360"/>
      <c r="K46" s="360"/>
      <c r="L46" s="360"/>
      <c r="M46" s="360"/>
      <c r="N46" s="361"/>
      <c r="P46" s="218"/>
      <c r="Q46" s="218"/>
      <c r="R46" s="218"/>
      <c r="S46" s="218"/>
      <c r="T46" s="218"/>
      <c r="U46" s="38" t="s">
        <v>270</v>
      </c>
    </row>
    <row r="47" spans="1:29" ht="67.5" customHeight="1">
      <c r="A47" s="352" t="s">
        <v>0</v>
      </c>
      <c r="B47" s="3"/>
      <c r="C47" s="4" t="s">
        <v>269</v>
      </c>
      <c r="D47" s="4" t="s">
        <v>113</v>
      </c>
      <c r="E47" s="118" t="s">
        <v>115</v>
      </c>
      <c r="F47" s="19" t="s">
        <v>138</v>
      </c>
      <c r="G47" s="4" t="s">
        <v>113</v>
      </c>
      <c r="H47" s="118" t="s">
        <v>115</v>
      </c>
      <c r="I47" s="4" t="s">
        <v>269</v>
      </c>
      <c r="J47" s="4" t="s">
        <v>113</v>
      </c>
      <c r="K47" s="118" t="s">
        <v>115</v>
      </c>
      <c r="L47" s="4" t="s">
        <v>263</v>
      </c>
      <c r="M47" s="4" t="s">
        <v>113</v>
      </c>
      <c r="N47" s="118" t="s">
        <v>115</v>
      </c>
      <c r="O47" s="121" t="s">
        <v>171</v>
      </c>
      <c r="T47" s="218"/>
      <c r="U47" s="219" t="s">
        <v>141</v>
      </c>
      <c r="V47" s="4" t="s">
        <v>113</v>
      </c>
      <c r="W47" s="118" t="s">
        <v>115</v>
      </c>
      <c r="X47" s="121" t="s">
        <v>171</v>
      </c>
      <c r="Y47" s="4" t="s">
        <v>28</v>
      </c>
      <c r="Z47" s="4" t="s">
        <v>264</v>
      </c>
      <c r="AA47" s="4" t="s">
        <v>192</v>
      </c>
      <c r="AB47" s="4" t="s">
        <v>271</v>
      </c>
      <c r="AC47" s="220" t="s">
        <v>272</v>
      </c>
    </row>
    <row r="48" spans="1:29">
      <c r="A48" s="353"/>
      <c r="B48" s="301"/>
      <c r="C48" s="16" t="s">
        <v>23</v>
      </c>
      <c r="D48" s="16" t="s">
        <v>137</v>
      </c>
      <c r="E48" s="119" t="s">
        <v>1</v>
      </c>
      <c r="F48" s="6" t="s">
        <v>1</v>
      </c>
      <c r="G48" s="16" t="s">
        <v>140</v>
      </c>
      <c r="H48" s="119" t="s">
        <v>1</v>
      </c>
      <c r="I48" s="16" t="s">
        <v>23</v>
      </c>
      <c r="J48" s="16" t="s">
        <v>137</v>
      </c>
      <c r="K48" s="119" t="s">
        <v>1</v>
      </c>
      <c r="L48" s="16" t="s">
        <v>27</v>
      </c>
      <c r="M48" s="6" t="s">
        <v>266</v>
      </c>
      <c r="N48" s="119" t="s">
        <v>1</v>
      </c>
      <c r="O48" s="122" t="s">
        <v>1</v>
      </c>
      <c r="T48" s="218"/>
      <c r="U48" s="221" t="s">
        <v>1</v>
      </c>
      <c r="V48" s="16" t="s">
        <v>140</v>
      </c>
      <c r="W48" s="119" t="s">
        <v>1</v>
      </c>
      <c r="X48" s="122" t="s">
        <v>1</v>
      </c>
      <c r="Y48" s="6" t="s">
        <v>1</v>
      </c>
      <c r="Z48" s="6" t="s">
        <v>1</v>
      </c>
      <c r="AA48" s="6"/>
      <c r="AB48" s="6"/>
      <c r="AC48" s="222"/>
    </row>
    <row r="49" spans="1:29">
      <c r="A49" s="249" t="s">
        <v>4</v>
      </c>
      <c r="B49" s="249"/>
      <c r="C49" s="307">
        <f ca="1">Sport!E58</f>
        <v>1693.7426523875595</v>
      </c>
      <c r="D49" s="309">
        <f ca="1">D41*(1+Indexation!$C$10)</f>
        <v>1.2276364170665452</v>
      </c>
      <c r="E49" s="311">
        <f ca="1">C49*D49/1000</f>
        <v>2.0793001612098507</v>
      </c>
      <c r="F49" s="264">
        <f ca="1">Sport!H58</f>
        <v>0</v>
      </c>
      <c r="G49" s="309">
        <f ca="1">G41*(1+Indexation!$C$10)</f>
        <v>2.2006230083634457</v>
      </c>
      <c r="H49" s="311">
        <f>F49*G49/1000</f>
        <v>0</v>
      </c>
      <c r="I49" s="307">
        <f ca="1">Culture!E58</f>
        <v>1715.1396394551746</v>
      </c>
      <c r="J49" s="309">
        <v>0.39064724827580477</v>
      </c>
      <c r="K49" s="311">
        <f ca="1">I49*J49/1000</f>
        <v>0.67001458056191987</v>
      </c>
      <c r="L49" s="307">
        <f ca="1">Culture!I58</f>
        <v>0</v>
      </c>
      <c r="M49" s="309">
        <v>16.580536717730702</v>
      </c>
      <c r="N49" s="311">
        <f>L49*M49</f>
        <v>0</v>
      </c>
      <c r="O49" s="312">
        <f>E49+H49+K49+N49</f>
        <v>2.7493147417717707</v>
      </c>
      <c r="T49" s="218"/>
      <c r="U49" s="223">
        <f ca="1">Culture!T58</f>
        <v>11.818144438810577</v>
      </c>
      <c r="V49" s="252">
        <f ca="1">J41*(1+Indexation!$C$10)</f>
        <v>56.693720747023676</v>
      </c>
      <c r="W49" s="253">
        <f>U49*V49/1000</f>
        <v>0.67001458056191765</v>
      </c>
      <c r="X49" s="255">
        <f>E49+H49+W49</f>
        <v>2.7493147417717685</v>
      </c>
      <c r="Y49" s="254">
        <v>2571.9121230256328</v>
      </c>
      <c r="Z49" s="254">
        <v>2864.3702030256327</v>
      </c>
      <c r="AA49" s="254">
        <f>Z49-Y49</f>
        <v>292.45807999999988</v>
      </c>
      <c r="AB49" s="254">
        <v>56.693720747023676</v>
      </c>
      <c r="AC49" s="224">
        <f>AA49*AB49/1000</f>
        <v>16.580536717730702</v>
      </c>
    </row>
    <row r="50" spans="1:29">
      <c r="A50" s="249" t="s">
        <v>15</v>
      </c>
      <c r="B50" s="249"/>
      <c r="C50" s="307">
        <f ca="1">Sport!E59</f>
        <v>2258.5589114735108</v>
      </c>
      <c r="D50" s="309">
        <f ca="1">D42*(1+Indexation!$C$10)</f>
        <v>1.2276364170665452</v>
      </c>
      <c r="E50" s="311">
        <f ca="1">C50*D50/1000</f>
        <v>2.7726891698150569</v>
      </c>
      <c r="F50" s="264">
        <f ca="1">Sport!H59</f>
        <v>0</v>
      </c>
      <c r="G50" s="309">
        <f ca="1">G42*(1+Indexation!$C$10)</f>
        <v>2.2006230083634457</v>
      </c>
      <c r="H50" s="311">
        <f>F50*G50/1000</f>
        <v>0</v>
      </c>
      <c r="I50" s="307">
        <f ca="1">Culture!E59</f>
        <v>2255.1301599820595</v>
      </c>
      <c r="J50" s="309">
        <v>0.39064724827580477</v>
      </c>
      <c r="K50" s="311">
        <f ca="1">I50*J50/1000</f>
        <v>0.88096039150076699</v>
      </c>
      <c r="L50" s="307">
        <f ca="1">Culture!I59</f>
        <v>0</v>
      </c>
      <c r="M50" s="309">
        <v>16.580536717730702</v>
      </c>
      <c r="N50" s="311">
        <f>L50*M50</f>
        <v>0</v>
      </c>
      <c r="O50" s="312">
        <f>E50+H50+K50+N50</f>
        <v>3.6536495613158237</v>
      </c>
      <c r="T50" s="218"/>
      <c r="U50" s="223">
        <f ca="1">Culture!T59</f>
        <v>15.538941171840179</v>
      </c>
      <c r="V50" s="252">
        <f ca="1">J42*(1+Indexation!$C$10)</f>
        <v>56.693720747023676</v>
      </c>
      <c r="W50" s="253">
        <f>U50*V50/1000</f>
        <v>0.88096039150073591</v>
      </c>
      <c r="X50" s="255">
        <f>E50+H50+W50</f>
        <v>3.6536495613157927</v>
      </c>
      <c r="Y50" s="254">
        <v>1282.0544842176184</v>
      </c>
      <c r="Z50" s="254">
        <v>1574.5125642176185</v>
      </c>
      <c r="AA50" s="254">
        <f>Z50-Y50</f>
        <v>292.45808000000011</v>
      </c>
      <c r="AB50" s="254">
        <v>56.693720747023676</v>
      </c>
      <c r="AC50" s="224">
        <f>AA50*AB50/1000</f>
        <v>16.580536717730716</v>
      </c>
    </row>
    <row r="51" spans="1:29" ht="13.5" thickBot="1">
      <c r="A51" s="269" t="s">
        <v>17</v>
      </c>
      <c r="B51" s="269"/>
      <c r="C51" s="279">
        <f ca="1">Sport!E60</f>
        <v>2226.2900446391463</v>
      </c>
      <c r="D51" s="281">
        <f ca="1">D43*(1+Indexation!$C$10)</f>
        <v>1.2276364170665452</v>
      </c>
      <c r="E51" s="314">
        <f ca="1">C51*D51/1000</f>
        <v>2.7330747337517205</v>
      </c>
      <c r="F51" s="316">
        <f ca="1">Sport!H60</f>
        <v>0</v>
      </c>
      <c r="G51" s="281">
        <f ca="1">G43*(1+Indexation!$C$10)</f>
        <v>2.2006230083634457</v>
      </c>
      <c r="H51" s="314">
        <f>F51*G51/1000</f>
        <v>0</v>
      </c>
      <c r="I51" s="279">
        <f ca="1">Culture!E60</f>
        <v>2323.208162270002</v>
      </c>
      <c r="J51" s="281">
        <v>0.39064724827580477</v>
      </c>
      <c r="K51" s="314">
        <f ca="1">I51*J51/1000</f>
        <v>0.90755487576266558</v>
      </c>
      <c r="L51" s="279">
        <f ca="1">Culture!I60</f>
        <v>0</v>
      </c>
      <c r="M51" s="281">
        <v>16.580536717730702</v>
      </c>
      <c r="N51" s="314">
        <f>L51*M51</f>
        <v>0</v>
      </c>
      <c r="O51" s="315">
        <f>E51+H51+K51+N51</f>
        <v>3.6406296095143862</v>
      </c>
      <c r="T51" s="218"/>
      <c r="U51" s="317">
        <f ca="1">Culture!T60</f>
        <v>16.00803164449735</v>
      </c>
      <c r="V51" s="274">
        <f ca="1">J43*(1+Indexation!$C$10)</f>
        <v>56.693720747023676</v>
      </c>
      <c r="W51" s="275">
        <f>U51*V51/1000</f>
        <v>0.90755487576265104</v>
      </c>
      <c r="X51" s="277">
        <f>E51+H51+W51</f>
        <v>3.6406296095143715</v>
      </c>
      <c r="Y51" s="318">
        <v>1196.8539059825341</v>
      </c>
      <c r="Z51" s="318">
        <v>1489.311985982534</v>
      </c>
      <c r="AA51" s="318">
        <f>Z51-Y51</f>
        <v>292.45807999999988</v>
      </c>
      <c r="AB51" s="318">
        <v>56.693720747023676</v>
      </c>
      <c r="AC51" s="319">
        <f>AA51*AB51/1000</f>
        <v>16.580536717730702</v>
      </c>
    </row>
    <row r="52" spans="1:29">
      <c r="A52" s="10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</row>
  </sheetData>
  <mergeCells count="8">
    <mergeCell ref="A47:A48"/>
    <mergeCell ref="A23:A24"/>
    <mergeCell ref="A14:A15"/>
    <mergeCell ref="C46:H46"/>
    <mergeCell ref="I46:N46"/>
    <mergeCell ref="A6:A7"/>
    <mergeCell ref="A31:A32"/>
    <mergeCell ref="A39:A40"/>
  </mergeCells>
  <phoneticPr fontId="6" type="noConversion"/>
  <pageMargins left="0.74803149606299213" right="0.95" top="0.47244094488188981" bottom="0.47244094488188981" header="0.35433070866141736" footer="0.23622047244094491"/>
  <pageSetup orientation="portrait" r:id="rId1"/>
  <headerFooter alignWithMargins="0">
    <oddFooter>&amp;L&amp;Z&amp;F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/>
  </sheetPr>
  <dimension ref="A2:BO75"/>
  <sheetViews>
    <sheetView showWhiteSpace="0" zoomScale="85" zoomScaleNormal="85" workbookViewId="0">
      <selection activeCell="O7" sqref="O7"/>
    </sheetView>
  </sheetViews>
  <sheetFormatPr baseColWidth="10" defaultRowHeight="12.75"/>
  <cols>
    <col min="1" max="1" width="32.42578125" style="2" bestFit="1" customWidth="1"/>
    <col min="2" max="2" width="1.5703125" style="2" customWidth="1"/>
    <col min="3" max="19" width="11.5703125" style="2" customWidth="1"/>
    <col min="20" max="20" width="1.5703125" style="2" customWidth="1"/>
    <col min="21" max="37" width="11.5703125" style="2" customWidth="1"/>
    <col min="38" max="38" width="1.5703125" style="2" customWidth="1"/>
    <col min="39" max="55" width="11.5703125" style="2" customWidth="1"/>
    <col min="56" max="56" width="1.5703125" style="2" customWidth="1"/>
    <col min="57" max="67" width="11.5703125" style="2" customWidth="1"/>
    <col min="68" max="16384" width="11.42578125" style="2"/>
  </cols>
  <sheetData>
    <row r="2" spans="1:67" ht="15.75">
      <c r="A2" s="1" t="s">
        <v>44</v>
      </c>
      <c r="B2" s="1"/>
      <c r="C2" s="81"/>
      <c r="E2" s="1"/>
      <c r="F2" s="1"/>
      <c r="Q2" s="1"/>
      <c r="R2" s="5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7" ht="15.75">
      <c r="A3" s="1"/>
      <c r="B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7" ht="15.75">
      <c r="A4" s="20" t="s">
        <v>132</v>
      </c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7" ht="13.5" customHeight="1" thickBot="1">
      <c r="A5" s="35"/>
      <c r="B5" s="35"/>
      <c r="C5" s="35"/>
      <c r="D5" s="35"/>
      <c r="E5" s="35"/>
      <c r="F5" s="35"/>
      <c r="G5" s="35"/>
      <c r="H5" s="35"/>
      <c r="I5" s="35"/>
      <c r="J5" s="202"/>
      <c r="K5" s="35"/>
      <c r="L5" s="35"/>
      <c r="M5" s="1"/>
      <c r="N5" s="1"/>
      <c r="O5" s="1"/>
    </row>
    <row r="6" spans="1:67" ht="13.5" customHeight="1">
      <c r="A6" s="351" t="s">
        <v>0</v>
      </c>
      <c r="C6" s="364" t="s">
        <v>168</v>
      </c>
      <c r="D6" s="364" t="s">
        <v>173</v>
      </c>
      <c r="E6" s="364" t="s">
        <v>31</v>
      </c>
      <c r="F6" s="364" t="s">
        <v>32</v>
      </c>
      <c r="G6" s="364" t="s">
        <v>33</v>
      </c>
      <c r="H6" s="366" t="s">
        <v>226</v>
      </c>
      <c r="I6" s="364" t="s">
        <v>214</v>
      </c>
      <c r="J6" s="364" t="s">
        <v>215</v>
      </c>
      <c r="K6" s="364" t="s">
        <v>216</v>
      </c>
      <c r="L6" s="364" t="s">
        <v>300</v>
      </c>
      <c r="M6" s="1"/>
      <c r="N6" s="1"/>
      <c r="O6" s="1"/>
      <c r="P6" s="1"/>
      <c r="Q6" s="139"/>
      <c r="R6" s="139"/>
      <c r="S6" s="140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40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40"/>
      <c r="BE6" s="139"/>
      <c r="BF6" s="139"/>
      <c r="BG6" s="139"/>
      <c r="BH6" s="139"/>
      <c r="BI6" s="139"/>
      <c r="BJ6" s="139"/>
      <c r="BK6" s="139"/>
      <c r="BL6" s="140"/>
      <c r="BM6" s="140"/>
      <c r="BN6" s="140"/>
    </row>
    <row r="7" spans="1:67" ht="63.75" customHeight="1">
      <c r="A7" s="351"/>
      <c r="B7" s="34"/>
      <c r="C7" s="365"/>
      <c r="D7" s="365"/>
      <c r="E7" s="365"/>
      <c r="F7" s="365"/>
      <c r="G7" s="365"/>
      <c r="H7" s="367"/>
      <c r="I7" s="365"/>
      <c r="J7" s="365"/>
      <c r="K7" s="365"/>
      <c r="L7" s="365"/>
      <c r="M7" s="1"/>
      <c r="N7" s="1"/>
      <c r="O7" s="1"/>
      <c r="Q7" s="147"/>
      <c r="R7" s="147"/>
      <c r="S7" s="147"/>
      <c r="T7" s="45"/>
      <c r="U7" s="147"/>
      <c r="V7" s="147"/>
      <c r="W7" s="28"/>
      <c r="X7" s="147"/>
      <c r="Y7" s="147"/>
      <c r="Z7" s="28"/>
      <c r="AA7" s="28"/>
      <c r="AB7" s="28"/>
      <c r="AC7" s="28"/>
      <c r="AD7" s="28"/>
      <c r="AE7" s="28"/>
      <c r="AF7" s="28"/>
      <c r="AG7" s="28"/>
      <c r="AH7" s="28"/>
      <c r="AI7" s="147"/>
      <c r="AJ7" s="147"/>
      <c r="AK7" s="147"/>
      <c r="AL7" s="45"/>
      <c r="AM7" s="147"/>
      <c r="AN7" s="147"/>
      <c r="AO7" s="28"/>
      <c r="AP7" s="147"/>
      <c r="AQ7" s="147"/>
      <c r="AR7" s="28"/>
      <c r="AS7" s="28"/>
      <c r="AT7" s="28"/>
      <c r="AU7" s="28"/>
      <c r="AV7" s="28"/>
      <c r="AW7" s="28"/>
      <c r="AX7" s="28"/>
      <c r="AY7" s="28"/>
      <c r="AZ7" s="28"/>
      <c r="BA7" s="147"/>
      <c r="BB7" s="147"/>
      <c r="BC7" s="147"/>
      <c r="BD7" s="45"/>
      <c r="BE7" s="147"/>
      <c r="BF7" s="147"/>
      <c r="BG7" s="147"/>
      <c r="BH7" s="28"/>
      <c r="BI7" s="147"/>
      <c r="BJ7" s="147"/>
      <c r="BK7" s="147"/>
      <c r="BL7" s="28"/>
      <c r="BM7" s="28"/>
      <c r="BN7" s="28"/>
      <c r="BO7" s="45"/>
    </row>
    <row r="8" spans="1:67" ht="17.25" customHeight="1">
      <c r="A8" s="351"/>
      <c r="B8" s="34"/>
      <c r="C8" s="365"/>
      <c r="D8" s="365"/>
      <c r="E8" s="365"/>
      <c r="F8" s="365"/>
      <c r="G8" s="365"/>
      <c r="H8" s="367"/>
      <c r="I8" s="365"/>
      <c r="J8" s="365"/>
      <c r="K8" s="365"/>
      <c r="L8" s="365"/>
      <c r="M8" s="1"/>
      <c r="N8" s="1"/>
      <c r="O8" s="1"/>
      <c r="P8" s="1"/>
      <c r="Q8" s="28"/>
      <c r="R8" s="28"/>
      <c r="S8" s="147"/>
      <c r="T8" s="45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147"/>
      <c r="AL8" s="45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147"/>
      <c r="BD8" s="45"/>
      <c r="BE8" s="147"/>
      <c r="BF8" s="147"/>
      <c r="BG8" s="147"/>
      <c r="BH8" s="28"/>
      <c r="BI8" s="147"/>
      <c r="BJ8" s="147"/>
      <c r="BK8" s="28"/>
      <c r="BL8" s="28"/>
      <c r="BM8" s="28"/>
      <c r="BN8" s="28"/>
      <c r="BO8" s="45"/>
    </row>
    <row r="9" spans="1:67" ht="18" customHeight="1">
      <c r="A9" s="33"/>
      <c r="B9" s="5"/>
      <c r="C9" s="16" t="s">
        <v>23</v>
      </c>
      <c r="D9" s="16" t="s">
        <v>23</v>
      </c>
      <c r="E9" s="16" t="s">
        <v>23</v>
      </c>
      <c r="F9" s="16" t="s">
        <v>23</v>
      </c>
      <c r="G9" s="16" t="s">
        <v>23</v>
      </c>
      <c r="H9" s="294" t="s">
        <v>23</v>
      </c>
      <c r="I9" s="16" t="s">
        <v>23</v>
      </c>
      <c r="J9" s="16" t="s">
        <v>23</v>
      </c>
      <c r="K9" s="16" t="s">
        <v>23</v>
      </c>
      <c r="L9" s="16" t="s">
        <v>23</v>
      </c>
      <c r="M9" s="1"/>
      <c r="N9" s="1"/>
      <c r="O9" s="1"/>
      <c r="Q9" s="133"/>
      <c r="R9" s="133"/>
      <c r="S9" s="147"/>
      <c r="T9" s="46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33"/>
      <c r="AJ9" s="133"/>
      <c r="AK9" s="147"/>
      <c r="AL9" s="46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33"/>
      <c r="BB9" s="133"/>
      <c r="BC9" s="147"/>
      <c r="BD9" s="46"/>
      <c r="BE9" s="145"/>
      <c r="BF9" s="145"/>
      <c r="BG9" s="145"/>
      <c r="BH9" s="145"/>
      <c r="BI9" s="147"/>
      <c r="BJ9" s="147"/>
      <c r="BK9" s="133"/>
      <c r="BL9" s="133"/>
      <c r="BM9" s="133"/>
      <c r="BN9" s="133"/>
      <c r="BO9" s="46"/>
    </row>
    <row r="10" spans="1:67" ht="14.25" customHeight="1">
      <c r="A10" s="7" t="s">
        <v>4</v>
      </c>
      <c r="B10" s="7"/>
      <c r="C10" s="173">
        <v>171197</v>
      </c>
      <c r="D10" s="173">
        <v>173407.07151513698</v>
      </c>
      <c r="E10" s="14">
        <v>172961</v>
      </c>
      <c r="F10" s="14">
        <v>173310</v>
      </c>
      <c r="G10" s="14">
        <v>174543</v>
      </c>
      <c r="H10" s="14">
        <v>174083.01044570323</v>
      </c>
      <c r="I10" s="59">
        <v>172118</v>
      </c>
      <c r="J10" s="59">
        <v>175560</v>
      </c>
      <c r="K10" s="59">
        <v>176793</v>
      </c>
      <c r="L10" s="59">
        <v>170545</v>
      </c>
      <c r="M10" s="1"/>
      <c r="N10" s="1"/>
      <c r="O10" s="1"/>
      <c r="P10" s="1"/>
      <c r="Q10" s="40"/>
      <c r="R10" s="40"/>
      <c r="S10" s="30"/>
      <c r="T10" s="44"/>
      <c r="U10" s="14"/>
      <c r="V10" s="14"/>
      <c r="W10" s="42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40"/>
      <c r="AJ10" s="40"/>
      <c r="AK10" s="30"/>
      <c r="AL10" s="44"/>
      <c r="AM10" s="14"/>
      <c r="AN10" s="14"/>
      <c r="AO10" s="42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40"/>
      <c r="BB10" s="40"/>
      <c r="BC10" s="30"/>
      <c r="BD10" s="44"/>
      <c r="BE10" s="14"/>
      <c r="BF10" s="17"/>
      <c r="BG10" s="14"/>
      <c r="BH10" s="14"/>
      <c r="BI10" s="40"/>
      <c r="BJ10" s="40"/>
      <c r="BK10" s="30"/>
      <c r="BL10" s="30"/>
      <c r="BM10" s="30"/>
      <c r="BN10" s="30"/>
      <c r="BO10" s="44"/>
    </row>
    <row r="11" spans="1:67" ht="14.25" customHeight="1">
      <c r="A11" s="7" t="s">
        <v>15</v>
      </c>
      <c r="B11" s="7"/>
      <c r="C11" s="173">
        <v>100115</v>
      </c>
      <c r="D11" s="173">
        <v>101896.44497571931</v>
      </c>
      <c r="E11" s="14">
        <v>101530</v>
      </c>
      <c r="F11" s="14">
        <v>103129</v>
      </c>
      <c r="G11" s="14">
        <v>104402</v>
      </c>
      <c r="H11" s="14">
        <v>103856.30697897136</v>
      </c>
      <c r="I11" s="59">
        <v>102684</v>
      </c>
      <c r="J11" s="59">
        <v>105248</v>
      </c>
      <c r="K11" s="59">
        <v>106927</v>
      </c>
      <c r="L11" s="59">
        <v>103967</v>
      </c>
      <c r="M11" s="1"/>
      <c r="N11" s="1"/>
      <c r="O11" s="1"/>
      <c r="Q11" s="40"/>
      <c r="R11" s="40"/>
      <c r="S11" s="30"/>
      <c r="T11" s="44"/>
      <c r="U11" s="14"/>
      <c r="V11" s="14"/>
      <c r="W11" s="42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40"/>
      <c r="AJ11" s="40"/>
      <c r="AK11" s="30"/>
      <c r="AL11" s="44"/>
      <c r="AM11" s="14"/>
      <c r="AN11" s="14"/>
      <c r="AO11" s="42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40"/>
      <c r="BB11" s="40"/>
      <c r="BC11" s="30"/>
      <c r="BD11" s="44"/>
      <c r="BE11" s="14"/>
      <c r="BF11" s="17"/>
      <c r="BG11" s="14"/>
      <c r="BH11" s="14"/>
      <c r="BI11" s="40"/>
      <c r="BJ11" s="40"/>
      <c r="BK11" s="30"/>
      <c r="BL11" s="30"/>
      <c r="BM11" s="30"/>
      <c r="BN11" s="30"/>
      <c r="BO11" s="44"/>
    </row>
    <row r="12" spans="1:67" ht="14.25" customHeight="1">
      <c r="A12" s="8" t="s">
        <v>17</v>
      </c>
      <c r="B12" s="7"/>
      <c r="C12" s="174">
        <v>75530</v>
      </c>
      <c r="D12" s="174">
        <v>76676.067153093376</v>
      </c>
      <c r="E12" s="15">
        <v>78027</v>
      </c>
      <c r="F12" s="15">
        <v>79716</v>
      </c>
      <c r="G12" s="15">
        <v>80622</v>
      </c>
      <c r="H12" s="15">
        <v>82395.057146604158</v>
      </c>
      <c r="I12" s="66">
        <v>81465</v>
      </c>
      <c r="J12" s="66">
        <v>84299</v>
      </c>
      <c r="K12" s="66">
        <v>85818</v>
      </c>
      <c r="L12" s="66">
        <v>84629</v>
      </c>
      <c r="M12" s="1"/>
      <c r="N12" s="1"/>
      <c r="O12" s="1"/>
      <c r="P12" s="1"/>
      <c r="Q12" s="40"/>
      <c r="R12" s="40"/>
      <c r="S12" s="30"/>
      <c r="T12" s="44"/>
      <c r="U12" s="14"/>
      <c r="V12" s="14"/>
      <c r="W12" s="42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40"/>
      <c r="AJ12" s="40"/>
      <c r="AK12" s="30"/>
      <c r="AL12" s="44"/>
      <c r="AM12" s="14"/>
      <c r="AN12" s="14"/>
      <c r="AO12" s="42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40"/>
      <c r="BB12" s="40"/>
      <c r="BC12" s="30"/>
      <c r="BD12" s="44"/>
      <c r="BE12" s="14"/>
      <c r="BF12" s="17"/>
      <c r="BG12" s="14"/>
      <c r="BH12" s="14"/>
      <c r="BI12" s="40"/>
      <c r="BJ12" s="40"/>
      <c r="BK12" s="30"/>
      <c r="BL12" s="30"/>
      <c r="BM12" s="30"/>
      <c r="BN12" s="30"/>
      <c r="BO12" s="44"/>
    </row>
    <row r="13" spans="1:67" ht="18" customHeight="1" thickBot="1">
      <c r="A13" s="11" t="s">
        <v>21</v>
      </c>
      <c r="B13" s="12"/>
      <c r="C13" s="18">
        <v>1731245</v>
      </c>
      <c r="D13" s="18">
        <v>1758081.5702129365</v>
      </c>
      <c r="E13" s="18">
        <v>1753034</v>
      </c>
      <c r="F13" s="18">
        <v>1765616</v>
      </c>
      <c r="G13" s="18">
        <v>1777058</v>
      </c>
      <c r="H13" s="295">
        <v>1777429.2272448188</v>
      </c>
      <c r="I13" s="18">
        <v>1757366</v>
      </c>
      <c r="J13" s="18">
        <v>1801546</v>
      </c>
      <c r="K13" s="18">
        <v>1825208</v>
      </c>
      <c r="L13" s="18">
        <v>1784681</v>
      </c>
      <c r="M13" s="1"/>
      <c r="N13" s="1"/>
      <c r="O13" s="1"/>
      <c r="Q13" s="30"/>
      <c r="R13" s="30"/>
      <c r="S13" s="30"/>
      <c r="T13" s="137"/>
      <c r="U13" s="43"/>
      <c r="V13" s="43"/>
      <c r="W13" s="146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30"/>
      <c r="AJ13" s="30"/>
      <c r="AK13" s="30"/>
      <c r="AL13" s="137"/>
      <c r="AM13" s="43"/>
      <c r="AN13" s="43"/>
      <c r="AO13" s="146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30"/>
      <c r="BB13" s="30"/>
      <c r="BC13" s="30"/>
      <c r="BD13" s="137"/>
      <c r="BE13" s="43"/>
      <c r="BF13" s="146"/>
      <c r="BG13" s="43"/>
      <c r="BH13" s="43"/>
      <c r="BI13" s="30"/>
      <c r="BJ13" s="30"/>
      <c r="BK13" s="30"/>
      <c r="BL13" s="30"/>
      <c r="BM13" s="30"/>
      <c r="BN13" s="30"/>
      <c r="BO13" s="137"/>
    </row>
    <row r="14" spans="1:67" ht="13.7" customHeight="1" thickBot="1">
      <c r="A14" s="201" t="s">
        <v>217</v>
      </c>
      <c r="C14" s="22"/>
      <c r="D14" s="23"/>
      <c r="F14" s="142"/>
      <c r="M14" s="1"/>
      <c r="N14" s="1"/>
      <c r="O14" s="1"/>
      <c r="P14" s="1"/>
    </row>
    <row r="15" spans="1:67" ht="15" customHeight="1" thickBot="1">
      <c r="A15" s="135"/>
      <c r="H15" s="1"/>
      <c r="I15" s="1"/>
      <c r="J15" s="203">
        <v>1.000208899903559</v>
      </c>
    </row>
    <row r="16" spans="1:67" ht="15.75">
      <c r="A16" s="20" t="s">
        <v>162</v>
      </c>
      <c r="B16" s="1"/>
      <c r="C16" s="160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  <c r="BB16" s="163"/>
      <c r="BC16" s="163"/>
      <c r="BD16" s="163"/>
      <c r="BE16" s="163"/>
      <c r="BF16" s="163"/>
      <c r="BG16" s="163"/>
      <c r="BH16" s="163"/>
      <c r="BI16" s="163"/>
      <c r="BJ16" s="163"/>
      <c r="BK16" s="163"/>
      <c r="BL16" s="163"/>
      <c r="BM16" s="163"/>
      <c r="BN16" s="163"/>
    </row>
    <row r="17" spans="1:66" ht="13.5" thickBot="1">
      <c r="A17" s="172"/>
      <c r="B17" s="172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64"/>
      <c r="BB17" s="164"/>
      <c r="BC17" s="164"/>
      <c r="BD17" s="164"/>
      <c r="BE17" s="166"/>
      <c r="BF17" s="166"/>
      <c r="BG17" s="166"/>
      <c r="BH17" s="166"/>
      <c r="BI17" s="166"/>
      <c r="BJ17" s="166"/>
      <c r="BK17" s="166"/>
      <c r="BL17" s="166"/>
      <c r="BM17" s="166"/>
      <c r="BN17" s="166"/>
    </row>
    <row r="18" spans="1:66" ht="13.5" customHeight="1">
      <c r="A18" s="352" t="s">
        <v>0</v>
      </c>
      <c r="B18" s="36"/>
      <c r="C18" s="357" t="s">
        <v>45</v>
      </c>
      <c r="D18" s="357"/>
      <c r="E18" s="357"/>
      <c r="F18" s="357"/>
      <c r="G18" s="357"/>
      <c r="H18" s="357"/>
      <c r="I18" s="357"/>
      <c r="J18" s="357"/>
      <c r="K18" s="357"/>
      <c r="L18" s="357"/>
      <c r="M18" s="357"/>
      <c r="N18" s="357"/>
      <c r="O18" s="357"/>
      <c r="P18" s="357"/>
      <c r="Q18" s="357"/>
      <c r="R18" s="357"/>
      <c r="S18" s="49"/>
      <c r="T18" s="161"/>
      <c r="U18" s="357" t="s">
        <v>50</v>
      </c>
      <c r="V18" s="357"/>
      <c r="W18" s="357"/>
      <c r="X18" s="357"/>
      <c r="Y18" s="357"/>
      <c r="Z18" s="357"/>
      <c r="AA18" s="357"/>
      <c r="AB18" s="357"/>
      <c r="AC18" s="357"/>
      <c r="AD18" s="357"/>
      <c r="AE18" s="357"/>
      <c r="AF18" s="357"/>
      <c r="AG18" s="357"/>
      <c r="AH18" s="357"/>
      <c r="AI18" s="357"/>
      <c r="AJ18" s="357"/>
      <c r="AK18" s="49"/>
      <c r="AL18" s="161"/>
      <c r="AM18" s="357" t="s">
        <v>52</v>
      </c>
      <c r="AN18" s="357"/>
      <c r="AO18" s="357"/>
      <c r="AP18" s="357"/>
      <c r="AQ18" s="357"/>
      <c r="AR18" s="357"/>
      <c r="AS18" s="357"/>
      <c r="AT18" s="357"/>
      <c r="AU18" s="357"/>
      <c r="AV18" s="357"/>
      <c r="AW18" s="357"/>
      <c r="AX18" s="357"/>
      <c r="AY18" s="357"/>
      <c r="AZ18" s="357"/>
      <c r="BA18" s="357"/>
      <c r="BB18" s="357"/>
      <c r="BC18" s="49"/>
      <c r="BD18" s="161"/>
      <c r="BE18" s="356" t="s">
        <v>53</v>
      </c>
      <c r="BF18" s="356"/>
      <c r="BG18" s="356"/>
      <c r="BH18" s="356"/>
      <c r="BI18" s="356"/>
      <c r="BJ18" s="356"/>
      <c r="BK18" s="356"/>
      <c r="BL18" s="370" t="s">
        <v>21</v>
      </c>
      <c r="BM18" s="370"/>
      <c r="BN18" s="370"/>
    </row>
    <row r="19" spans="1:66" ht="63.75" customHeight="1">
      <c r="A19" s="358"/>
      <c r="B19" s="268"/>
      <c r="C19" s="362" t="s">
        <v>46</v>
      </c>
      <c r="D19" s="362"/>
      <c r="E19" s="296" t="s">
        <v>51</v>
      </c>
      <c r="F19" s="362" t="s">
        <v>49</v>
      </c>
      <c r="G19" s="362"/>
      <c r="H19" s="362" t="s">
        <v>145</v>
      </c>
      <c r="I19" s="362"/>
      <c r="J19" s="368" t="s">
        <v>146</v>
      </c>
      <c r="K19" s="368"/>
      <c r="L19" s="368"/>
      <c r="M19" s="296" t="s">
        <v>113</v>
      </c>
      <c r="N19" s="369" t="s">
        <v>147</v>
      </c>
      <c r="O19" s="369"/>
      <c r="P19" s="369"/>
      <c r="Q19" s="363" t="s">
        <v>142</v>
      </c>
      <c r="R19" s="363"/>
      <c r="S19" s="363"/>
      <c r="T19" s="297"/>
      <c r="U19" s="362" t="s">
        <v>46</v>
      </c>
      <c r="V19" s="362"/>
      <c r="W19" s="296" t="s">
        <v>51</v>
      </c>
      <c r="X19" s="362" t="s">
        <v>49</v>
      </c>
      <c r="Y19" s="362"/>
      <c r="Z19" s="362" t="s">
        <v>145</v>
      </c>
      <c r="AA19" s="362"/>
      <c r="AB19" s="368" t="s">
        <v>146</v>
      </c>
      <c r="AC19" s="368"/>
      <c r="AD19" s="368"/>
      <c r="AE19" s="296" t="s">
        <v>113</v>
      </c>
      <c r="AF19" s="369" t="s">
        <v>147</v>
      </c>
      <c r="AG19" s="369"/>
      <c r="AH19" s="369"/>
      <c r="AI19" s="363" t="s">
        <v>142</v>
      </c>
      <c r="AJ19" s="363"/>
      <c r="AK19" s="363"/>
      <c r="AL19" s="297"/>
      <c r="AM19" s="362" t="s">
        <v>46</v>
      </c>
      <c r="AN19" s="362"/>
      <c r="AO19" s="296" t="s">
        <v>51</v>
      </c>
      <c r="AP19" s="362" t="s">
        <v>49</v>
      </c>
      <c r="AQ19" s="362"/>
      <c r="AR19" s="362" t="s">
        <v>145</v>
      </c>
      <c r="AS19" s="362"/>
      <c r="AT19" s="368" t="s">
        <v>146</v>
      </c>
      <c r="AU19" s="368"/>
      <c r="AV19" s="368"/>
      <c r="AW19" s="296" t="s">
        <v>113</v>
      </c>
      <c r="AX19" s="369" t="s">
        <v>147</v>
      </c>
      <c r="AY19" s="369"/>
      <c r="AZ19" s="369"/>
      <c r="BA19" s="363" t="s">
        <v>142</v>
      </c>
      <c r="BB19" s="363"/>
      <c r="BC19" s="363"/>
      <c r="BD19" s="297"/>
      <c r="BE19" s="368" t="s">
        <v>174</v>
      </c>
      <c r="BF19" s="368" t="s">
        <v>24</v>
      </c>
      <c r="BG19" s="368" t="s">
        <v>143</v>
      </c>
      <c r="BH19" s="48" t="s">
        <v>113</v>
      </c>
      <c r="BI19" s="372" t="s">
        <v>142</v>
      </c>
      <c r="BJ19" s="372"/>
      <c r="BK19" s="372"/>
      <c r="BL19" s="371" t="s">
        <v>142</v>
      </c>
      <c r="BM19" s="371"/>
      <c r="BN19" s="371"/>
    </row>
    <row r="20" spans="1:66" ht="17.25" customHeight="1">
      <c r="A20" s="358"/>
      <c r="B20" s="268"/>
      <c r="C20" s="296" t="s">
        <v>47</v>
      </c>
      <c r="D20" s="296" t="s">
        <v>48</v>
      </c>
      <c r="E20" s="296">
        <v>1.75</v>
      </c>
      <c r="F20" s="296" t="s">
        <v>47</v>
      </c>
      <c r="G20" s="296" t="s">
        <v>48</v>
      </c>
      <c r="H20" s="296" t="s">
        <v>47</v>
      </c>
      <c r="I20" s="296" t="s">
        <v>48</v>
      </c>
      <c r="J20" s="296" t="s">
        <v>47</v>
      </c>
      <c r="K20" s="296" t="s">
        <v>48</v>
      </c>
      <c r="L20" s="296" t="s">
        <v>21</v>
      </c>
      <c r="M20" s="250"/>
      <c r="N20" s="298" t="s">
        <v>47</v>
      </c>
      <c r="O20" s="298" t="s">
        <v>48</v>
      </c>
      <c r="P20" s="298" t="s">
        <v>21</v>
      </c>
      <c r="Q20" s="299" t="s">
        <v>47</v>
      </c>
      <c r="R20" s="299" t="s">
        <v>48</v>
      </c>
      <c r="S20" s="299" t="s">
        <v>21</v>
      </c>
      <c r="T20" s="297"/>
      <c r="U20" s="296" t="s">
        <v>47</v>
      </c>
      <c r="V20" s="296" t="s">
        <v>48</v>
      </c>
      <c r="W20" s="296">
        <v>1.75</v>
      </c>
      <c r="X20" s="296" t="s">
        <v>47</v>
      </c>
      <c r="Y20" s="296" t="s">
        <v>48</v>
      </c>
      <c r="Z20" s="296" t="s">
        <v>47</v>
      </c>
      <c r="AA20" s="296" t="s">
        <v>48</v>
      </c>
      <c r="AB20" s="296" t="s">
        <v>47</v>
      </c>
      <c r="AC20" s="296" t="s">
        <v>48</v>
      </c>
      <c r="AD20" s="296" t="s">
        <v>21</v>
      </c>
      <c r="AE20" s="250"/>
      <c r="AF20" s="298" t="s">
        <v>47</v>
      </c>
      <c r="AG20" s="298" t="s">
        <v>48</v>
      </c>
      <c r="AH20" s="298" t="s">
        <v>21</v>
      </c>
      <c r="AI20" s="299" t="s">
        <v>47</v>
      </c>
      <c r="AJ20" s="299" t="s">
        <v>48</v>
      </c>
      <c r="AK20" s="299" t="s">
        <v>21</v>
      </c>
      <c r="AL20" s="297"/>
      <c r="AM20" s="296" t="s">
        <v>47</v>
      </c>
      <c r="AN20" s="296" t="s">
        <v>48</v>
      </c>
      <c r="AO20" s="296">
        <v>1.75</v>
      </c>
      <c r="AP20" s="296" t="s">
        <v>47</v>
      </c>
      <c r="AQ20" s="296" t="s">
        <v>48</v>
      </c>
      <c r="AR20" s="296" t="s">
        <v>47</v>
      </c>
      <c r="AS20" s="296" t="s">
        <v>48</v>
      </c>
      <c r="AT20" s="296" t="s">
        <v>47</v>
      </c>
      <c r="AU20" s="296" t="s">
        <v>48</v>
      </c>
      <c r="AV20" s="296" t="s">
        <v>21</v>
      </c>
      <c r="AW20" s="296"/>
      <c r="AX20" s="298" t="s">
        <v>47</v>
      </c>
      <c r="AY20" s="298" t="s">
        <v>48</v>
      </c>
      <c r="AZ20" s="298" t="s">
        <v>21</v>
      </c>
      <c r="BA20" s="299" t="s">
        <v>47</v>
      </c>
      <c r="BB20" s="299" t="s">
        <v>48</v>
      </c>
      <c r="BC20" s="299" t="s">
        <v>21</v>
      </c>
      <c r="BD20" s="297"/>
      <c r="BE20" s="362"/>
      <c r="BF20" s="362"/>
      <c r="BG20" s="362"/>
      <c r="BH20" s="296"/>
      <c r="BI20" s="299" t="s">
        <v>47</v>
      </c>
      <c r="BJ20" s="299" t="s">
        <v>48</v>
      </c>
      <c r="BK20" s="299" t="s">
        <v>21</v>
      </c>
      <c r="BL20" s="300" t="s">
        <v>47</v>
      </c>
      <c r="BM20" s="300" t="s">
        <v>48</v>
      </c>
      <c r="BN20" s="300" t="s">
        <v>21</v>
      </c>
    </row>
    <row r="21" spans="1:66" ht="18" customHeight="1">
      <c r="A21" s="33"/>
      <c r="B21" s="301"/>
      <c r="C21" s="16" t="s">
        <v>43</v>
      </c>
      <c r="D21" s="16" t="s">
        <v>43</v>
      </c>
      <c r="E21" s="16"/>
      <c r="F21" s="16" t="s">
        <v>43</v>
      </c>
      <c r="G21" s="16" t="s">
        <v>43</v>
      </c>
      <c r="H21" s="16" t="s">
        <v>43</v>
      </c>
      <c r="I21" s="16" t="s">
        <v>43</v>
      </c>
      <c r="J21" s="16" t="s">
        <v>43</v>
      </c>
      <c r="K21" s="16" t="s">
        <v>43</v>
      </c>
      <c r="L21" s="16" t="s">
        <v>43</v>
      </c>
      <c r="M21" s="16" t="s">
        <v>117</v>
      </c>
      <c r="N21" s="131" t="s">
        <v>1</v>
      </c>
      <c r="O21" s="131" t="s">
        <v>1</v>
      </c>
      <c r="P21" s="131" t="s">
        <v>1</v>
      </c>
      <c r="Q21" s="119" t="s">
        <v>1</v>
      </c>
      <c r="R21" s="119" t="s">
        <v>1</v>
      </c>
      <c r="S21" s="119" t="s">
        <v>1</v>
      </c>
      <c r="T21" s="302"/>
      <c r="U21" s="16" t="s">
        <v>43</v>
      </c>
      <c r="V21" s="16" t="s">
        <v>43</v>
      </c>
      <c r="W21" s="16"/>
      <c r="X21" s="16" t="s">
        <v>43</v>
      </c>
      <c r="Y21" s="16" t="s">
        <v>43</v>
      </c>
      <c r="Z21" s="16" t="s">
        <v>43</v>
      </c>
      <c r="AA21" s="16" t="s">
        <v>43</v>
      </c>
      <c r="AB21" s="16" t="s">
        <v>43</v>
      </c>
      <c r="AC21" s="16" t="s">
        <v>43</v>
      </c>
      <c r="AD21" s="16" t="s">
        <v>43</v>
      </c>
      <c r="AE21" s="16" t="s">
        <v>117</v>
      </c>
      <c r="AF21" s="131" t="s">
        <v>1</v>
      </c>
      <c r="AG21" s="131" t="s">
        <v>1</v>
      </c>
      <c r="AH21" s="131" t="s">
        <v>1</v>
      </c>
      <c r="AI21" s="119" t="s">
        <v>1</v>
      </c>
      <c r="AJ21" s="119" t="s">
        <v>1</v>
      </c>
      <c r="AK21" s="119" t="s">
        <v>1</v>
      </c>
      <c r="AL21" s="302"/>
      <c r="AM21" s="16" t="s">
        <v>43</v>
      </c>
      <c r="AN21" s="16" t="s">
        <v>43</v>
      </c>
      <c r="AO21" s="16"/>
      <c r="AP21" s="16" t="s">
        <v>43</v>
      </c>
      <c r="AQ21" s="16" t="s">
        <v>43</v>
      </c>
      <c r="AR21" s="16" t="s">
        <v>43</v>
      </c>
      <c r="AS21" s="16" t="s">
        <v>43</v>
      </c>
      <c r="AT21" s="16" t="s">
        <v>43</v>
      </c>
      <c r="AU21" s="16" t="s">
        <v>43</v>
      </c>
      <c r="AV21" s="16" t="s">
        <v>43</v>
      </c>
      <c r="AW21" s="16" t="s">
        <v>117</v>
      </c>
      <c r="AX21" s="131" t="s">
        <v>1</v>
      </c>
      <c r="AY21" s="131" t="s">
        <v>1</v>
      </c>
      <c r="AZ21" s="131" t="s">
        <v>1</v>
      </c>
      <c r="BA21" s="119" t="s">
        <v>1</v>
      </c>
      <c r="BB21" s="119" t="s">
        <v>1</v>
      </c>
      <c r="BC21" s="119" t="s">
        <v>1</v>
      </c>
      <c r="BD21" s="302"/>
      <c r="BE21" s="16" t="s">
        <v>23</v>
      </c>
      <c r="BF21" s="16"/>
      <c r="BG21" s="16" t="s">
        <v>23</v>
      </c>
      <c r="BH21" s="16" t="s">
        <v>144</v>
      </c>
      <c r="BI21" s="119" t="s">
        <v>1</v>
      </c>
      <c r="BJ21" s="119" t="s">
        <v>1</v>
      </c>
      <c r="BK21" s="119" t="s">
        <v>1</v>
      </c>
      <c r="BL21" s="122" t="s">
        <v>1</v>
      </c>
      <c r="BM21" s="122" t="s">
        <v>1</v>
      </c>
      <c r="BN21" s="122" t="s">
        <v>1</v>
      </c>
    </row>
    <row r="22" spans="1:66" ht="14.25" customHeight="1">
      <c r="A22" s="249" t="s">
        <v>4</v>
      </c>
      <c r="B22" s="249"/>
      <c r="C22" s="250">
        <v>427604.73043700005</v>
      </c>
      <c r="D22" s="250">
        <v>0</v>
      </c>
      <c r="E22" s="47">
        <v>1</v>
      </c>
      <c r="F22" s="250">
        <f t="shared" ref="F22:G24" si="0">C22*(1-$E22)+C22*($E22*$E$30)</f>
        <v>748308.27826475003</v>
      </c>
      <c r="G22" s="250">
        <f t="shared" si="0"/>
        <v>0</v>
      </c>
      <c r="H22" s="250">
        <v>745010</v>
      </c>
      <c r="I22" s="250">
        <v>0</v>
      </c>
      <c r="J22" s="250">
        <f t="shared" ref="J22:K24" si="1">F22-H22</f>
        <v>3298.278264750028</v>
      </c>
      <c r="K22" s="250">
        <f t="shared" si="1"/>
        <v>0</v>
      </c>
      <c r="L22" s="250">
        <f>SUM(J22:K22)</f>
        <v>3298.278264750028</v>
      </c>
      <c r="M22" s="252">
        <v>1.6238140776649588</v>
      </c>
      <c r="N22" s="303">
        <f>F22*M22/1000</f>
        <v>1215.1135166795284</v>
      </c>
      <c r="O22" s="303">
        <f>I22*M22/1000</f>
        <v>0</v>
      </c>
      <c r="P22" s="303">
        <f>SUM(N22:O22)</f>
        <v>1215.1135166795284</v>
      </c>
      <c r="Q22" s="253">
        <f>J22*M22/1000</f>
        <v>5.3557906783574474</v>
      </c>
      <c r="R22" s="253">
        <f>K22*M22/1000</f>
        <v>0</v>
      </c>
      <c r="S22" s="253">
        <f>Q22+R22</f>
        <v>5.3557906783574474</v>
      </c>
      <c r="T22" s="304"/>
      <c r="U22" s="250">
        <v>1746850</v>
      </c>
      <c r="V22" s="250">
        <v>0</v>
      </c>
      <c r="W22" s="47">
        <v>1</v>
      </c>
      <c r="X22" s="250">
        <f t="shared" ref="X22:Y24" si="2">U22*(1-$W22)+U22*($W22*$W$30)</f>
        <v>3056987.5</v>
      </c>
      <c r="Y22" s="250">
        <f t="shared" si="2"/>
        <v>0</v>
      </c>
      <c r="Z22" s="250">
        <v>3056987.5</v>
      </c>
      <c r="AA22" s="250">
        <v>0</v>
      </c>
      <c r="AB22" s="250">
        <f t="shared" ref="AB22:AC24" si="3">X22-Z22</f>
        <v>0</v>
      </c>
      <c r="AC22" s="250">
        <f t="shared" si="3"/>
        <v>0</v>
      </c>
      <c r="AD22" s="250">
        <f>SUM(AB22:AC22)</f>
        <v>0</v>
      </c>
      <c r="AE22" s="252">
        <v>0.65629469018795406</v>
      </c>
      <c r="AF22" s="303">
        <f>X22*AE22/1000</f>
        <v>2006.2846642209483</v>
      </c>
      <c r="AG22" s="303">
        <f>AA22*AE22/1000</f>
        <v>0</v>
      </c>
      <c r="AH22" s="303">
        <f>SUM(AF22:AG22)</f>
        <v>2006.2846642209483</v>
      </c>
      <c r="AI22" s="253">
        <f>AB22*AE22/1000</f>
        <v>0</v>
      </c>
      <c r="AJ22" s="253">
        <f>AC22*AE22/1000</f>
        <v>0</v>
      </c>
      <c r="AK22" s="253">
        <f>AI22+AJ22</f>
        <v>0</v>
      </c>
      <c r="AL22" s="304"/>
      <c r="AM22" s="250">
        <v>179176.5</v>
      </c>
      <c r="AN22" s="250">
        <v>0</v>
      </c>
      <c r="AO22" s="47">
        <v>1</v>
      </c>
      <c r="AP22" s="250">
        <f t="shared" ref="AP22:AQ24" si="4">AM22*(1-$AO22)+AM22*($AO22*$AO$30)</f>
        <v>313558.875</v>
      </c>
      <c r="AQ22" s="250">
        <f t="shared" si="4"/>
        <v>0</v>
      </c>
      <c r="AR22" s="250">
        <v>304608.5</v>
      </c>
      <c r="AS22" s="250">
        <v>0</v>
      </c>
      <c r="AT22" s="250">
        <f t="shared" ref="AT22:AU24" si="5">AP22-AR22</f>
        <v>8950.375</v>
      </c>
      <c r="AU22" s="250">
        <f t="shared" si="5"/>
        <v>0</v>
      </c>
      <c r="AV22" s="250">
        <f>SUM(AT22:AU22)</f>
        <v>8950.375</v>
      </c>
      <c r="AW22" s="252">
        <v>3.9970215436616754</v>
      </c>
      <c r="AX22" s="303">
        <f>AP22*AW22/1000</f>
        <v>1253.3015785813182</v>
      </c>
      <c r="AY22" s="303">
        <f>AS22*AW22/1000</f>
        <v>0</v>
      </c>
      <c r="AZ22" s="303">
        <f>SUM(AX22:AY22)</f>
        <v>1253.3015785813182</v>
      </c>
      <c r="BA22" s="253">
        <f>AT22*AW22/1000</f>
        <v>35.774841698850871</v>
      </c>
      <c r="BB22" s="253">
        <f>AU22*AW22/1000</f>
        <v>0</v>
      </c>
      <c r="BC22" s="253">
        <f>BA22+BB22</f>
        <v>35.774841698850871</v>
      </c>
      <c r="BD22" s="304"/>
      <c r="BE22" s="250">
        <f>D10-C10</f>
        <v>2210.0715151369805</v>
      </c>
      <c r="BF22" s="17">
        <v>1.0789844859821107</v>
      </c>
      <c r="BG22" s="250">
        <f>BE22*BF22</f>
        <v>2384.6328777437793</v>
      </c>
      <c r="BH22" s="252">
        <v>21.446924372624949</v>
      </c>
      <c r="BI22" s="253">
        <v>51.143040985445708</v>
      </c>
      <c r="BJ22" s="253">
        <v>0</v>
      </c>
      <c r="BK22" s="253">
        <f>SUM(BI22:BJ22)</f>
        <v>51.143040985445708</v>
      </c>
      <c r="BL22" s="255">
        <f t="shared" ref="BL22:BM24" si="6">Q22+AI22+BA22+BI22</f>
        <v>92.273673362654023</v>
      </c>
      <c r="BM22" s="255">
        <f t="shared" si="6"/>
        <v>0</v>
      </c>
      <c r="BN22" s="255">
        <f>SUM(BL22:BM22)</f>
        <v>92.273673362654023</v>
      </c>
    </row>
    <row r="23" spans="1:66" ht="14.25" customHeight="1">
      <c r="A23" s="249" t="s">
        <v>15</v>
      </c>
      <c r="B23" s="249"/>
      <c r="C23" s="250">
        <v>782924.42220000003</v>
      </c>
      <c r="D23" s="250">
        <v>0</v>
      </c>
      <c r="E23" s="47">
        <v>1</v>
      </c>
      <c r="F23" s="250">
        <f t="shared" si="0"/>
        <v>1370117.7388500001</v>
      </c>
      <c r="G23" s="250">
        <f t="shared" si="0"/>
        <v>0</v>
      </c>
      <c r="H23" s="250">
        <v>1317811.25</v>
      </c>
      <c r="I23" s="250">
        <v>0</v>
      </c>
      <c r="J23" s="250">
        <f t="shared" si="1"/>
        <v>52306.488850000082</v>
      </c>
      <c r="K23" s="250">
        <f t="shared" si="1"/>
        <v>0</v>
      </c>
      <c r="L23" s="250">
        <f>SUM(J23:K23)</f>
        <v>52306.488850000082</v>
      </c>
      <c r="M23" s="252">
        <v>1.6238140776649588</v>
      </c>
      <c r="N23" s="303">
        <f>F23*M23/1000</f>
        <v>2224.8164724031117</v>
      </c>
      <c r="O23" s="303">
        <f>I23*M23/1000</f>
        <v>0</v>
      </c>
      <c r="P23" s="303">
        <f>SUM(N23:O23)</f>
        <v>2224.8164724031117</v>
      </c>
      <c r="Q23" s="253">
        <f>J23*M23/1000</f>
        <v>84.936012947855332</v>
      </c>
      <c r="R23" s="253">
        <f>K23*M23/1000</f>
        <v>0</v>
      </c>
      <c r="S23" s="253">
        <f>Q23+R23</f>
        <v>84.936012947855332</v>
      </c>
      <c r="T23" s="304"/>
      <c r="U23" s="250">
        <v>2174694.5161802578</v>
      </c>
      <c r="V23" s="250">
        <v>0</v>
      </c>
      <c r="W23" s="47">
        <v>1</v>
      </c>
      <c r="X23" s="250">
        <f t="shared" si="2"/>
        <v>3805715.403315451</v>
      </c>
      <c r="Y23" s="250">
        <f t="shared" si="2"/>
        <v>0</v>
      </c>
      <c r="Z23" s="250">
        <v>3805715.403315451</v>
      </c>
      <c r="AA23" s="250">
        <v>0</v>
      </c>
      <c r="AB23" s="250">
        <f t="shared" si="3"/>
        <v>0</v>
      </c>
      <c r="AC23" s="250">
        <f t="shared" si="3"/>
        <v>0</v>
      </c>
      <c r="AD23" s="250">
        <f>SUM(AB23:AC23)</f>
        <v>0</v>
      </c>
      <c r="AE23" s="252">
        <v>0.65629469018795406</v>
      </c>
      <c r="AF23" s="303">
        <f>X23*AE23/1000</f>
        <v>2497.6708115624383</v>
      </c>
      <c r="AG23" s="303">
        <f>AA23*AE23/1000</f>
        <v>0</v>
      </c>
      <c r="AH23" s="303">
        <f>SUM(AF23:AG23)</f>
        <v>2497.6708115624383</v>
      </c>
      <c r="AI23" s="253">
        <f>AB23*AE23/1000</f>
        <v>0</v>
      </c>
      <c r="AJ23" s="253">
        <f>AC23*AE23/1000</f>
        <v>0</v>
      </c>
      <c r="AK23" s="253">
        <f>AI23+AJ23</f>
        <v>0</v>
      </c>
      <c r="AL23" s="304"/>
      <c r="AM23" s="250">
        <v>193017.5</v>
      </c>
      <c r="AN23" s="250">
        <v>0</v>
      </c>
      <c r="AO23" s="47">
        <v>1</v>
      </c>
      <c r="AP23" s="250">
        <f t="shared" si="4"/>
        <v>337780.625</v>
      </c>
      <c r="AQ23" s="250">
        <f t="shared" si="4"/>
        <v>0</v>
      </c>
      <c r="AR23" s="250">
        <v>344727.25</v>
      </c>
      <c r="AS23" s="250">
        <v>0</v>
      </c>
      <c r="AT23" s="250">
        <f t="shared" si="5"/>
        <v>-6946.625</v>
      </c>
      <c r="AU23" s="250">
        <f t="shared" si="5"/>
        <v>0</v>
      </c>
      <c r="AV23" s="250">
        <f>SUM(AT23:AU23)</f>
        <v>-6946.625</v>
      </c>
      <c r="AW23" s="252">
        <v>3.9970215436616754</v>
      </c>
      <c r="AX23" s="303">
        <f>AP23*AW23/1000</f>
        <v>1350.1164351565055</v>
      </c>
      <c r="AY23" s="303">
        <f>AS23*AW23/1000</f>
        <v>0</v>
      </c>
      <c r="AZ23" s="303">
        <f>SUM(AX23:AY23)</f>
        <v>1350.1164351565055</v>
      </c>
      <c r="BA23" s="253">
        <f>AT23*AW23/1000</f>
        <v>-27.765809780738785</v>
      </c>
      <c r="BB23" s="253">
        <f>AU23*AW23/1000</f>
        <v>0</v>
      </c>
      <c r="BC23" s="253">
        <f>BA23+BB23</f>
        <v>-27.765809780738785</v>
      </c>
      <c r="BD23" s="304"/>
      <c r="BE23" s="250">
        <f>D11-C11</f>
        <v>1781.444975719307</v>
      </c>
      <c r="BF23" s="17">
        <v>1.0554522962647099</v>
      </c>
      <c r="BG23" s="250">
        <f>BE23*BF23</f>
        <v>1880.2301902921729</v>
      </c>
      <c r="BH23" s="252">
        <v>21.446924372624949</v>
      </c>
      <c r="BI23" s="253">
        <v>40.325154694322507</v>
      </c>
      <c r="BJ23" s="253">
        <v>0</v>
      </c>
      <c r="BK23" s="253">
        <f>SUM(BI23:BJ23)</f>
        <v>40.325154694322507</v>
      </c>
      <c r="BL23" s="255">
        <f t="shared" si="6"/>
        <v>97.495357861439061</v>
      </c>
      <c r="BM23" s="255">
        <f t="shared" si="6"/>
        <v>0</v>
      </c>
      <c r="BN23" s="255">
        <f>SUM(BL23:BM23)</f>
        <v>97.495357861439061</v>
      </c>
    </row>
    <row r="24" spans="1:66" ht="14.25" customHeight="1" thickBot="1">
      <c r="A24" s="269" t="s">
        <v>17</v>
      </c>
      <c r="B24" s="269"/>
      <c r="C24" s="271">
        <v>493213.64448899997</v>
      </c>
      <c r="D24" s="271">
        <v>333492.99</v>
      </c>
      <c r="E24" s="273">
        <v>0.22</v>
      </c>
      <c r="F24" s="271">
        <f t="shared" si="0"/>
        <v>574593.89582968503</v>
      </c>
      <c r="G24" s="271">
        <f t="shared" si="0"/>
        <v>388519.33335000003</v>
      </c>
      <c r="H24" s="271">
        <v>547088.66</v>
      </c>
      <c r="I24" s="271">
        <v>409390.32</v>
      </c>
      <c r="J24" s="271">
        <f t="shared" si="1"/>
        <v>27505.235829685</v>
      </c>
      <c r="K24" s="271">
        <f t="shared" si="1"/>
        <v>-20870.986649999977</v>
      </c>
      <c r="L24" s="271">
        <f>SUM(J24:K24)</f>
        <v>6634.2491796850227</v>
      </c>
      <c r="M24" s="274">
        <v>1.6238140776649588</v>
      </c>
      <c r="N24" s="305">
        <f>F24*M24/1000</f>
        <v>933.03365698859534</v>
      </c>
      <c r="O24" s="305">
        <f>I24*M24/1000</f>
        <v>664.77376487576225</v>
      </c>
      <c r="P24" s="305">
        <f>SUM(N24:O24)</f>
        <v>1597.8074218643576</v>
      </c>
      <c r="Q24" s="275">
        <f>J24*M24/1000</f>
        <v>44.663389149737121</v>
      </c>
      <c r="R24" s="275">
        <f>K24*M24/1000</f>
        <v>-33.890601937027377</v>
      </c>
      <c r="S24" s="275">
        <f>Q24+R24</f>
        <v>10.772787212709744</v>
      </c>
      <c r="T24" s="282"/>
      <c r="U24" s="271">
        <v>913047</v>
      </c>
      <c r="V24" s="271">
        <v>170365</v>
      </c>
      <c r="W24" s="273">
        <v>0.9</v>
      </c>
      <c r="X24" s="271">
        <f t="shared" si="2"/>
        <v>1529353.7249999999</v>
      </c>
      <c r="Y24" s="271">
        <f t="shared" si="2"/>
        <v>285361.375</v>
      </c>
      <c r="Z24" s="271">
        <v>1529353.7249999999</v>
      </c>
      <c r="AA24" s="271">
        <v>285361.375</v>
      </c>
      <c r="AB24" s="271">
        <f t="shared" si="3"/>
        <v>0</v>
      </c>
      <c r="AC24" s="271">
        <f t="shared" si="3"/>
        <v>0</v>
      </c>
      <c r="AD24" s="271">
        <f>SUM(AB24:AC24)</f>
        <v>0</v>
      </c>
      <c r="AE24" s="274">
        <v>0.65629469018795406</v>
      </c>
      <c r="AF24" s="305">
        <f>X24*AE24/1000</f>
        <v>1003.7067291366684</v>
      </c>
      <c r="AG24" s="305">
        <f>AA24*AE24/1000</f>
        <v>187.28115519723357</v>
      </c>
      <c r="AH24" s="305">
        <f>SUM(AF24:AG24)</f>
        <v>1190.987884333902</v>
      </c>
      <c r="AI24" s="275">
        <f>AB24*AE24/1000</f>
        <v>0</v>
      </c>
      <c r="AJ24" s="275">
        <f>AC24*AE24/1000</f>
        <v>0</v>
      </c>
      <c r="AK24" s="275">
        <f>AI24+AJ24</f>
        <v>0</v>
      </c>
      <c r="AL24" s="282"/>
      <c r="AM24" s="271">
        <v>132102</v>
      </c>
      <c r="AN24" s="271">
        <v>5574.46</v>
      </c>
      <c r="AO24" s="273">
        <v>1</v>
      </c>
      <c r="AP24" s="271">
        <f t="shared" si="4"/>
        <v>231178.5</v>
      </c>
      <c r="AQ24" s="271">
        <f t="shared" si="4"/>
        <v>9755.3050000000003</v>
      </c>
      <c r="AR24" s="271">
        <v>231178.5</v>
      </c>
      <c r="AS24" s="271">
        <v>9446.5</v>
      </c>
      <c r="AT24" s="271">
        <f t="shared" si="5"/>
        <v>0</v>
      </c>
      <c r="AU24" s="271">
        <f t="shared" si="5"/>
        <v>308.80500000000029</v>
      </c>
      <c r="AV24" s="271">
        <f>SUM(AT24:AU24)</f>
        <v>308.80500000000029</v>
      </c>
      <c r="AW24" s="274">
        <v>3.9970215436616754</v>
      </c>
      <c r="AX24" s="305">
        <f>AP24*AW24/1000</f>
        <v>924.02544493139055</v>
      </c>
      <c r="AY24" s="305">
        <f>AS24*AW24/1000</f>
        <v>37.757864012200017</v>
      </c>
      <c r="AZ24" s="305">
        <f>SUM(AX24:AY24)</f>
        <v>961.78330894359055</v>
      </c>
      <c r="BA24" s="275">
        <f>AT24*AW24/1000</f>
        <v>0</v>
      </c>
      <c r="BB24" s="275">
        <f>AU24*AW24/1000</f>
        <v>1.2343002377904446</v>
      </c>
      <c r="BC24" s="275">
        <f>BA24+BB24</f>
        <v>1.2343002377904446</v>
      </c>
      <c r="BD24" s="282"/>
      <c r="BE24" s="271">
        <f>D12-C12</f>
        <v>1146.067153093376</v>
      </c>
      <c r="BF24" s="272">
        <v>0.98361975215267461</v>
      </c>
      <c r="BG24" s="271">
        <f>BE24*BF24</f>
        <v>1127.2942890760278</v>
      </c>
      <c r="BH24" s="274">
        <v>21.446924372624949</v>
      </c>
      <c r="BI24" s="275">
        <v>18.603057407482243</v>
      </c>
      <c r="BJ24" s="275">
        <v>5.5739379560234106</v>
      </c>
      <c r="BK24" s="275">
        <f>SUM(BI24:BJ24)</f>
        <v>24.176995363505654</v>
      </c>
      <c r="BL24" s="277">
        <f t="shared" si="6"/>
        <v>63.266446557219368</v>
      </c>
      <c r="BM24" s="277">
        <f t="shared" si="6"/>
        <v>-27.082363743213524</v>
      </c>
      <c r="BN24" s="277">
        <f>SUM(BL24:BM24)</f>
        <v>36.184082814005848</v>
      </c>
    </row>
    <row r="25" spans="1:66" ht="7.5" customHeight="1">
      <c r="A25" s="135"/>
    </row>
    <row r="26" spans="1:66" ht="15.75">
      <c r="A26" s="20" t="s">
        <v>29</v>
      </c>
      <c r="B26" s="1"/>
      <c r="C26" s="64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ht="13.5" thickBot="1">
      <c r="A27" s="172"/>
      <c r="B27" s="17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50"/>
      <c r="BF27" s="50"/>
      <c r="BG27" s="50"/>
      <c r="BH27" s="50"/>
      <c r="BI27" s="50"/>
      <c r="BJ27" s="50"/>
      <c r="BK27" s="50"/>
      <c r="BL27" s="50"/>
      <c r="BM27" s="50"/>
      <c r="BN27" s="50"/>
    </row>
    <row r="28" spans="1:66" ht="13.5" customHeight="1">
      <c r="A28" s="352" t="s">
        <v>0</v>
      </c>
      <c r="B28" s="36"/>
      <c r="C28" s="357" t="s">
        <v>45</v>
      </c>
      <c r="D28" s="357"/>
      <c r="E28" s="357"/>
      <c r="F28" s="357"/>
      <c r="G28" s="357"/>
      <c r="H28" s="357"/>
      <c r="I28" s="357"/>
      <c r="J28" s="357"/>
      <c r="K28" s="357"/>
      <c r="L28" s="357"/>
      <c r="M28" s="357"/>
      <c r="N28" s="357"/>
      <c r="O28" s="357"/>
      <c r="P28" s="357"/>
      <c r="Q28" s="357"/>
      <c r="R28" s="357"/>
      <c r="S28" s="49"/>
      <c r="T28" s="36"/>
      <c r="U28" s="357" t="s">
        <v>50</v>
      </c>
      <c r="V28" s="357"/>
      <c r="W28" s="357"/>
      <c r="X28" s="357"/>
      <c r="Y28" s="357"/>
      <c r="Z28" s="357"/>
      <c r="AA28" s="357"/>
      <c r="AB28" s="357"/>
      <c r="AC28" s="357"/>
      <c r="AD28" s="357"/>
      <c r="AE28" s="357"/>
      <c r="AF28" s="357"/>
      <c r="AG28" s="357"/>
      <c r="AH28" s="357"/>
      <c r="AI28" s="357"/>
      <c r="AJ28" s="357"/>
      <c r="AK28" s="49"/>
      <c r="AL28" s="36"/>
      <c r="AM28" s="357" t="s">
        <v>52</v>
      </c>
      <c r="AN28" s="357"/>
      <c r="AO28" s="357"/>
      <c r="AP28" s="357"/>
      <c r="AQ28" s="357"/>
      <c r="AR28" s="357"/>
      <c r="AS28" s="357"/>
      <c r="AT28" s="357"/>
      <c r="AU28" s="357"/>
      <c r="AV28" s="357"/>
      <c r="AW28" s="357"/>
      <c r="AX28" s="357"/>
      <c r="AY28" s="357"/>
      <c r="AZ28" s="357"/>
      <c r="BA28" s="357"/>
      <c r="BB28" s="357"/>
      <c r="BC28" s="49"/>
      <c r="BD28" s="36"/>
      <c r="BE28" s="356" t="s">
        <v>53</v>
      </c>
      <c r="BF28" s="356"/>
      <c r="BG28" s="356"/>
      <c r="BH28" s="356"/>
      <c r="BI28" s="356"/>
      <c r="BJ28" s="356"/>
      <c r="BK28" s="356"/>
      <c r="BL28" s="370" t="s">
        <v>21</v>
      </c>
      <c r="BM28" s="370"/>
      <c r="BN28" s="370"/>
    </row>
    <row r="29" spans="1:66" ht="63.75" customHeight="1">
      <c r="A29" s="358"/>
      <c r="B29" s="268"/>
      <c r="C29" s="362" t="s">
        <v>46</v>
      </c>
      <c r="D29" s="362"/>
      <c r="E29" s="296" t="s">
        <v>51</v>
      </c>
      <c r="F29" s="362" t="s">
        <v>49</v>
      </c>
      <c r="G29" s="362"/>
      <c r="H29" s="362" t="s">
        <v>145</v>
      </c>
      <c r="I29" s="362"/>
      <c r="J29" s="368" t="s">
        <v>146</v>
      </c>
      <c r="K29" s="368"/>
      <c r="L29" s="368"/>
      <c r="M29" s="296" t="s">
        <v>166</v>
      </c>
      <c r="N29" s="369" t="s">
        <v>147</v>
      </c>
      <c r="O29" s="369"/>
      <c r="P29" s="369"/>
      <c r="Q29" s="363" t="s">
        <v>142</v>
      </c>
      <c r="R29" s="363"/>
      <c r="S29" s="363"/>
      <c r="T29" s="306"/>
      <c r="U29" s="362" t="s">
        <v>46</v>
      </c>
      <c r="V29" s="362"/>
      <c r="W29" s="296" t="s">
        <v>51</v>
      </c>
      <c r="X29" s="362" t="s">
        <v>49</v>
      </c>
      <c r="Y29" s="362"/>
      <c r="Z29" s="362" t="s">
        <v>145</v>
      </c>
      <c r="AA29" s="362"/>
      <c r="AB29" s="368" t="s">
        <v>146</v>
      </c>
      <c r="AC29" s="368"/>
      <c r="AD29" s="368"/>
      <c r="AE29" s="296" t="s">
        <v>166</v>
      </c>
      <c r="AF29" s="369" t="s">
        <v>147</v>
      </c>
      <c r="AG29" s="369"/>
      <c r="AH29" s="369"/>
      <c r="AI29" s="363" t="s">
        <v>142</v>
      </c>
      <c r="AJ29" s="363"/>
      <c r="AK29" s="363"/>
      <c r="AL29" s="306"/>
      <c r="AM29" s="362" t="s">
        <v>46</v>
      </c>
      <c r="AN29" s="362"/>
      <c r="AO29" s="296" t="s">
        <v>51</v>
      </c>
      <c r="AP29" s="362" t="s">
        <v>49</v>
      </c>
      <c r="AQ29" s="362"/>
      <c r="AR29" s="362" t="s">
        <v>145</v>
      </c>
      <c r="AS29" s="362"/>
      <c r="AT29" s="368" t="s">
        <v>146</v>
      </c>
      <c r="AU29" s="368"/>
      <c r="AV29" s="368"/>
      <c r="AW29" s="296" t="s">
        <v>166</v>
      </c>
      <c r="AX29" s="369" t="s">
        <v>147</v>
      </c>
      <c r="AY29" s="369"/>
      <c r="AZ29" s="369"/>
      <c r="BA29" s="363" t="s">
        <v>142</v>
      </c>
      <c r="BB29" s="363"/>
      <c r="BC29" s="363"/>
      <c r="BD29" s="306"/>
      <c r="BE29" s="368" t="s">
        <v>133</v>
      </c>
      <c r="BF29" s="368" t="s">
        <v>24</v>
      </c>
      <c r="BG29" s="368" t="s">
        <v>143</v>
      </c>
      <c r="BH29" s="296" t="s">
        <v>166</v>
      </c>
      <c r="BI29" s="363" t="s">
        <v>142</v>
      </c>
      <c r="BJ29" s="363"/>
      <c r="BK29" s="363"/>
      <c r="BL29" s="371" t="s">
        <v>142</v>
      </c>
      <c r="BM29" s="371"/>
      <c r="BN29" s="371"/>
    </row>
    <row r="30" spans="1:66" ht="17.25" customHeight="1">
      <c r="A30" s="358"/>
      <c r="B30" s="268"/>
      <c r="C30" s="296" t="s">
        <v>47</v>
      </c>
      <c r="D30" s="296" t="s">
        <v>48</v>
      </c>
      <c r="E30" s="296">
        <v>1.75</v>
      </c>
      <c r="F30" s="296" t="s">
        <v>47</v>
      </c>
      <c r="G30" s="296" t="s">
        <v>48</v>
      </c>
      <c r="H30" s="296" t="s">
        <v>47</v>
      </c>
      <c r="I30" s="296" t="s">
        <v>48</v>
      </c>
      <c r="J30" s="296" t="s">
        <v>47</v>
      </c>
      <c r="K30" s="296" t="s">
        <v>48</v>
      </c>
      <c r="L30" s="296" t="s">
        <v>21</v>
      </c>
      <c r="M30" s="307"/>
      <c r="N30" s="298" t="s">
        <v>47</v>
      </c>
      <c r="O30" s="298" t="s">
        <v>48</v>
      </c>
      <c r="P30" s="298" t="s">
        <v>21</v>
      </c>
      <c r="Q30" s="299" t="s">
        <v>47</v>
      </c>
      <c r="R30" s="299" t="s">
        <v>48</v>
      </c>
      <c r="S30" s="299" t="s">
        <v>21</v>
      </c>
      <c r="T30" s="306"/>
      <c r="U30" s="296" t="s">
        <v>47</v>
      </c>
      <c r="V30" s="296" t="s">
        <v>48</v>
      </c>
      <c r="W30" s="296">
        <v>1.75</v>
      </c>
      <c r="X30" s="296" t="s">
        <v>47</v>
      </c>
      <c r="Y30" s="296" t="s">
        <v>48</v>
      </c>
      <c r="Z30" s="296" t="s">
        <v>47</v>
      </c>
      <c r="AA30" s="296" t="s">
        <v>48</v>
      </c>
      <c r="AB30" s="296" t="s">
        <v>47</v>
      </c>
      <c r="AC30" s="296" t="s">
        <v>48</v>
      </c>
      <c r="AD30" s="296" t="s">
        <v>21</v>
      </c>
      <c r="AE30" s="307"/>
      <c r="AF30" s="298" t="s">
        <v>47</v>
      </c>
      <c r="AG30" s="298" t="s">
        <v>48</v>
      </c>
      <c r="AH30" s="298" t="s">
        <v>21</v>
      </c>
      <c r="AI30" s="299" t="s">
        <v>47</v>
      </c>
      <c r="AJ30" s="299" t="s">
        <v>48</v>
      </c>
      <c r="AK30" s="299" t="s">
        <v>21</v>
      </c>
      <c r="AL30" s="306"/>
      <c r="AM30" s="296" t="s">
        <v>47</v>
      </c>
      <c r="AN30" s="296" t="s">
        <v>48</v>
      </c>
      <c r="AO30" s="296">
        <v>1.75</v>
      </c>
      <c r="AP30" s="296" t="s">
        <v>47</v>
      </c>
      <c r="AQ30" s="296" t="s">
        <v>48</v>
      </c>
      <c r="AR30" s="296" t="s">
        <v>47</v>
      </c>
      <c r="AS30" s="296" t="s">
        <v>48</v>
      </c>
      <c r="AT30" s="296" t="s">
        <v>47</v>
      </c>
      <c r="AU30" s="296" t="s">
        <v>48</v>
      </c>
      <c r="AV30" s="296" t="s">
        <v>21</v>
      </c>
      <c r="AW30" s="296"/>
      <c r="AX30" s="298" t="s">
        <v>47</v>
      </c>
      <c r="AY30" s="298" t="s">
        <v>48</v>
      </c>
      <c r="AZ30" s="298" t="s">
        <v>21</v>
      </c>
      <c r="BA30" s="299" t="s">
        <v>47</v>
      </c>
      <c r="BB30" s="299" t="s">
        <v>48</v>
      </c>
      <c r="BC30" s="299" t="s">
        <v>21</v>
      </c>
      <c r="BD30" s="306"/>
      <c r="BE30" s="362"/>
      <c r="BF30" s="362"/>
      <c r="BG30" s="362"/>
      <c r="BH30" s="296"/>
      <c r="BI30" s="299" t="s">
        <v>47</v>
      </c>
      <c r="BJ30" s="299" t="s">
        <v>48</v>
      </c>
      <c r="BK30" s="299" t="s">
        <v>21</v>
      </c>
      <c r="BL30" s="300" t="s">
        <v>47</v>
      </c>
      <c r="BM30" s="300" t="s">
        <v>48</v>
      </c>
      <c r="BN30" s="300" t="s">
        <v>21</v>
      </c>
    </row>
    <row r="31" spans="1:66" ht="18" customHeight="1">
      <c r="A31" s="33"/>
      <c r="B31" s="301"/>
      <c r="C31" s="16" t="s">
        <v>43</v>
      </c>
      <c r="D31" s="16" t="s">
        <v>43</v>
      </c>
      <c r="E31" s="16"/>
      <c r="F31" s="16" t="s">
        <v>43</v>
      </c>
      <c r="G31" s="16" t="s">
        <v>43</v>
      </c>
      <c r="H31" s="16" t="s">
        <v>43</v>
      </c>
      <c r="I31" s="16" t="s">
        <v>43</v>
      </c>
      <c r="J31" s="16" t="s">
        <v>43</v>
      </c>
      <c r="K31" s="16" t="s">
        <v>43</v>
      </c>
      <c r="L31" s="16" t="s">
        <v>43</v>
      </c>
      <c r="M31" s="16" t="s">
        <v>117</v>
      </c>
      <c r="N31" s="131" t="s">
        <v>1</v>
      </c>
      <c r="O31" s="131" t="s">
        <v>1</v>
      </c>
      <c r="P31" s="131" t="s">
        <v>1</v>
      </c>
      <c r="Q31" s="119" t="s">
        <v>1</v>
      </c>
      <c r="R31" s="119" t="s">
        <v>1</v>
      </c>
      <c r="S31" s="119" t="s">
        <v>1</v>
      </c>
      <c r="T31" s="308"/>
      <c r="U31" s="16" t="s">
        <v>43</v>
      </c>
      <c r="V31" s="16" t="s">
        <v>43</v>
      </c>
      <c r="W31" s="16"/>
      <c r="X31" s="16" t="s">
        <v>43</v>
      </c>
      <c r="Y31" s="16" t="s">
        <v>43</v>
      </c>
      <c r="Z31" s="16" t="s">
        <v>43</v>
      </c>
      <c r="AA31" s="16" t="s">
        <v>43</v>
      </c>
      <c r="AB31" s="16" t="s">
        <v>43</v>
      </c>
      <c r="AC31" s="16" t="s">
        <v>43</v>
      </c>
      <c r="AD31" s="16" t="s">
        <v>43</v>
      </c>
      <c r="AE31" s="16" t="s">
        <v>117</v>
      </c>
      <c r="AF31" s="131" t="s">
        <v>1</v>
      </c>
      <c r="AG31" s="131" t="s">
        <v>1</v>
      </c>
      <c r="AH31" s="131" t="s">
        <v>1</v>
      </c>
      <c r="AI31" s="119" t="s">
        <v>1</v>
      </c>
      <c r="AJ31" s="119" t="s">
        <v>1</v>
      </c>
      <c r="AK31" s="119" t="s">
        <v>1</v>
      </c>
      <c r="AL31" s="308"/>
      <c r="AM31" s="16" t="s">
        <v>43</v>
      </c>
      <c r="AN31" s="16" t="s">
        <v>43</v>
      </c>
      <c r="AO31" s="16"/>
      <c r="AP31" s="16" t="s">
        <v>43</v>
      </c>
      <c r="AQ31" s="16" t="s">
        <v>43</v>
      </c>
      <c r="AR31" s="16" t="s">
        <v>43</v>
      </c>
      <c r="AS31" s="16" t="s">
        <v>43</v>
      </c>
      <c r="AT31" s="16" t="s">
        <v>43</v>
      </c>
      <c r="AU31" s="16" t="s">
        <v>43</v>
      </c>
      <c r="AV31" s="16" t="s">
        <v>43</v>
      </c>
      <c r="AW31" s="16" t="s">
        <v>117</v>
      </c>
      <c r="AX31" s="131" t="s">
        <v>1</v>
      </c>
      <c r="AY31" s="131" t="s">
        <v>1</v>
      </c>
      <c r="AZ31" s="131" t="s">
        <v>1</v>
      </c>
      <c r="BA31" s="119" t="s">
        <v>1</v>
      </c>
      <c r="BB31" s="119" t="s">
        <v>1</v>
      </c>
      <c r="BC31" s="119" t="s">
        <v>1</v>
      </c>
      <c r="BD31" s="308"/>
      <c r="BE31" s="16" t="s">
        <v>23</v>
      </c>
      <c r="BF31" s="16"/>
      <c r="BG31" s="16" t="s">
        <v>23</v>
      </c>
      <c r="BH31" s="16" t="s">
        <v>144</v>
      </c>
      <c r="BI31" s="119" t="s">
        <v>1</v>
      </c>
      <c r="BJ31" s="119" t="s">
        <v>1</v>
      </c>
      <c r="BK31" s="119" t="s">
        <v>1</v>
      </c>
      <c r="BL31" s="122" t="s">
        <v>1</v>
      </c>
      <c r="BM31" s="122" t="s">
        <v>1</v>
      </c>
      <c r="BN31" s="122" t="s">
        <v>1</v>
      </c>
    </row>
    <row r="32" spans="1:66" ht="14.25" customHeight="1">
      <c r="A32" s="249" t="s">
        <v>4</v>
      </c>
      <c r="B32" s="249"/>
      <c r="C32" s="307">
        <v>427604.73043700005</v>
      </c>
      <c r="D32" s="307">
        <v>0</v>
      </c>
      <c r="E32" s="24">
        <v>1</v>
      </c>
      <c r="F32" s="307">
        <f t="shared" ref="F32:G34" si="7">C32*(1-$E32)+C32*($E32*$E$30)</f>
        <v>748308.27826475003</v>
      </c>
      <c r="G32" s="307">
        <f t="shared" si="7"/>
        <v>0</v>
      </c>
      <c r="H32" s="307">
        <f t="shared" ref="H32:I34" si="8">F22</f>
        <v>748308.27826475003</v>
      </c>
      <c r="I32" s="307">
        <f t="shared" si="8"/>
        <v>0</v>
      </c>
      <c r="J32" s="307">
        <f t="shared" ref="J32:K34" si="9">F32-H32</f>
        <v>0</v>
      </c>
      <c r="K32" s="307">
        <f t="shared" si="9"/>
        <v>0</v>
      </c>
      <c r="L32" s="250">
        <f>SUM(J32:K32)</f>
        <v>0</v>
      </c>
      <c r="M32" s="309">
        <v>1.5103269984013801</v>
      </c>
      <c r="N32" s="303">
        <f>F32*M32/1000</f>
        <v>1130.1901957905045</v>
      </c>
      <c r="O32" s="303">
        <f>I32*M32/1000</f>
        <v>0</v>
      </c>
      <c r="P32" s="303">
        <f>SUM(N32:O32)</f>
        <v>1130.1901957905045</v>
      </c>
      <c r="Q32" s="253">
        <f>J32*M32/1000</f>
        <v>0</v>
      </c>
      <c r="R32" s="253">
        <f>K32*M32/1000</f>
        <v>0</v>
      </c>
      <c r="S32" s="253">
        <f>Q32+R32</f>
        <v>0</v>
      </c>
      <c r="T32" s="310"/>
      <c r="U32" s="307">
        <v>1746850</v>
      </c>
      <c r="V32" s="307">
        <v>0</v>
      </c>
      <c r="W32" s="24">
        <v>1</v>
      </c>
      <c r="X32" s="307">
        <f t="shared" ref="X32:Y34" si="10">U32*(1-$W32)+U32*($W32*$W$30)</f>
        <v>3056987.5</v>
      </c>
      <c r="Y32" s="307">
        <f t="shared" si="10"/>
        <v>0</v>
      </c>
      <c r="Z32" s="307">
        <f t="shared" ref="Z32:AA34" si="11">X22</f>
        <v>3056987.5</v>
      </c>
      <c r="AA32" s="307">
        <f t="shared" si="11"/>
        <v>0</v>
      </c>
      <c r="AB32" s="307">
        <f t="shared" ref="AB32:AC34" si="12">X32-Z32</f>
        <v>0</v>
      </c>
      <c r="AC32" s="307">
        <f t="shared" si="12"/>
        <v>0</v>
      </c>
      <c r="AD32" s="250">
        <f>SUM(AB32:AC32)</f>
        <v>0</v>
      </c>
      <c r="AE32" s="309">
        <v>0.61042677430393255</v>
      </c>
      <c r="AF32" s="303">
        <f>X32*AE32/1000</f>
        <v>1866.0670187124431</v>
      </c>
      <c r="AG32" s="303">
        <f>AA32*AE32/1000</f>
        <v>0</v>
      </c>
      <c r="AH32" s="303">
        <f>SUM(AF32:AG32)</f>
        <v>1866.0670187124431</v>
      </c>
      <c r="AI32" s="253">
        <f>AB32*AE32/1000</f>
        <v>0</v>
      </c>
      <c r="AJ32" s="253">
        <f>AC32*AE32/1000</f>
        <v>0</v>
      </c>
      <c r="AK32" s="253">
        <f>AI32+AJ32</f>
        <v>0</v>
      </c>
      <c r="AL32" s="310"/>
      <c r="AM32" s="307">
        <v>179176.5</v>
      </c>
      <c r="AN32" s="307">
        <v>0</v>
      </c>
      <c r="AO32" s="24">
        <v>1</v>
      </c>
      <c r="AP32" s="307">
        <f t="shared" ref="AP32:AQ34" si="13">AM32*(1-$AO32)+AM32*($AO32*$AO$30)</f>
        <v>313558.875</v>
      </c>
      <c r="AQ32" s="307">
        <f t="shared" si="13"/>
        <v>0</v>
      </c>
      <c r="AR32" s="307">
        <f t="shared" ref="AR32:AS34" si="14">AP22</f>
        <v>313558.875</v>
      </c>
      <c r="AS32" s="307">
        <f t="shared" si="14"/>
        <v>0</v>
      </c>
      <c r="AT32" s="307">
        <f t="shared" ref="AT32:AU34" si="15">AP32-AR32</f>
        <v>0</v>
      </c>
      <c r="AU32" s="307">
        <f t="shared" si="15"/>
        <v>0</v>
      </c>
      <c r="AV32" s="250">
        <f>SUM(AT32:AU32)</f>
        <v>0</v>
      </c>
      <c r="AW32" s="309">
        <v>3.7176728750037107</v>
      </c>
      <c r="AX32" s="303">
        <f>AP32*AW32/1000</f>
        <v>1165.7093243041791</v>
      </c>
      <c r="AY32" s="303">
        <f>AS32*AW32/1000</f>
        <v>0</v>
      </c>
      <c r="AZ32" s="303">
        <f>SUM(AX32:AY32)</f>
        <v>1165.7093243041791</v>
      </c>
      <c r="BA32" s="253">
        <f>AT32*AW32/1000</f>
        <v>0</v>
      </c>
      <c r="BB32" s="253">
        <f>AU32*AW32/1000</f>
        <v>0</v>
      </c>
      <c r="BC32" s="253">
        <f>BA32+BB32</f>
        <v>0</v>
      </c>
      <c r="BD32" s="310"/>
      <c r="BE32" s="307">
        <f>F10-E10</f>
        <v>349</v>
      </c>
      <c r="BF32" s="17">
        <v>1.0789844859821107</v>
      </c>
      <c r="BG32" s="307">
        <f>BE32*BF32</f>
        <v>376.56558560775665</v>
      </c>
      <c r="BH32" s="309">
        <v>19.948015821631181</v>
      </c>
      <c r="BI32" s="311">
        <f>BK32-BJ32</f>
        <v>7.5117362595853399</v>
      </c>
      <c r="BJ32" s="311">
        <f>(O32+AG32+AY32)/(P32+AH32+AZ32)*BK32</f>
        <v>0</v>
      </c>
      <c r="BK32" s="311">
        <f>BG32*BH32/1000</f>
        <v>7.5117362595853399</v>
      </c>
      <c r="BL32" s="312">
        <f t="shared" ref="BL32:BM34" si="16">Q32+AI32+BA32+BI32</f>
        <v>7.5117362595853399</v>
      </c>
      <c r="BM32" s="312">
        <f t="shared" si="16"/>
        <v>0</v>
      </c>
      <c r="BN32" s="312">
        <f>SUM(BL32:BM32)</f>
        <v>7.5117362595853399</v>
      </c>
    </row>
    <row r="33" spans="1:66" ht="14.25" customHeight="1">
      <c r="A33" s="249" t="s">
        <v>15</v>
      </c>
      <c r="B33" s="249"/>
      <c r="C33" s="307">
        <v>782924.42220000003</v>
      </c>
      <c r="D33" s="307">
        <v>0</v>
      </c>
      <c r="E33" s="24">
        <v>1</v>
      </c>
      <c r="F33" s="307">
        <f t="shared" si="7"/>
        <v>1370117.7388500001</v>
      </c>
      <c r="G33" s="307">
        <f t="shared" si="7"/>
        <v>0</v>
      </c>
      <c r="H33" s="307">
        <f t="shared" si="8"/>
        <v>1370117.7388500001</v>
      </c>
      <c r="I33" s="307">
        <f t="shared" si="8"/>
        <v>0</v>
      </c>
      <c r="J33" s="307">
        <f t="shared" si="9"/>
        <v>0</v>
      </c>
      <c r="K33" s="307">
        <f t="shared" si="9"/>
        <v>0</v>
      </c>
      <c r="L33" s="250">
        <f>SUM(J33:K33)</f>
        <v>0</v>
      </c>
      <c r="M33" s="309">
        <v>1.5517283643149902</v>
      </c>
      <c r="N33" s="303">
        <f>F33*M33/1000</f>
        <v>2126.0505578246634</v>
      </c>
      <c r="O33" s="303">
        <f>I33*M33/1000</f>
        <v>0</v>
      </c>
      <c r="P33" s="303">
        <f>SUM(N33:O33)</f>
        <v>2126.0505578246634</v>
      </c>
      <c r="Q33" s="253">
        <f>J33*M33/1000</f>
        <v>0</v>
      </c>
      <c r="R33" s="253">
        <f>K33*M33/1000</f>
        <v>0</v>
      </c>
      <c r="S33" s="253">
        <f>Q33+R33</f>
        <v>0</v>
      </c>
      <c r="T33" s="310"/>
      <c r="U33" s="307">
        <v>2174694.5161802578</v>
      </c>
      <c r="V33" s="307">
        <v>0</v>
      </c>
      <c r="W33" s="24">
        <v>1</v>
      </c>
      <c r="X33" s="307">
        <f t="shared" si="10"/>
        <v>3805715.403315451</v>
      </c>
      <c r="Y33" s="307">
        <f t="shared" si="10"/>
        <v>0</v>
      </c>
      <c r="Z33" s="307">
        <f t="shared" si="11"/>
        <v>3805715.403315451</v>
      </c>
      <c r="AA33" s="307">
        <f t="shared" si="11"/>
        <v>0</v>
      </c>
      <c r="AB33" s="307">
        <f t="shared" si="12"/>
        <v>0</v>
      </c>
      <c r="AC33" s="307">
        <f t="shared" si="12"/>
        <v>0</v>
      </c>
      <c r="AD33" s="250">
        <f>SUM(AB33:AC33)</f>
        <v>0</v>
      </c>
      <c r="AE33" s="309">
        <v>0.62715990711104763</v>
      </c>
      <c r="AF33" s="303">
        <f>X33*AE33/1000</f>
        <v>2386.7921188344017</v>
      </c>
      <c r="AG33" s="303">
        <f>AA33*AE33/1000</f>
        <v>0</v>
      </c>
      <c r="AH33" s="303">
        <f>SUM(AF33:AG33)</f>
        <v>2386.7921188344017</v>
      </c>
      <c r="AI33" s="253">
        <f>AB33*AE33/1000</f>
        <v>0</v>
      </c>
      <c r="AJ33" s="253">
        <f>AC33*AE33/1000</f>
        <v>0</v>
      </c>
      <c r="AK33" s="253">
        <f>AI33+AJ33</f>
        <v>0</v>
      </c>
      <c r="AL33" s="310"/>
      <c r="AM33" s="307">
        <v>193017.5</v>
      </c>
      <c r="AN33" s="307">
        <v>0</v>
      </c>
      <c r="AO33" s="24">
        <v>1</v>
      </c>
      <c r="AP33" s="307">
        <f t="shared" si="13"/>
        <v>337780.625</v>
      </c>
      <c r="AQ33" s="307">
        <f t="shared" si="13"/>
        <v>0</v>
      </c>
      <c r="AR33" s="307">
        <f t="shared" si="14"/>
        <v>337780.625</v>
      </c>
      <c r="AS33" s="307">
        <f t="shared" si="14"/>
        <v>0</v>
      </c>
      <c r="AT33" s="307">
        <f t="shared" si="15"/>
        <v>0</v>
      </c>
      <c r="AU33" s="307">
        <f t="shared" si="15"/>
        <v>0</v>
      </c>
      <c r="AV33" s="250">
        <f>SUM(AT33:AU33)</f>
        <v>0</v>
      </c>
      <c r="AW33" s="309">
        <v>3.8195824185714615</v>
      </c>
      <c r="AX33" s="303">
        <f>AP33*AW33/1000</f>
        <v>1290.18093658408</v>
      </c>
      <c r="AY33" s="303">
        <f>AS33*AW33/1000</f>
        <v>0</v>
      </c>
      <c r="AZ33" s="303">
        <f>SUM(AX33:AY33)</f>
        <v>1290.18093658408</v>
      </c>
      <c r="BA33" s="253">
        <f>AT33*AW33/1000</f>
        <v>0</v>
      </c>
      <c r="BB33" s="253">
        <f>AU33*AW33/1000</f>
        <v>0</v>
      </c>
      <c r="BC33" s="253">
        <f>BA33+BB33</f>
        <v>0</v>
      </c>
      <c r="BD33" s="310"/>
      <c r="BE33" s="307">
        <f>F11-E11</f>
        <v>1599</v>
      </c>
      <c r="BF33" s="17">
        <v>1.0554522962647099</v>
      </c>
      <c r="BG33" s="307">
        <f>BE33*BF33</f>
        <v>1687.6682217272712</v>
      </c>
      <c r="BH33" s="309">
        <v>20.494834559001301</v>
      </c>
      <c r="BI33" s="311">
        <f>BK33-BJ33</f>
        <v>34.588480994784348</v>
      </c>
      <c r="BJ33" s="311">
        <f>(O33+AG33+AY33)/(P33+AH33+AZ33)*BK33</f>
        <v>0</v>
      </c>
      <c r="BK33" s="311">
        <f>BG33*BH33/1000</f>
        <v>34.588480994784348</v>
      </c>
      <c r="BL33" s="312">
        <f t="shared" si="16"/>
        <v>34.588480994784348</v>
      </c>
      <c r="BM33" s="312">
        <f t="shared" si="16"/>
        <v>0</v>
      </c>
      <c r="BN33" s="312">
        <f>SUM(BL33:BM33)</f>
        <v>34.588480994784348</v>
      </c>
    </row>
    <row r="34" spans="1:66" ht="14.25" customHeight="1" thickBot="1">
      <c r="A34" s="269" t="s">
        <v>17</v>
      </c>
      <c r="B34" s="269"/>
      <c r="C34" s="279">
        <v>493213.64448899997</v>
      </c>
      <c r="D34" s="279">
        <v>333492.99</v>
      </c>
      <c r="E34" s="313">
        <v>0.22</v>
      </c>
      <c r="F34" s="279">
        <f t="shared" si="7"/>
        <v>574593.89582968503</v>
      </c>
      <c r="G34" s="279">
        <f t="shared" si="7"/>
        <v>388519.33335000003</v>
      </c>
      <c r="H34" s="279">
        <f t="shared" si="8"/>
        <v>574593.89582968503</v>
      </c>
      <c r="I34" s="279">
        <f t="shared" si="8"/>
        <v>388519.33335000003</v>
      </c>
      <c r="J34" s="279">
        <f t="shared" si="9"/>
        <v>0</v>
      </c>
      <c r="K34" s="279">
        <f t="shared" si="9"/>
        <v>0</v>
      </c>
      <c r="L34" s="271">
        <f>SUM(J34:K34)</f>
        <v>0</v>
      </c>
      <c r="M34" s="281">
        <v>1.4989989890485347</v>
      </c>
      <c r="N34" s="305">
        <f>F34*M34/1000</f>
        <v>861.31566896215691</v>
      </c>
      <c r="O34" s="305">
        <f>I34*M34/1000</f>
        <v>582.39008791746073</v>
      </c>
      <c r="P34" s="305">
        <f>SUM(N34:O34)</f>
        <v>1443.7057568796176</v>
      </c>
      <c r="Q34" s="275">
        <f>J34*M34/1000</f>
        <v>0</v>
      </c>
      <c r="R34" s="275">
        <f>K34*M34/1000</f>
        <v>0</v>
      </c>
      <c r="S34" s="275">
        <f>Q34+R34</f>
        <v>0</v>
      </c>
      <c r="T34" s="280"/>
      <c r="U34" s="279">
        <v>913047</v>
      </c>
      <c r="V34" s="279">
        <v>170365</v>
      </c>
      <c r="W34" s="313">
        <v>0.9</v>
      </c>
      <c r="X34" s="279">
        <f t="shared" si="10"/>
        <v>1529353.7249999999</v>
      </c>
      <c r="Y34" s="279">
        <f t="shared" si="10"/>
        <v>285361.375</v>
      </c>
      <c r="Z34" s="279">
        <f t="shared" si="11"/>
        <v>1529353.7249999999</v>
      </c>
      <c r="AA34" s="279">
        <f t="shared" si="11"/>
        <v>285361.375</v>
      </c>
      <c r="AB34" s="279">
        <f t="shared" si="12"/>
        <v>0</v>
      </c>
      <c r="AC34" s="279">
        <f t="shared" si="12"/>
        <v>0</v>
      </c>
      <c r="AD34" s="271">
        <f>SUM(AB34:AC34)</f>
        <v>0</v>
      </c>
      <c r="AE34" s="281">
        <v>0.60584834842936286</v>
      </c>
      <c r="AF34" s="305">
        <f>X34*AE34/1000</f>
        <v>926.55642845554394</v>
      </c>
      <c r="AG34" s="305">
        <f>AA34*AE34/1000</f>
        <v>172.88571774928207</v>
      </c>
      <c r="AH34" s="305">
        <f>SUM(AF34:AG34)</f>
        <v>1099.442146204826</v>
      </c>
      <c r="AI34" s="275">
        <f>AB34*AE34/1000</f>
        <v>0</v>
      </c>
      <c r="AJ34" s="275">
        <f>AC34*AE34/1000</f>
        <v>0</v>
      </c>
      <c r="AK34" s="275">
        <f>AI34+AJ34</f>
        <v>0</v>
      </c>
      <c r="AL34" s="280"/>
      <c r="AM34" s="279">
        <v>132102</v>
      </c>
      <c r="AN34" s="279">
        <v>5574.46</v>
      </c>
      <c r="AO34" s="313">
        <v>1</v>
      </c>
      <c r="AP34" s="279">
        <f t="shared" si="13"/>
        <v>231178.5</v>
      </c>
      <c r="AQ34" s="279">
        <f t="shared" si="13"/>
        <v>9755.3050000000003</v>
      </c>
      <c r="AR34" s="279">
        <f t="shared" si="14"/>
        <v>231178.5</v>
      </c>
      <c r="AS34" s="279">
        <f t="shared" si="14"/>
        <v>9755.3050000000003</v>
      </c>
      <c r="AT34" s="279">
        <f t="shared" si="15"/>
        <v>0</v>
      </c>
      <c r="AU34" s="279">
        <f t="shared" si="15"/>
        <v>0</v>
      </c>
      <c r="AV34" s="271">
        <f>SUM(AT34:AU34)</f>
        <v>0</v>
      </c>
      <c r="AW34" s="281">
        <v>3.6897889577172989</v>
      </c>
      <c r="AX34" s="305">
        <f>AP34*AW34/1000</f>
        <v>852.99987656164853</v>
      </c>
      <c r="AY34" s="305">
        <f>AS34*AW34/1000</f>
        <v>35.995016668164354</v>
      </c>
      <c r="AZ34" s="305">
        <f>SUM(AX34:AY34)</f>
        <v>888.99489322981287</v>
      </c>
      <c r="BA34" s="275">
        <f>AT34*AW34/1000</f>
        <v>0</v>
      </c>
      <c r="BB34" s="275">
        <f>AU34*AW34/1000</f>
        <v>0</v>
      </c>
      <c r="BC34" s="275">
        <f>BA34+BB34</f>
        <v>0</v>
      </c>
      <c r="BD34" s="280"/>
      <c r="BE34" s="279">
        <f>F12-E12</f>
        <v>1689</v>
      </c>
      <c r="BF34" s="272">
        <v>0.98361975215267461</v>
      </c>
      <c r="BG34" s="279">
        <f>BE34*BF34</f>
        <v>1661.3337613858673</v>
      </c>
      <c r="BH34" s="281">
        <v>19.798398348039488</v>
      </c>
      <c r="BI34" s="314">
        <f>BK34-BJ34</f>
        <v>25.308648141710918</v>
      </c>
      <c r="BJ34" s="314">
        <f>(O34+AG34+AY34)/(P34+AH34+AZ34)*BK34</f>
        <v>7.5830994552532633</v>
      </c>
      <c r="BK34" s="314">
        <f>BG34*BH34/1000</f>
        <v>32.89174759696418</v>
      </c>
      <c r="BL34" s="315">
        <f t="shared" si="16"/>
        <v>25.308648141710918</v>
      </c>
      <c r="BM34" s="315">
        <f t="shared" si="16"/>
        <v>7.5830994552532633</v>
      </c>
      <c r="BN34" s="315">
        <f>SUM(BL34:BM34)</f>
        <v>32.89174759696418</v>
      </c>
    </row>
    <row r="35" spans="1:66" ht="12.75" customHeight="1">
      <c r="A35" s="10" t="s">
        <v>167</v>
      </c>
    </row>
    <row r="36" spans="1:66" ht="15.75">
      <c r="A36" s="20" t="s">
        <v>30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13.5" thickBot="1">
      <c r="A37" s="172"/>
      <c r="B37" s="17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50"/>
      <c r="BF37" s="50"/>
      <c r="BG37" s="50"/>
      <c r="BH37" s="50"/>
      <c r="BI37" s="50"/>
      <c r="BJ37" s="50"/>
      <c r="BK37" s="50"/>
      <c r="BL37" s="50"/>
      <c r="BM37" s="50"/>
      <c r="BN37" s="50"/>
    </row>
    <row r="38" spans="1:66" ht="13.5" customHeight="1">
      <c r="A38" s="352" t="s">
        <v>0</v>
      </c>
      <c r="B38" s="36"/>
      <c r="C38" s="357" t="s">
        <v>45</v>
      </c>
      <c r="D38" s="357"/>
      <c r="E38" s="357"/>
      <c r="F38" s="357"/>
      <c r="G38" s="357"/>
      <c r="H38" s="357"/>
      <c r="I38" s="357"/>
      <c r="J38" s="357"/>
      <c r="K38" s="357"/>
      <c r="L38" s="357"/>
      <c r="M38" s="357"/>
      <c r="N38" s="357"/>
      <c r="O38" s="357"/>
      <c r="P38" s="357"/>
      <c r="Q38" s="357"/>
      <c r="R38" s="357"/>
      <c r="S38" s="49"/>
      <c r="T38" s="36"/>
      <c r="U38" s="357" t="s">
        <v>50</v>
      </c>
      <c r="V38" s="357"/>
      <c r="W38" s="357"/>
      <c r="X38" s="357"/>
      <c r="Y38" s="357"/>
      <c r="Z38" s="357"/>
      <c r="AA38" s="357"/>
      <c r="AB38" s="357"/>
      <c r="AC38" s="357"/>
      <c r="AD38" s="357"/>
      <c r="AE38" s="357"/>
      <c r="AF38" s="357"/>
      <c r="AG38" s="357"/>
      <c r="AH38" s="357"/>
      <c r="AI38" s="357"/>
      <c r="AJ38" s="357"/>
      <c r="AK38" s="49"/>
      <c r="AL38" s="36"/>
      <c r="AM38" s="357" t="s">
        <v>52</v>
      </c>
      <c r="AN38" s="357"/>
      <c r="AO38" s="357"/>
      <c r="AP38" s="357"/>
      <c r="AQ38" s="357"/>
      <c r="AR38" s="357"/>
      <c r="AS38" s="357"/>
      <c r="AT38" s="357"/>
      <c r="AU38" s="357"/>
      <c r="AV38" s="357"/>
      <c r="AW38" s="357"/>
      <c r="AX38" s="357"/>
      <c r="AY38" s="357"/>
      <c r="AZ38" s="357"/>
      <c r="BA38" s="357"/>
      <c r="BB38" s="357"/>
      <c r="BC38" s="49"/>
      <c r="BD38" s="36"/>
      <c r="BE38" s="356" t="s">
        <v>53</v>
      </c>
      <c r="BF38" s="356"/>
      <c r="BG38" s="356"/>
      <c r="BH38" s="356"/>
      <c r="BI38" s="356"/>
      <c r="BJ38" s="356"/>
      <c r="BK38" s="356"/>
      <c r="BL38" s="370" t="s">
        <v>21</v>
      </c>
      <c r="BM38" s="370"/>
      <c r="BN38" s="370"/>
    </row>
    <row r="39" spans="1:66" ht="63.75" customHeight="1">
      <c r="A39" s="358"/>
      <c r="B39" s="268"/>
      <c r="C39" s="362" t="s">
        <v>46</v>
      </c>
      <c r="D39" s="362"/>
      <c r="E39" s="296" t="s">
        <v>51</v>
      </c>
      <c r="F39" s="362" t="s">
        <v>49</v>
      </c>
      <c r="G39" s="362"/>
      <c r="H39" s="362" t="s">
        <v>145</v>
      </c>
      <c r="I39" s="362"/>
      <c r="J39" s="368" t="s">
        <v>146</v>
      </c>
      <c r="K39" s="368"/>
      <c r="L39" s="368"/>
      <c r="M39" s="296" t="s">
        <v>113</v>
      </c>
      <c r="N39" s="369" t="s">
        <v>147</v>
      </c>
      <c r="O39" s="369"/>
      <c r="P39" s="369"/>
      <c r="Q39" s="363" t="s">
        <v>142</v>
      </c>
      <c r="R39" s="363"/>
      <c r="S39" s="363"/>
      <c r="T39" s="306"/>
      <c r="U39" s="362" t="s">
        <v>46</v>
      </c>
      <c r="V39" s="362"/>
      <c r="W39" s="296" t="s">
        <v>51</v>
      </c>
      <c r="X39" s="362" t="s">
        <v>49</v>
      </c>
      <c r="Y39" s="362"/>
      <c r="Z39" s="362" t="s">
        <v>145</v>
      </c>
      <c r="AA39" s="362"/>
      <c r="AB39" s="368" t="s">
        <v>146</v>
      </c>
      <c r="AC39" s="368"/>
      <c r="AD39" s="368"/>
      <c r="AE39" s="296" t="s">
        <v>113</v>
      </c>
      <c r="AF39" s="369" t="s">
        <v>147</v>
      </c>
      <c r="AG39" s="369"/>
      <c r="AH39" s="369"/>
      <c r="AI39" s="363" t="s">
        <v>142</v>
      </c>
      <c r="AJ39" s="363"/>
      <c r="AK39" s="363"/>
      <c r="AL39" s="306"/>
      <c r="AM39" s="362" t="s">
        <v>46</v>
      </c>
      <c r="AN39" s="362"/>
      <c r="AO39" s="296" t="s">
        <v>51</v>
      </c>
      <c r="AP39" s="362" t="s">
        <v>49</v>
      </c>
      <c r="AQ39" s="362"/>
      <c r="AR39" s="362" t="s">
        <v>145</v>
      </c>
      <c r="AS39" s="362"/>
      <c r="AT39" s="368" t="s">
        <v>146</v>
      </c>
      <c r="AU39" s="368"/>
      <c r="AV39" s="368"/>
      <c r="AW39" s="296" t="s">
        <v>113</v>
      </c>
      <c r="AX39" s="369" t="s">
        <v>147</v>
      </c>
      <c r="AY39" s="369"/>
      <c r="AZ39" s="369"/>
      <c r="BA39" s="363" t="s">
        <v>142</v>
      </c>
      <c r="BB39" s="363"/>
      <c r="BC39" s="363"/>
      <c r="BD39" s="306"/>
      <c r="BE39" s="368" t="s">
        <v>134</v>
      </c>
      <c r="BF39" s="368" t="s">
        <v>24</v>
      </c>
      <c r="BG39" s="368" t="s">
        <v>143</v>
      </c>
      <c r="BH39" s="296" t="s">
        <v>113</v>
      </c>
      <c r="BI39" s="363" t="s">
        <v>142</v>
      </c>
      <c r="BJ39" s="363"/>
      <c r="BK39" s="363"/>
      <c r="BL39" s="371" t="s">
        <v>142</v>
      </c>
      <c r="BM39" s="371"/>
      <c r="BN39" s="371"/>
    </row>
    <row r="40" spans="1:66" ht="17.25" customHeight="1">
      <c r="A40" s="358"/>
      <c r="B40" s="268"/>
      <c r="C40" s="296" t="s">
        <v>47</v>
      </c>
      <c r="D40" s="296" t="s">
        <v>48</v>
      </c>
      <c r="E40" s="296">
        <v>1.75</v>
      </c>
      <c r="F40" s="296" t="s">
        <v>47</v>
      </c>
      <c r="G40" s="296" t="s">
        <v>48</v>
      </c>
      <c r="H40" s="296" t="s">
        <v>47</v>
      </c>
      <c r="I40" s="296" t="s">
        <v>48</v>
      </c>
      <c r="J40" s="296" t="s">
        <v>47</v>
      </c>
      <c r="K40" s="296" t="s">
        <v>48</v>
      </c>
      <c r="L40" s="296" t="s">
        <v>21</v>
      </c>
      <c r="M40" s="307"/>
      <c r="N40" s="298" t="s">
        <v>47</v>
      </c>
      <c r="O40" s="298" t="s">
        <v>48</v>
      </c>
      <c r="P40" s="298" t="s">
        <v>21</v>
      </c>
      <c r="Q40" s="299" t="s">
        <v>47</v>
      </c>
      <c r="R40" s="299" t="s">
        <v>48</v>
      </c>
      <c r="S40" s="299" t="s">
        <v>21</v>
      </c>
      <c r="T40" s="306"/>
      <c r="U40" s="296" t="s">
        <v>47</v>
      </c>
      <c r="V40" s="296" t="s">
        <v>48</v>
      </c>
      <c r="W40" s="296">
        <v>1.75</v>
      </c>
      <c r="X40" s="296" t="s">
        <v>47</v>
      </c>
      <c r="Y40" s="296" t="s">
        <v>48</v>
      </c>
      <c r="Z40" s="296" t="s">
        <v>47</v>
      </c>
      <c r="AA40" s="296" t="s">
        <v>48</v>
      </c>
      <c r="AB40" s="296" t="s">
        <v>47</v>
      </c>
      <c r="AC40" s="296" t="s">
        <v>48</v>
      </c>
      <c r="AD40" s="296" t="s">
        <v>21</v>
      </c>
      <c r="AE40" s="307"/>
      <c r="AF40" s="298" t="s">
        <v>47</v>
      </c>
      <c r="AG40" s="298" t="s">
        <v>48</v>
      </c>
      <c r="AH40" s="298" t="s">
        <v>21</v>
      </c>
      <c r="AI40" s="299" t="s">
        <v>47</v>
      </c>
      <c r="AJ40" s="299" t="s">
        <v>48</v>
      </c>
      <c r="AK40" s="299" t="s">
        <v>21</v>
      </c>
      <c r="AL40" s="306"/>
      <c r="AM40" s="296" t="s">
        <v>47</v>
      </c>
      <c r="AN40" s="296" t="s">
        <v>48</v>
      </c>
      <c r="AO40" s="296">
        <v>1.75</v>
      </c>
      <c r="AP40" s="296" t="s">
        <v>47</v>
      </c>
      <c r="AQ40" s="296" t="s">
        <v>48</v>
      </c>
      <c r="AR40" s="296" t="s">
        <v>47</v>
      </c>
      <c r="AS40" s="296" t="s">
        <v>48</v>
      </c>
      <c r="AT40" s="296" t="s">
        <v>47</v>
      </c>
      <c r="AU40" s="296" t="s">
        <v>48</v>
      </c>
      <c r="AV40" s="296" t="s">
        <v>21</v>
      </c>
      <c r="AW40" s="296"/>
      <c r="AX40" s="298" t="s">
        <v>47</v>
      </c>
      <c r="AY40" s="298" t="s">
        <v>48</v>
      </c>
      <c r="AZ40" s="298" t="s">
        <v>21</v>
      </c>
      <c r="BA40" s="299" t="s">
        <v>47</v>
      </c>
      <c r="BB40" s="299" t="s">
        <v>48</v>
      </c>
      <c r="BC40" s="299" t="s">
        <v>21</v>
      </c>
      <c r="BD40" s="306"/>
      <c r="BE40" s="362"/>
      <c r="BF40" s="362"/>
      <c r="BG40" s="362"/>
      <c r="BH40" s="296"/>
      <c r="BI40" s="299" t="s">
        <v>47</v>
      </c>
      <c r="BJ40" s="299" t="s">
        <v>48</v>
      </c>
      <c r="BK40" s="299" t="s">
        <v>21</v>
      </c>
      <c r="BL40" s="300" t="s">
        <v>47</v>
      </c>
      <c r="BM40" s="300" t="s">
        <v>48</v>
      </c>
      <c r="BN40" s="300" t="s">
        <v>21</v>
      </c>
    </row>
    <row r="41" spans="1:66" ht="18" customHeight="1">
      <c r="A41" s="33"/>
      <c r="B41" s="301"/>
      <c r="C41" s="16" t="s">
        <v>43</v>
      </c>
      <c r="D41" s="16" t="s">
        <v>43</v>
      </c>
      <c r="E41" s="16"/>
      <c r="F41" s="16" t="s">
        <v>43</v>
      </c>
      <c r="G41" s="16" t="s">
        <v>43</v>
      </c>
      <c r="H41" s="16" t="s">
        <v>43</v>
      </c>
      <c r="I41" s="16" t="s">
        <v>43</v>
      </c>
      <c r="J41" s="16" t="s">
        <v>43</v>
      </c>
      <c r="K41" s="16" t="s">
        <v>43</v>
      </c>
      <c r="L41" s="16" t="s">
        <v>43</v>
      </c>
      <c r="M41" s="16" t="s">
        <v>117</v>
      </c>
      <c r="N41" s="131" t="s">
        <v>1</v>
      </c>
      <c r="O41" s="131" t="s">
        <v>1</v>
      </c>
      <c r="P41" s="131" t="s">
        <v>1</v>
      </c>
      <c r="Q41" s="119" t="s">
        <v>1</v>
      </c>
      <c r="R41" s="119" t="s">
        <v>1</v>
      </c>
      <c r="S41" s="119" t="s">
        <v>1</v>
      </c>
      <c r="T41" s="308"/>
      <c r="U41" s="16" t="s">
        <v>43</v>
      </c>
      <c r="V41" s="16" t="s">
        <v>43</v>
      </c>
      <c r="W41" s="16"/>
      <c r="X41" s="16" t="s">
        <v>43</v>
      </c>
      <c r="Y41" s="16" t="s">
        <v>43</v>
      </c>
      <c r="Z41" s="16" t="s">
        <v>43</v>
      </c>
      <c r="AA41" s="16" t="s">
        <v>43</v>
      </c>
      <c r="AB41" s="16" t="s">
        <v>43</v>
      </c>
      <c r="AC41" s="16" t="s">
        <v>43</v>
      </c>
      <c r="AD41" s="16" t="s">
        <v>43</v>
      </c>
      <c r="AE41" s="16" t="s">
        <v>117</v>
      </c>
      <c r="AF41" s="131" t="s">
        <v>1</v>
      </c>
      <c r="AG41" s="131" t="s">
        <v>1</v>
      </c>
      <c r="AH41" s="131" t="s">
        <v>1</v>
      </c>
      <c r="AI41" s="119" t="s">
        <v>1</v>
      </c>
      <c r="AJ41" s="119" t="s">
        <v>1</v>
      </c>
      <c r="AK41" s="119" t="s">
        <v>1</v>
      </c>
      <c r="AL41" s="308"/>
      <c r="AM41" s="16" t="s">
        <v>43</v>
      </c>
      <c r="AN41" s="16" t="s">
        <v>43</v>
      </c>
      <c r="AO41" s="16"/>
      <c r="AP41" s="16" t="s">
        <v>43</v>
      </c>
      <c r="AQ41" s="16" t="s">
        <v>43</v>
      </c>
      <c r="AR41" s="16" t="s">
        <v>43</v>
      </c>
      <c r="AS41" s="16" t="s">
        <v>43</v>
      </c>
      <c r="AT41" s="16" t="s">
        <v>43</v>
      </c>
      <c r="AU41" s="16" t="s">
        <v>43</v>
      </c>
      <c r="AV41" s="16" t="s">
        <v>43</v>
      </c>
      <c r="AW41" s="16" t="s">
        <v>117</v>
      </c>
      <c r="AX41" s="131" t="s">
        <v>1</v>
      </c>
      <c r="AY41" s="131" t="s">
        <v>1</v>
      </c>
      <c r="AZ41" s="131" t="s">
        <v>1</v>
      </c>
      <c r="BA41" s="119" t="s">
        <v>1</v>
      </c>
      <c r="BB41" s="119" t="s">
        <v>1</v>
      </c>
      <c r="BC41" s="119" t="s">
        <v>1</v>
      </c>
      <c r="BD41" s="308"/>
      <c r="BE41" s="16" t="s">
        <v>23</v>
      </c>
      <c r="BF41" s="16"/>
      <c r="BG41" s="16" t="s">
        <v>23</v>
      </c>
      <c r="BH41" s="16" t="s">
        <v>144</v>
      </c>
      <c r="BI41" s="119" t="s">
        <v>1</v>
      </c>
      <c r="BJ41" s="119" t="s">
        <v>1</v>
      </c>
      <c r="BK41" s="119" t="s">
        <v>1</v>
      </c>
      <c r="BL41" s="122" t="s">
        <v>1</v>
      </c>
      <c r="BM41" s="122" t="s">
        <v>1</v>
      </c>
      <c r="BN41" s="122" t="s">
        <v>1</v>
      </c>
    </row>
    <row r="42" spans="1:66" ht="14.25" customHeight="1">
      <c r="A42" s="249" t="s">
        <v>4</v>
      </c>
      <c r="B42" s="249"/>
      <c r="C42" s="307">
        <v>427604.73043700005</v>
      </c>
      <c r="D42" s="307">
        <v>0</v>
      </c>
      <c r="E42" s="24">
        <v>1</v>
      </c>
      <c r="F42" s="307">
        <f t="shared" ref="F42:G44" si="17">C42*(1-$E42)+C42*($E42*$E$40)</f>
        <v>748308.27826475003</v>
      </c>
      <c r="G42" s="307">
        <f t="shared" si="17"/>
        <v>0</v>
      </c>
      <c r="H42" s="307">
        <f t="shared" ref="H42:I44" si="18">F32</f>
        <v>748308.27826475003</v>
      </c>
      <c r="I42" s="307">
        <f t="shared" si="18"/>
        <v>0</v>
      </c>
      <c r="J42" s="307">
        <f t="shared" ref="J42:K44" si="19">F42-H42</f>
        <v>0</v>
      </c>
      <c r="K42" s="307">
        <f t="shared" si="19"/>
        <v>0</v>
      </c>
      <c r="L42" s="250">
        <f>SUM(J42:K42)</f>
        <v>0</v>
      </c>
      <c r="M42" s="309">
        <f ca="1">M32*(1+Indexation!$C$7)</f>
        <v>1.5329819033774006</v>
      </c>
      <c r="N42" s="303">
        <f>F42*M42/1000</f>
        <v>1147.1430487273619</v>
      </c>
      <c r="O42" s="303">
        <f>I42*M42/1000</f>
        <v>0</v>
      </c>
      <c r="P42" s="303">
        <f>SUM(N42:O42)</f>
        <v>1147.1430487273619</v>
      </c>
      <c r="Q42" s="253">
        <f>J42*M42/1000</f>
        <v>0</v>
      </c>
      <c r="R42" s="253">
        <f>K42*M42/1000</f>
        <v>0</v>
      </c>
      <c r="S42" s="253">
        <f>Q42+R42</f>
        <v>0</v>
      </c>
      <c r="T42" s="310"/>
      <c r="U42" s="307">
        <v>1746850</v>
      </c>
      <c r="V42" s="307">
        <v>0</v>
      </c>
      <c r="W42" s="24">
        <v>1</v>
      </c>
      <c r="X42" s="307">
        <f t="shared" ref="X42:Y44" si="20">U42*(1-$W42)+U42*($W42*$W$30)</f>
        <v>3056987.5</v>
      </c>
      <c r="Y42" s="307">
        <f t="shared" si="20"/>
        <v>0</v>
      </c>
      <c r="Z42" s="307">
        <f t="shared" ref="Z42:AA44" si="21">X32</f>
        <v>3056987.5</v>
      </c>
      <c r="AA42" s="307">
        <f t="shared" si="21"/>
        <v>0</v>
      </c>
      <c r="AB42" s="307">
        <f t="shared" ref="AB42:AC44" si="22">X42-Z42</f>
        <v>0</v>
      </c>
      <c r="AC42" s="307">
        <f t="shared" si="22"/>
        <v>0</v>
      </c>
      <c r="AD42" s="250">
        <f>SUM(AB42:AC42)</f>
        <v>0</v>
      </c>
      <c r="AE42" s="309">
        <f ca="1">AE32*(1+Indexation!$C$7)</f>
        <v>0.61958317591849144</v>
      </c>
      <c r="AF42" s="303">
        <f>X42*AE42/1000</f>
        <v>1894.0580239931294</v>
      </c>
      <c r="AG42" s="303">
        <f>AA42*AE42/1000</f>
        <v>0</v>
      </c>
      <c r="AH42" s="303">
        <f>SUM(AF42:AG42)</f>
        <v>1894.0580239931294</v>
      </c>
      <c r="AI42" s="253">
        <f>AB42*AE42/1000</f>
        <v>0</v>
      </c>
      <c r="AJ42" s="253">
        <f>AC42*AE42/1000</f>
        <v>0</v>
      </c>
      <c r="AK42" s="253">
        <f>AI42+AJ42</f>
        <v>0</v>
      </c>
      <c r="AL42" s="310"/>
      <c r="AM42" s="307">
        <v>179176.5</v>
      </c>
      <c r="AN42" s="307">
        <v>0</v>
      </c>
      <c r="AO42" s="24">
        <v>1</v>
      </c>
      <c r="AP42" s="307">
        <f t="shared" ref="AP42:AQ44" si="23">AM42*(1-$AO42)+AM42*($AO42*$AO$30)</f>
        <v>313558.875</v>
      </c>
      <c r="AQ42" s="307">
        <f t="shared" si="23"/>
        <v>0</v>
      </c>
      <c r="AR42" s="307">
        <f t="shared" ref="AR42:AS44" si="24">AP32</f>
        <v>313558.875</v>
      </c>
      <c r="AS42" s="307">
        <f t="shared" si="24"/>
        <v>0</v>
      </c>
      <c r="AT42" s="307">
        <f t="shared" ref="AT42:AU44" si="25">AP42-AR42</f>
        <v>0</v>
      </c>
      <c r="AU42" s="307">
        <f t="shared" si="25"/>
        <v>0</v>
      </c>
      <c r="AV42" s="250">
        <f>SUM(AT42:AU42)</f>
        <v>0</v>
      </c>
      <c r="AW42" s="309">
        <f ca="1">AW32*(1+Indexation!$C$7)</f>
        <v>3.773437968128766</v>
      </c>
      <c r="AX42" s="303">
        <f>AP42*AW42/1000</f>
        <v>1183.1949641687415</v>
      </c>
      <c r="AY42" s="303">
        <f>AS42*AW42/1000</f>
        <v>0</v>
      </c>
      <c r="AZ42" s="303">
        <f>SUM(AX42:AY42)</f>
        <v>1183.1949641687415</v>
      </c>
      <c r="BA42" s="253">
        <f>AT42*AW42/1000</f>
        <v>0</v>
      </c>
      <c r="BB42" s="253">
        <f>AU42*AW42/1000</f>
        <v>0</v>
      </c>
      <c r="BC42" s="253">
        <f>BA42+BB42</f>
        <v>0</v>
      </c>
      <c r="BD42" s="310"/>
      <c r="BE42" s="307">
        <f>G10-F10</f>
        <v>1233</v>
      </c>
      <c r="BF42" s="17">
        <v>1.0789844859821107</v>
      </c>
      <c r="BG42" s="307">
        <f>BE42*BF42</f>
        <v>1330.3878712159426</v>
      </c>
      <c r="BH42" s="309">
        <f ca="1">BH32*(1+Indexation!$C$7)</f>
        <v>20.247236058955647</v>
      </c>
      <c r="BI42" s="311">
        <f>BK42-BJ42</f>
        <v>26.936677278480673</v>
      </c>
      <c r="BJ42" s="311">
        <f>(O42+AG42+AY42)/(P42+AH42+AZ42)*BK42</f>
        <v>0</v>
      </c>
      <c r="BK42" s="311">
        <f>BG42*BH42/1000</f>
        <v>26.936677278480673</v>
      </c>
      <c r="BL42" s="312">
        <f t="shared" ref="BL42:BM44" si="26">Q42+AI42+BA42+BI42</f>
        <v>26.936677278480673</v>
      </c>
      <c r="BM42" s="312">
        <f t="shared" si="26"/>
        <v>0</v>
      </c>
      <c r="BN42" s="312">
        <f>SUM(BL42:BM42)</f>
        <v>26.936677278480673</v>
      </c>
    </row>
    <row r="43" spans="1:66" ht="14.25" customHeight="1">
      <c r="A43" s="249" t="s">
        <v>15</v>
      </c>
      <c r="B43" s="249"/>
      <c r="C43" s="307">
        <v>782924.42220000003</v>
      </c>
      <c r="D43" s="307">
        <v>0</v>
      </c>
      <c r="E43" s="24">
        <v>1</v>
      </c>
      <c r="F43" s="307">
        <f t="shared" si="17"/>
        <v>1370117.7388500001</v>
      </c>
      <c r="G43" s="307">
        <f t="shared" si="17"/>
        <v>0</v>
      </c>
      <c r="H43" s="307">
        <f t="shared" si="18"/>
        <v>1370117.7388500001</v>
      </c>
      <c r="I43" s="307">
        <f t="shared" si="18"/>
        <v>0</v>
      </c>
      <c r="J43" s="307">
        <f t="shared" si="19"/>
        <v>0</v>
      </c>
      <c r="K43" s="307">
        <f t="shared" si="19"/>
        <v>0</v>
      </c>
      <c r="L43" s="250">
        <f>SUM(J43:K43)</f>
        <v>0</v>
      </c>
      <c r="M43" s="309">
        <f ca="1">M33*(1+Indexation!$C$7)</f>
        <v>1.575004289779715</v>
      </c>
      <c r="N43" s="303">
        <f>F43*M43/1000</f>
        <v>2157.9413161920334</v>
      </c>
      <c r="O43" s="303">
        <f>I43*M43/1000</f>
        <v>0</v>
      </c>
      <c r="P43" s="303">
        <f>SUM(N43:O43)</f>
        <v>2157.9413161920334</v>
      </c>
      <c r="Q43" s="253">
        <f>J43*M43/1000</f>
        <v>0</v>
      </c>
      <c r="R43" s="253">
        <f>K43*M43/1000</f>
        <v>0</v>
      </c>
      <c r="S43" s="253">
        <f>Q43+R43</f>
        <v>0</v>
      </c>
      <c r="T43" s="310"/>
      <c r="U43" s="307">
        <v>2174694.5161802578</v>
      </c>
      <c r="V43" s="307">
        <v>0</v>
      </c>
      <c r="W43" s="24">
        <v>1</v>
      </c>
      <c r="X43" s="307">
        <f t="shared" si="20"/>
        <v>3805715.403315451</v>
      </c>
      <c r="Y43" s="307">
        <f t="shared" si="20"/>
        <v>0</v>
      </c>
      <c r="Z43" s="307">
        <f t="shared" si="21"/>
        <v>3805715.403315451</v>
      </c>
      <c r="AA43" s="307">
        <f t="shared" si="21"/>
        <v>0</v>
      </c>
      <c r="AB43" s="307">
        <f t="shared" si="22"/>
        <v>0</v>
      </c>
      <c r="AC43" s="307">
        <f t="shared" si="22"/>
        <v>0</v>
      </c>
      <c r="AD43" s="250">
        <f>SUM(AB43:AC43)</f>
        <v>0</v>
      </c>
      <c r="AE43" s="309">
        <f ca="1">AE33*(1+Indexation!$C$7)</f>
        <v>0.63656730571771325</v>
      </c>
      <c r="AF43" s="303">
        <f>X43*AE43/1000</f>
        <v>2422.5940006169171</v>
      </c>
      <c r="AG43" s="303">
        <f>AA43*AE43/1000</f>
        <v>0</v>
      </c>
      <c r="AH43" s="303">
        <f>SUM(AF43:AG43)</f>
        <v>2422.5940006169171</v>
      </c>
      <c r="AI43" s="253">
        <f>AB43*AE43/1000</f>
        <v>0</v>
      </c>
      <c r="AJ43" s="253">
        <f>AC43*AE43/1000</f>
        <v>0</v>
      </c>
      <c r="AK43" s="253">
        <f>AI43+AJ43</f>
        <v>0</v>
      </c>
      <c r="AL43" s="310"/>
      <c r="AM43" s="307">
        <v>193017.5</v>
      </c>
      <c r="AN43" s="307">
        <v>0</v>
      </c>
      <c r="AO43" s="24">
        <v>1</v>
      </c>
      <c r="AP43" s="307">
        <f t="shared" si="23"/>
        <v>337780.625</v>
      </c>
      <c r="AQ43" s="307">
        <f t="shared" si="23"/>
        <v>0</v>
      </c>
      <c r="AR43" s="307">
        <f t="shared" si="24"/>
        <v>337780.625</v>
      </c>
      <c r="AS43" s="307">
        <f t="shared" si="24"/>
        <v>0</v>
      </c>
      <c r="AT43" s="307">
        <f t="shared" si="25"/>
        <v>0</v>
      </c>
      <c r="AU43" s="307">
        <f t="shared" si="25"/>
        <v>0</v>
      </c>
      <c r="AV43" s="250">
        <f>SUM(AT43:AU43)</f>
        <v>0</v>
      </c>
      <c r="AW43" s="309">
        <f ca="1">AW33*(1+Indexation!$C$7)</f>
        <v>3.876876154850033</v>
      </c>
      <c r="AX43" s="303">
        <f>AP43*AW43/1000</f>
        <v>1309.533650632841</v>
      </c>
      <c r="AY43" s="303">
        <f>AS43*AW43/1000</f>
        <v>0</v>
      </c>
      <c r="AZ43" s="303">
        <f>SUM(AX43:AY43)</f>
        <v>1309.533650632841</v>
      </c>
      <c r="BA43" s="253">
        <f>AT43*AW43/1000</f>
        <v>0</v>
      </c>
      <c r="BB43" s="253">
        <f>AU43*AW43/1000</f>
        <v>0</v>
      </c>
      <c r="BC43" s="253">
        <f>BA43+BB43</f>
        <v>0</v>
      </c>
      <c r="BD43" s="310"/>
      <c r="BE43" s="307">
        <f>G11-F11</f>
        <v>1273</v>
      </c>
      <c r="BF43" s="17">
        <v>1.0554522962647099</v>
      </c>
      <c r="BG43" s="307">
        <f>BE43*BF43</f>
        <v>1343.5907731449759</v>
      </c>
      <c r="BH43" s="309">
        <f ca="1">BH33*(1+Indexation!$C$7)</f>
        <v>20.802257077386319</v>
      </c>
      <c r="BI43" s="311">
        <f>BK43-BJ43</f>
        <v>27.94972066976603</v>
      </c>
      <c r="BJ43" s="311">
        <f>(O43+AG43+AY43)/(P43+AH43+AZ43)*BK43</f>
        <v>0</v>
      </c>
      <c r="BK43" s="311">
        <f>BG43*BH43/1000</f>
        <v>27.94972066976603</v>
      </c>
      <c r="BL43" s="312">
        <f t="shared" si="26"/>
        <v>27.94972066976603</v>
      </c>
      <c r="BM43" s="312">
        <f t="shared" si="26"/>
        <v>0</v>
      </c>
      <c r="BN43" s="312">
        <f>SUM(BL43:BM43)</f>
        <v>27.94972066976603</v>
      </c>
    </row>
    <row r="44" spans="1:66" ht="14.25" customHeight="1" thickBot="1">
      <c r="A44" s="269" t="s">
        <v>17</v>
      </c>
      <c r="B44" s="269"/>
      <c r="C44" s="279">
        <v>493213.64448899997</v>
      </c>
      <c r="D44" s="279">
        <v>333492.99</v>
      </c>
      <c r="E44" s="313">
        <v>0.22</v>
      </c>
      <c r="F44" s="279">
        <f t="shared" si="17"/>
        <v>574593.89582968503</v>
      </c>
      <c r="G44" s="279">
        <f t="shared" si="17"/>
        <v>388519.33335000003</v>
      </c>
      <c r="H44" s="279">
        <f t="shared" si="18"/>
        <v>574593.89582968503</v>
      </c>
      <c r="I44" s="279">
        <f t="shared" si="18"/>
        <v>388519.33335000003</v>
      </c>
      <c r="J44" s="279">
        <f t="shared" si="19"/>
        <v>0</v>
      </c>
      <c r="K44" s="279">
        <f t="shared" si="19"/>
        <v>0</v>
      </c>
      <c r="L44" s="271">
        <f>SUM(J44:K44)</f>
        <v>0</v>
      </c>
      <c r="M44" s="281">
        <f ca="1">M34*(1+Indexation!$C$7)</f>
        <v>1.5214839738842625</v>
      </c>
      <c r="N44" s="305">
        <f>F44*M44/1000</f>
        <v>874.23540399658918</v>
      </c>
      <c r="O44" s="305">
        <f>I44*M44/1000</f>
        <v>591.12593923622251</v>
      </c>
      <c r="P44" s="305">
        <f>SUM(N44:O44)</f>
        <v>1465.3613432328116</v>
      </c>
      <c r="Q44" s="275">
        <f>J44*M44/1000</f>
        <v>0</v>
      </c>
      <c r="R44" s="275">
        <f>K44*M44/1000</f>
        <v>0</v>
      </c>
      <c r="S44" s="275">
        <f>Q44+R44</f>
        <v>0</v>
      </c>
      <c r="T44" s="280"/>
      <c r="U44" s="279">
        <v>913047</v>
      </c>
      <c r="V44" s="279">
        <v>170365</v>
      </c>
      <c r="W44" s="313">
        <v>0.9</v>
      </c>
      <c r="X44" s="279">
        <f t="shared" si="20"/>
        <v>1529353.7249999999</v>
      </c>
      <c r="Y44" s="279">
        <f t="shared" si="20"/>
        <v>285361.375</v>
      </c>
      <c r="Z44" s="279">
        <f t="shared" si="21"/>
        <v>1529353.7249999999</v>
      </c>
      <c r="AA44" s="279">
        <f t="shared" si="21"/>
        <v>285361.375</v>
      </c>
      <c r="AB44" s="279">
        <f t="shared" si="22"/>
        <v>0</v>
      </c>
      <c r="AC44" s="279">
        <f t="shared" si="22"/>
        <v>0</v>
      </c>
      <c r="AD44" s="271">
        <f>SUM(AB44:AC44)</f>
        <v>0</v>
      </c>
      <c r="AE44" s="281">
        <f ca="1">AE34*(1+Indexation!$C$7)</f>
        <v>0.61493607365580327</v>
      </c>
      <c r="AF44" s="305">
        <f>X44*AE44/1000</f>
        <v>940.45477488237702</v>
      </c>
      <c r="AG44" s="305">
        <f>AA44*AE44/1000</f>
        <v>175.4790035155213</v>
      </c>
      <c r="AH44" s="305">
        <f>SUM(AF44:AG44)</f>
        <v>1115.9337783978983</v>
      </c>
      <c r="AI44" s="275">
        <f>AB44*AE44/1000</f>
        <v>0</v>
      </c>
      <c r="AJ44" s="275">
        <f>AC44*AE44/1000</f>
        <v>0</v>
      </c>
      <c r="AK44" s="275">
        <f>AI44+AJ44</f>
        <v>0</v>
      </c>
      <c r="AL44" s="280"/>
      <c r="AM44" s="279">
        <v>132102</v>
      </c>
      <c r="AN44" s="279">
        <v>5574.46</v>
      </c>
      <c r="AO44" s="313">
        <v>1</v>
      </c>
      <c r="AP44" s="279">
        <f t="shared" si="23"/>
        <v>231178.5</v>
      </c>
      <c r="AQ44" s="279">
        <f t="shared" si="23"/>
        <v>9755.3050000000003</v>
      </c>
      <c r="AR44" s="279">
        <f t="shared" si="24"/>
        <v>231178.5</v>
      </c>
      <c r="AS44" s="279">
        <f t="shared" si="24"/>
        <v>9755.3050000000003</v>
      </c>
      <c r="AT44" s="279">
        <f t="shared" si="25"/>
        <v>0</v>
      </c>
      <c r="AU44" s="279">
        <f t="shared" si="25"/>
        <v>0</v>
      </c>
      <c r="AV44" s="271">
        <f>SUM(AT44:AU44)</f>
        <v>0</v>
      </c>
      <c r="AW44" s="281">
        <f ca="1">AW34*(1+Indexation!$C$7)</f>
        <v>3.7451357920830581</v>
      </c>
      <c r="AX44" s="305">
        <f>AP44*AW44/1000</f>
        <v>865.79487471007326</v>
      </c>
      <c r="AY44" s="305">
        <f>AS44*AW44/1000</f>
        <v>36.534941918186824</v>
      </c>
      <c r="AZ44" s="305">
        <f>SUM(AX44:AY44)</f>
        <v>902.32981662826012</v>
      </c>
      <c r="BA44" s="275">
        <f>AT44*AW44/1000</f>
        <v>0</v>
      </c>
      <c r="BB44" s="275">
        <f>AU44*AW44/1000</f>
        <v>0</v>
      </c>
      <c r="BC44" s="275">
        <f>BA44+BB44</f>
        <v>0</v>
      </c>
      <c r="BD44" s="280"/>
      <c r="BE44" s="279">
        <f>G12-F12</f>
        <v>906</v>
      </c>
      <c r="BF44" s="272">
        <v>0.98361975215267461</v>
      </c>
      <c r="BG44" s="279">
        <f>BE44*BF44</f>
        <v>891.15949545032322</v>
      </c>
      <c r="BH44" s="281">
        <f ca="1">BH34*(1+Indexation!$C$7)</f>
        <v>20.095374323260078</v>
      </c>
      <c r="BI44" s="314">
        <f>BK44-BJ44</f>
        <v>13.779502513105946</v>
      </c>
      <c r="BJ44" s="314">
        <f>(O44+AG44+AY44)/(P44+AH44+AZ44)*BK44</f>
        <v>4.1286811296958845</v>
      </c>
      <c r="BK44" s="314">
        <f>BG44*BH44/1000</f>
        <v>17.908183642801831</v>
      </c>
      <c r="BL44" s="315">
        <f t="shared" si="26"/>
        <v>13.779502513105946</v>
      </c>
      <c r="BM44" s="315">
        <f t="shared" si="26"/>
        <v>4.1286811296958845</v>
      </c>
      <c r="BN44" s="315">
        <f>SUM(BL44:BM44)</f>
        <v>17.908183642801831</v>
      </c>
    </row>
    <row r="45" spans="1:66" ht="12.75" customHeight="1">
      <c r="A45" s="10"/>
    </row>
    <row r="46" spans="1:66" ht="15.75">
      <c r="A46" s="20" t="s">
        <v>206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13.5" thickBot="1">
      <c r="A47" s="172"/>
      <c r="B47" s="17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50"/>
      <c r="BF47" s="50"/>
      <c r="BG47" s="50"/>
      <c r="BH47" s="50"/>
      <c r="BI47" s="50"/>
      <c r="BJ47" s="50"/>
      <c r="BK47" s="50"/>
      <c r="BL47" s="50"/>
      <c r="BM47" s="50"/>
      <c r="BN47" s="50"/>
    </row>
    <row r="48" spans="1:66" ht="13.5" customHeight="1">
      <c r="A48" s="351" t="s">
        <v>0</v>
      </c>
      <c r="C48" s="357" t="s">
        <v>45</v>
      </c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49"/>
      <c r="T48" s="36"/>
      <c r="U48" s="357" t="s">
        <v>50</v>
      </c>
      <c r="V48" s="357"/>
      <c r="W48" s="357"/>
      <c r="X48" s="357"/>
      <c r="Y48" s="357"/>
      <c r="Z48" s="357"/>
      <c r="AA48" s="357"/>
      <c r="AB48" s="357"/>
      <c r="AC48" s="357"/>
      <c r="AD48" s="357"/>
      <c r="AE48" s="357"/>
      <c r="AF48" s="357"/>
      <c r="AG48" s="357"/>
      <c r="AH48" s="357"/>
      <c r="AI48" s="357"/>
      <c r="AJ48" s="357"/>
      <c r="AK48" s="49"/>
      <c r="AL48" s="36"/>
      <c r="AM48" s="357" t="s">
        <v>52</v>
      </c>
      <c r="AN48" s="357"/>
      <c r="AO48" s="357"/>
      <c r="AP48" s="357"/>
      <c r="AQ48" s="357"/>
      <c r="AR48" s="357"/>
      <c r="AS48" s="357"/>
      <c r="AT48" s="357"/>
      <c r="AU48" s="357"/>
      <c r="AV48" s="357"/>
      <c r="AW48" s="357"/>
      <c r="AX48" s="357"/>
      <c r="AY48" s="357"/>
      <c r="AZ48" s="357"/>
      <c r="BA48" s="357"/>
      <c r="BB48" s="357"/>
      <c r="BC48" s="49"/>
      <c r="BD48" s="36"/>
      <c r="BE48" s="373" t="s">
        <v>53</v>
      </c>
      <c r="BF48" s="373"/>
      <c r="BG48" s="373"/>
      <c r="BH48" s="373"/>
      <c r="BI48" s="373"/>
      <c r="BJ48" s="373"/>
      <c r="BK48" s="373"/>
      <c r="BL48" s="370" t="s">
        <v>21</v>
      </c>
      <c r="BM48" s="370"/>
      <c r="BN48" s="370"/>
    </row>
    <row r="49" spans="1:66" ht="63.75" customHeight="1">
      <c r="A49" s="351"/>
      <c r="B49" s="34"/>
      <c r="C49" s="365" t="s">
        <v>46</v>
      </c>
      <c r="D49" s="365"/>
      <c r="E49" s="28" t="s">
        <v>51</v>
      </c>
      <c r="F49" s="365" t="s">
        <v>49</v>
      </c>
      <c r="G49" s="365"/>
      <c r="H49" s="365" t="s">
        <v>145</v>
      </c>
      <c r="I49" s="365"/>
      <c r="J49" s="368" t="s">
        <v>146</v>
      </c>
      <c r="K49" s="368"/>
      <c r="L49" s="368"/>
      <c r="M49" s="28" t="s">
        <v>113</v>
      </c>
      <c r="N49" s="375" t="s">
        <v>147</v>
      </c>
      <c r="O49" s="375"/>
      <c r="P49" s="375"/>
      <c r="Q49" s="374" t="s">
        <v>142</v>
      </c>
      <c r="R49" s="374"/>
      <c r="S49" s="374"/>
      <c r="T49" s="45"/>
      <c r="U49" s="365" t="s">
        <v>46</v>
      </c>
      <c r="V49" s="365"/>
      <c r="W49" s="28" t="s">
        <v>51</v>
      </c>
      <c r="X49" s="365" t="s">
        <v>49</v>
      </c>
      <c r="Y49" s="365"/>
      <c r="Z49" s="365" t="s">
        <v>145</v>
      </c>
      <c r="AA49" s="365"/>
      <c r="AB49" s="368" t="s">
        <v>146</v>
      </c>
      <c r="AC49" s="368"/>
      <c r="AD49" s="368"/>
      <c r="AE49" s="28" t="s">
        <v>113</v>
      </c>
      <c r="AF49" s="375" t="s">
        <v>147</v>
      </c>
      <c r="AG49" s="375"/>
      <c r="AH49" s="375"/>
      <c r="AI49" s="374" t="s">
        <v>142</v>
      </c>
      <c r="AJ49" s="374"/>
      <c r="AK49" s="374"/>
      <c r="AL49" s="45"/>
      <c r="AM49" s="365" t="s">
        <v>46</v>
      </c>
      <c r="AN49" s="365"/>
      <c r="AO49" s="28" t="s">
        <v>51</v>
      </c>
      <c r="AP49" s="365" t="s">
        <v>49</v>
      </c>
      <c r="AQ49" s="365"/>
      <c r="AR49" s="365" t="s">
        <v>145</v>
      </c>
      <c r="AS49" s="365"/>
      <c r="AT49" s="368" t="s">
        <v>146</v>
      </c>
      <c r="AU49" s="368"/>
      <c r="AV49" s="368"/>
      <c r="AW49" s="28" t="s">
        <v>113</v>
      </c>
      <c r="AX49" s="375" t="s">
        <v>147</v>
      </c>
      <c r="AY49" s="375"/>
      <c r="AZ49" s="375"/>
      <c r="BA49" s="374" t="s">
        <v>142</v>
      </c>
      <c r="BB49" s="374"/>
      <c r="BC49" s="374"/>
      <c r="BD49" s="45"/>
      <c r="BE49" s="368" t="s">
        <v>220</v>
      </c>
      <c r="BF49" s="368" t="s">
        <v>24</v>
      </c>
      <c r="BG49" s="368" t="s">
        <v>143</v>
      </c>
      <c r="BH49" s="28" t="s">
        <v>113</v>
      </c>
      <c r="BI49" s="374" t="s">
        <v>142</v>
      </c>
      <c r="BJ49" s="374"/>
      <c r="BK49" s="374"/>
      <c r="BL49" s="376" t="s">
        <v>142</v>
      </c>
      <c r="BM49" s="376"/>
      <c r="BN49" s="376"/>
    </row>
    <row r="50" spans="1:66" ht="17.25" customHeight="1">
      <c r="A50" s="351"/>
      <c r="B50" s="34"/>
      <c r="C50" s="28" t="s">
        <v>47</v>
      </c>
      <c r="D50" s="28" t="s">
        <v>48</v>
      </c>
      <c r="E50" s="28">
        <v>1.75</v>
      </c>
      <c r="F50" s="28" t="s">
        <v>47</v>
      </c>
      <c r="G50" s="28" t="s">
        <v>48</v>
      </c>
      <c r="H50" s="28" t="s">
        <v>47</v>
      </c>
      <c r="I50" s="28" t="s">
        <v>48</v>
      </c>
      <c r="J50" s="28" t="s">
        <v>47</v>
      </c>
      <c r="K50" s="28" t="s">
        <v>48</v>
      </c>
      <c r="L50" s="28" t="s">
        <v>21</v>
      </c>
      <c r="M50" s="14"/>
      <c r="N50" s="138" t="s">
        <v>47</v>
      </c>
      <c r="O50" s="138" t="s">
        <v>48</v>
      </c>
      <c r="P50" s="138" t="s">
        <v>21</v>
      </c>
      <c r="Q50" s="125" t="s">
        <v>47</v>
      </c>
      <c r="R50" s="125" t="s">
        <v>48</v>
      </c>
      <c r="S50" s="125" t="s">
        <v>21</v>
      </c>
      <c r="T50" s="45"/>
      <c r="U50" s="28" t="s">
        <v>47</v>
      </c>
      <c r="V50" s="28" t="s">
        <v>48</v>
      </c>
      <c r="W50" s="28">
        <v>1.75</v>
      </c>
      <c r="X50" s="28" t="s">
        <v>47</v>
      </c>
      <c r="Y50" s="28" t="s">
        <v>48</v>
      </c>
      <c r="Z50" s="28" t="s">
        <v>47</v>
      </c>
      <c r="AA50" s="28" t="s">
        <v>48</v>
      </c>
      <c r="AB50" s="28" t="s">
        <v>47</v>
      </c>
      <c r="AC50" s="28" t="s">
        <v>48</v>
      </c>
      <c r="AD50" s="28" t="s">
        <v>21</v>
      </c>
      <c r="AE50" s="14"/>
      <c r="AF50" s="138" t="s">
        <v>47</v>
      </c>
      <c r="AG50" s="138" t="s">
        <v>48</v>
      </c>
      <c r="AH50" s="138" t="s">
        <v>21</v>
      </c>
      <c r="AI50" s="125" t="s">
        <v>47</v>
      </c>
      <c r="AJ50" s="125" t="s">
        <v>48</v>
      </c>
      <c r="AK50" s="125" t="s">
        <v>21</v>
      </c>
      <c r="AL50" s="45"/>
      <c r="AM50" s="28" t="s">
        <v>47</v>
      </c>
      <c r="AN50" s="28" t="s">
        <v>48</v>
      </c>
      <c r="AO50" s="28">
        <v>1.75</v>
      </c>
      <c r="AP50" s="28" t="s">
        <v>47</v>
      </c>
      <c r="AQ50" s="28" t="s">
        <v>48</v>
      </c>
      <c r="AR50" s="28" t="s">
        <v>47</v>
      </c>
      <c r="AS50" s="28" t="s">
        <v>48</v>
      </c>
      <c r="AT50" s="28" t="s">
        <v>47</v>
      </c>
      <c r="AU50" s="28" t="s">
        <v>48</v>
      </c>
      <c r="AV50" s="28" t="s">
        <v>21</v>
      </c>
      <c r="AW50" s="28"/>
      <c r="AX50" s="138" t="s">
        <v>47</v>
      </c>
      <c r="AY50" s="138" t="s">
        <v>48</v>
      </c>
      <c r="AZ50" s="138" t="s">
        <v>21</v>
      </c>
      <c r="BA50" s="125" t="s">
        <v>47</v>
      </c>
      <c r="BB50" s="125" t="s">
        <v>48</v>
      </c>
      <c r="BC50" s="125" t="s">
        <v>21</v>
      </c>
      <c r="BD50" s="45"/>
      <c r="BE50" s="365"/>
      <c r="BF50" s="365"/>
      <c r="BG50" s="365"/>
      <c r="BH50" s="28"/>
      <c r="BI50" s="125" t="s">
        <v>47</v>
      </c>
      <c r="BJ50" s="125" t="s">
        <v>48</v>
      </c>
      <c r="BK50" s="125" t="s">
        <v>21</v>
      </c>
      <c r="BL50" s="134" t="s">
        <v>47</v>
      </c>
      <c r="BM50" s="134" t="s">
        <v>48</v>
      </c>
      <c r="BN50" s="134" t="s">
        <v>21</v>
      </c>
    </row>
    <row r="51" spans="1:66" ht="18" customHeight="1">
      <c r="A51" s="33"/>
      <c r="B51" s="301"/>
      <c r="C51" s="16" t="s">
        <v>43</v>
      </c>
      <c r="D51" s="16" t="s">
        <v>43</v>
      </c>
      <c r="E51" s="16"/>
      <c r="F51" s="16" t="s">
        <v>43</v>
      </c>
      <c r="G51" s="16" t="s">
        <v>43</v>
      </c>
      <c r="H51" s="16" t="s">
        <v>43</v>
      </c>
      <c r="I51" s="16" t="s">
        <v>43</v>
      </c>
      <c r="J51" s="16" t="s">
        <v>43</v>
      </c>
      <c r="K51" s="16" t="s">
        <v>43</v>
      </c>
      <c r="L51" s="16" t="s">
        <v>43</v>
      </c>
      <c r="M51" s="16" t="s">
        <v>117</v>
      </c>
      <c r="N51" s="131" t="s">
        <v>1</v>
      </c>
      <c r="O51" s="131" t="s">
        <v>1</v>
      </c>
      <c r="P51" s="131" t="s">
        <v>1</v>
      </c>
      <c r="Q51" s="119" t="s">
        <v>1</v>
      </c>
      <c r="R51" s="119" t="s">
        <v>1</v>
      </c>
      <c r="S51" s="119" t="s">
        <v>1</v>
      </c>
      <c r="T51" s="308"/>
      <c r="U51" s="16" t="s">
        <v>43</v>
      </c>
      <c r="V51" s="16" t="s">
        <v>43</v>
      </c>
      <c r="W51" s="16"/>
      <c r="X51" s="16" t="s">
        <v>43</v>
      </c>
      <c r="Y51" s="16" t="s">
        <v>43</v>
      </c>
      <c r="Z51" s="16" t="s">
        <v>43</v>
      </c>
      <c r="AA51" s="16" t="s">
        <v>43</v>
      </c>
      <c r="AB51" s="16" t="s">
        <v>43</v>
      </c>
      <c r="AC51" s="16" t="s">
        <v>43</v>
      </c>
      <c r="AD51" s="16" t="s">
        <v>43</v>
      </c>
      <c r="AE51" s="16" t="s">
        <v>117</v>
      </c>
      <c r="AF51" s="131" t="s">
        <v>1</v>
      </c>
      <c r="AG51" s="131" t="s">
        <v>1</v>
      </c>
      <c r="AH51" s="131" t="s">
        <v>1</v>
      </c>
      <c r="AI51" s="119" t="s">
        <v>1</v>
      </c>
      <c r="AJ51" s="119" t="s">
        <v>1</v>
      </c>
      <c r="AK51" s="119" t="s">
        <v>1</v>
      </c>
      <c r="AL51" s="308"/>
      <c r="AM51" s="16" t="s">
        <v>43</v>
      </c>
      <c r="AN51" s="16" t="s">
        <v>43</v>
      </c>
      <c r="AO51" s="16"/>
      <c r="AP51" s="16" t="s">
        <v>43</v>
      </c>
      <c r="AQ51" s="16" t="s">
        <v>43</v>
      </c>
      <c r="AR51" s="16" t="s">
        <v>43</v>
      </c>
      <c r="AS51" s="16" t="s">
        <v>43</v>
      </c>
      <c r="AT51" s="16" t="s">
        <v>43</v>
      </c>
      <c r="AU51" s="16" t="s">
        <v>43</v>
      </c>
      <c r="AV51" s="16" t="s">
        <v>43</v>
      </c>
      <c r="AW51" s="16" t="s">
        <v>117</v>
      </c>
      <c r="AX51" s="131" t="s">
        <v>1</v>
      </c>
      <c r="AY51" s="131" t="s">
        <v>1</v>
      </c>
      <c r="AZ51" s="131" t="s">
        <v>1</v>
      </c>
      <c r="BA51" s="119" t="s">
        <v>1</v>
      </c>
      <c r="BB51" s="119" t="s">
        <v>1</v>
      </c>
      <c r="BC51" s="119" t="s">
        <v>1</v>
      </c>
      <c r="BD51" s="308"/>
      <c r="BE51" s="16" t="s">
        <v>23</v>
      </c>
      <c r="BF51" s="16"/>
      <c r="BG51" s="16" t="s">
        <v>23</v>
      </c>
      <c r="BH51" s="16" t="s">
        <v>144</v>
      </c>
      <c r="BI51" s="119" t="s">
        <v>1</v>
      </c>
      <c r="BJ51" s="119" t="s">
        <v>1</v>
      </c>
      <c r="BK51" s="119" t="s">
        <v>1</v>
      </c>
      <c r="BL51" s="122" t="s">
        <v>1</v>
      </c>
      <c r="BM51" s="122" t="s">
        <v>1</v>
      </c>
      <c r="BN51" s="122" t="s">
        <v>1</v>
      </c>
    </row>
    <row r="52" spans="1:66" ht="14.25" customHeight="1">
      <c r="A52" s="249" t="s">
        <v>4</v>
      </c>
      <c r="B52" s="249"/>
      <c r="C52" s="307">
        <v>427604.73043700005</v>
      </c>
      <c r="D52" s="307">
        <v>0</v>
      </c>
      <c r="E52" s="24">
        <v>1</v>
      </c>
      <c r="F52" s="307">
        <f t="shared" ref="F52:G54" si="27">C52*(1-$E52)+C52*($E52*$E$40)</f>
        <v>748308.27826475003</v>
      </c>
      <c r="G52" s="307">
        <f t="shared" si="27"/>
        <v>0</v>
      </c>
      <c r="H52" s="307">
        <f t="shared" ref="H52:I54" si="28">F42</f>
        <v>748308.27826475003</v>
      </c>
      <c r="I52" s="307">
        <f t="shared" si="28"/>
        <v>0</v>
      </c>
      <c r="J52" s="307">
        <f t="shared" ref="J52:K54" si="29">F52-H52</f>
        <v>0</v>
      </c>
      <c r="K52" s="307">
        <f t="shared" si="29"/>
        <v>0</v>
      </c>
      <c r="L52" s="250">
        <f>SUM(J52:K52)</f>
        <v>0</v>
      </c>
      <c r="M52" s="309">
        <f ca="1">M42*(1+Indexation!$C$8)</f>
        <v>1.5483117224111747</v>
      </c>
      <c r="N52" s="303">
        <f>F52*M52/1000</f>
        <v>1158.6144792146356</v>
      </c>
      <c r="O52" s="303">
        <f>I52*M52/1000</f>
        <v>0</v>
      </c>
      <c r="P52" s="303">
        <f>SUM(N52:O52)</f>
        <v>1158.6144792146356</v>
      </c>
      <c r="Q52" s="253">
        <f>J52*M52/1000</f>
        <v>0</v>
      </c>
      <c r="R52" s="253">
        <f>K52*M52/1000</f>
        <v>0</v>
      </c>
      <c r="S52" s="253">
        <f>Q52+R52</f>
        <v>0</v>
      </c>
      <c r="T52" s="310"/>
      <c r="U52" s="307">
        <v>1746850</v>
      </c>
      <c r="V52" s="307">
        <v>0</v>
      </c>
      <c r="W52" s="24">
        <v>1</v>
      </c>
      <c r="X52" s="307">
        <f t="shared" ref="X52:Y54" si="30">U52*(1-$W52)+U52*($W52*$W$30)</f>
        <v>3056987.5</v>
      </c>
      <c r="Y52" s="307">
        <f t="shared" si="30"/>
        <v>0</v>
      </c>
      <c r="Z52" s="307">
        <f t="shared" ref="Z52:AA54" si="31">X42</f>
        <v>3056987.5</v>
      </c>
      <c r="AA52" s="307">
        <f t="shared" si="31"/>
        <v>0</v>
      </c>
      <c r="AB52" s="307">
        <f t="shared" ref="AB52:AC54" si="32">X52-Z52</f>
        <v>0</v>
      </c>
      <c r="AC52" s="307">
        <f t="shared" si="32"/>
        <v>0</v>
      </c>
      <c r="AD52" s="250">
        <f>SUM(AB52:AC52)</f>
        <v>0</v>
      </c>
      <c r="AE52" s="309">
        <f ca="1">AE42*(1+Indexation!$C$8)</f>
        <v>0.62577900767767636</v>
      </c>
      <c r="AF52" s="303">
        <f>X52*AE52/1000</f>
        <v>1912.9986042330606</v>
      </c>
      <c r="AG52" s="303">
        <f>AA52*AE52/1000</f>
        <v>0</v>
      </c>
      <c r="AH52" s="303">
        <f>SUM(AF52:AG52)</f>
        <v>1912.9986042330606</v>
      </c>
      <c r="AI52" s="253">
        <f>AB52*AE52/1000</f>
        <v>0</v>
      </c>
      <c r="AJ52" s="253">
        <f>AC52*AE52/1000</f>
        <v>0</v>
      </c>
      <c r="AK52" s="253">
        <f>AI52+AJ52</f>
        <v>0</v>
      </c>
      <c r="AL52" s="310"/>
      <c r="AM52" s="307">
        <v>179176.5</v>
      </c>
      <c r="AN52" s="307">
        <v>0</v>
      </c>
      <c r="AO52" s="24">
        <v>1</v>
      </c>
      <c r="AP52" s="307">
        <f t="shared" ref="AP52:AQ54" si="33">AM52*(1-$AO52)+AM52*($AO52*$AO$30)</f>
        <v>313558.875</v>
      </c>
      <c r="AQ52" s="307">
        <f t="shared" si="33"/>
        <v>0</v>
      </c>
      <c r="AR52" s="307">
        <f t="shared" ref="AR52:AS54" si="34">AP42</f>
        <v>313558.875</v>
      </c>
      <c r="AS52" s="307">
        <f t="shared" si="34"/>
        <v>0</v>
      </c>
      <c r="AT52" s="307">
        <f t="shared" ref="AT52:AU54" si="35">AP52-AR52</f>
        <v>0</v>
      </c>
      <c r="AU52" s="307">
        <f t="shared" si="35"/>
        <v>0</v>
      </c>
      <c r="AV52" s="250">
        <f>SUM(AT52:AU52)</f>
        <v>0</v>
      </c>
      <c r="AW52" s="309">
        <f ca="1">AW42*(1+Indexation!$C$8)</f>
        <v>3.8111723478100537</v>
      </c>
      <c r="AX52" s="303">
        <f>AP52*AW52/1000</f>
        <v>1195.0269138104291</v>
      </c>
      <c r="AY52" s="303">
        <f>AS52*AW52/1000</f>
        <v>0</v>
      </c>
      <c r="AZ52" s="303">
        <f>SUM(AX52:AY52)</f>
        <v>1195.0269138104291</v>
      </c>
      <c r="BA52" s="253">
        <f>AT52*AW52/1000</f>
        <v>0</v>
      </c>
      <c r="BB52" s="253">
        <f>AU52*AW52/1000</f>
        <v>0</v>
      </c>
      <c r="BC52" s="253">
        <f>BA52+BB52</f>
        <v>0</v>
      </c>
      <c r="BD52" s="310"/>
      <c r="BE52" s="307">
        <f>H10-G10</f>
        <v>-459.98955429677153</v>
      </c>
      <c r="BF52" s="17">
        <v>1.0789844859821107</v>
      </c>
      <c r="BG52" s="307">
        <f>BE52*BF52</f>
        <v>-496.32159280004225</v>
      </c>
      <c r="BH52" s="309">
        <f ca="1">BH42*(1+Indexation!$C$8)</f>
        <v>20.449708419545203</v>
      </c>
      <c r="BI52" s="311">
        <f>BK52-BJ52</f>
        <v>-10.14963185508511</v>
      </c>
      <c r="BJ52" s="311">
        <f>(O52+AG52+AY52)/(P52+AH52+AZ52)*BK52</f>
        <v>0</v>
      </c>
      <c r="BK52" s="311">
        <f>BG52*BH52/1000</f>
        <v>-10.14963185508511</v>
      </c>
      <c r="BL52" s="312">
        <f t="shared" ref="BL52:BM54" si="36">Q52+AI52+BA52+BI52</f>
        <v>-10.14963185508511</v>
      </c>
      <c r="BM52" s="312">
        <f t="shared" si="36"/>
        <v>0</v>
      </c>
      <c r="BN52" s="312">
        <f>SUM(BL52:BM52)</f>
        <v>-10.14963185508511</v>
      </c>
    </row>
    <row r="53" spans="1:66" ht="14.25" customHeight="1">
      <c r="A53" s="249" t="s">
        <v>15</v>
      </c>
      <c r="B53" s="249"/>
      <c r="C53" s="307">
        <v>782924.42220000003</v>
      </c>
      <c r="D53" s="307">
        <v>0</v>
      </c>
      <c r="E53" s="24">
        <v>1</v>
      </c>
      <c r="F53" s="307">
        <f t="shared" si="27"/>
        <v>1370117.7388500001</v>
      </c>
      <c r="G53" s="307">
        <f t="shared" si="27"/>
        <v>0</v>
      </c>
      <c r="H53" s="307">
        <f t="shared" si="28"/>
        <v>1370117.7388500001</v>
      </c>
      <c r="I53" s="307">
        <f t="shared" si="28"/>
        <v>0</v>
      </c>
      <c r="J53" s="307">
        <f t="shared" si="29"/>
        <v>0</v>
      </c>
      <c r="K53" s="307">
        <f t="shared" si="29"/>
        <v>0</v>
      </c>
      <c r="L53" s="250">
        <f>SUM(J53:K53)</f>
        <v>0</v>
      </c>
      <c r="M53" s="309">
        <f ca="1">M43*(1+Indexation!$C$8)</f>
        <v>1.5907543326775122</v>
      </c>
      <c r="N53" s="303">
        <f>F53*M53/1000</f>
        <v>2179.5207293539538</v>
      </c>
      <c r="O53" s="303">
        <f>I53*M53/1000</f>
        <v>0</v>
      </c>
      <c r="P53" s="303">
        <f>SUM(N53:O53)</f>
        <v>2179.5207293539538</v>
      </c>
      <c r="Q53" s="253">
        <f>J53*M53/1000</f>
        <v>0</v>
      </c>
      <c r="R53" s="253">
        <f>K53*M53/1000</f>
        <v>0</v>
      </c>
      <c r="S53" s="253">
        <f>Q53+R53</f>
        <v>0</v>
      </c>
      <c r="T53" s="310"/>
      <c r="U53" s="307">
        <v>2174694.5161802578</v>
      </c>
      <c r="V53" s="307">
        <v>0</v>
      </c>
      <c r="W53" s="24">
        <v>1</v>
      </c>
      <c r="X53" s="307">
        <f t="shared" si="30"/>
        <v>3805715.403315451</v>
      </c>
      <c r="Y53" s="307">
        <f t="shared" si="30"/>
        <v>0</v>
      </c>
      <c r="Z53" s="307">
        <f t="shared" si="31"/>
        <v>3805715.403315451</v>
      </c>
      <c r="AA53" s="307">
        <f t="shared" si="31"/>
        <v>0</v>
      </c>
      <c r="AB53" s="307">
        <f t="shared" si="32"/>
        <v>0</v>
      </c>
      <c r="AC53" s="307">
        <f t="shared" si="32"/>
        <v>0</v>
      </c>
      <c r="AD53" s="250">
        <f>SUM(AB53:AC53)</f>
        <v>0</v>
      </c>
      <c r="AE53" s="309">
        <f ca="1">AE43*(1+Indexation!$C$8)</f>
        <v>0.64293297877489042</v>
      </c>
      <c r="AF53" s="303">
        <f>X53*AE53/1000</f>
        <v>2446.8199406230865</v>
      </c>
      <c r="AG53" s="303">
        <f>AA53*AE53/1000</f>
        <v>0</v>
      </c>
      <c r="AH53" s="303">
        <f>SUM(AF53:AG53)</f>
        <v>2446.8199406230865</v>
      </c>
      <c r="AI53" s="253">
        <f>AB53*AE53/1000</f>
        <v>0</v>
      </c>
      <c r="AJ53" s="253">
        <f>AC53*AE53/1000</f>
        <v>0</v>
      </c>
      <c r="AK53" s="253">
        <f>AI53+AJ53</f>
        <v>0</v>
      </c>
      <c r="AL53" s="310"/>
      <c r="AM53" s="307">
        <v>193017.5</v>
      </c>
      <c r="AN53" s="307">
        <v>0</v>
      </c>
      <c r="AO53" s="24">
        <v>1</v>
      </c>
      <c r="AP53" s="307">
        <f t="shared" si="33"/>
        <v>337780.625</v>
      </c>
      <c r="AQ53" s="307">
        <f t="shared" si="33"/>
        <v>0</v>
      </c>
      <c r="AR53" s="307">
        <f t="shared" si="34"/>
        <v>337780.625</v>
      </c>
      <c r="AS53" s="307">
        <f t="shared" si="34"/>
        <v>0</v>
      </c>
      <c r="AT53" s="307">
        <f t="shared" si="35"/>
        <v>0</v>
      </c>
      <c r="AU53" s="307">
        <f t="shared" si="35"/>
        <v>0</v>
      </c>
      <c r="AV53" s="250">
        <f>SUM(AT53:AU53)</f>
        <v>0</v>
      </c>
      <c r="AW53" s="309">
        <f ca="1">AW43*(1+Indexation!$C$8)</f>
        <v>3.9156449163985334</v>
      </c>
      <c r="AX53" s="303">
        <f>AP53*AW53/1000</f>
        <v>1322.6289871391693</v>
      </c>
      <c r="AY53" s="303">
        <f>AS53*AW53/1000</f>
        <v>0</v>
      </c>
      <c r="AZ53" s="303">
        <f>SUM(AX53:AY53)</f>
        <v>1322.6289871391693</v>
      </c>
      <c r="BA53" s="253">
        <f>AT53*AW53/1000</f>
        <v>0</v>
      </c>
      <c r="BB53" s="253">
        <f>AU53*AW53/1000</f>
        <v>0</v>
      </c>
      <c r="BC53" s="253">
        <f>BA53+BB53</f>
        <v>0</v>
      </c>
      <c r="BD53" s="310"/>
      <c r="BE53" s="307">
        <f>H11-G11</f>
        <v>-545.6930210286373</v>
      </c>
      <c r="BF53" s="17">
        <v>1.0554522962647099</v>
      </c>
      <c r="BG53" s="307">
        <f>BE53*BF53</f>
        <v>-575.9529521003019</v>
      </c>
      <c r="BH53" s="309">
        <f ca="1">BH43*(1+Indexation!$C$8)</f>
        <v>21.010279648160182</v>
      </c>
      <c r="BI53" s="311">
        <f>BK53-BJ53</f>
        <v>-12.100932587810748</v>
      </c>
      <c r="BJ53" s="311">
        <f>(O53+AG53+AY53)/(P53+AH53+AZ53)*BK53</f>
        <v>0</v>
      </c>
      <c r="BK53" s="311">
        <f>BG53*BH53/1000</f>
        <v>-12.100932587810748</v>
      </c>
      <c r="BL53" s="312">
        <f t="shared" si="36"/>
        <v>-12.100932587810748</v>
      </c>
      <c r="BM53" s="312">
        <f t="shared" si="36"/>
        <v>0</v>
      </c>
      <c r="BN53" s="312">
        <f>SUM(BL53:BM53)</f>
        <v>-12.100932587810748</v>
      </c>
    </row>
    <row r="54" spans="1:66" ht="14.25" customHeight="1" thickBot="1">
      <c r="A54" s="269" t="s">
        <v>17</v>
      </c>
      <c r="B54" s="269"/>
      <c r="C54" s="279">
        <v>493213.64448899997</v>
      </c>
      <c r="D54" s="279">
        <v>333492.99</v>
      </c>
      <c r="E54" s="313">
        <v>0.22</v>
      </c>
      <c r="F54" s="279">
        <f t="shared" si="27"/>
        <v>574593.89582968503</v>
      </c>
      <c r="G54" s="279">
        <f t="shared" si="27"/>
        <v>388519.33335000003</v>
      </c>
      <c r="H54" s="279">
        <f t="shared" si="28"/>
        <v>574593.89582968503</v>
      </c>
      <c r="I54" s="279">
        <f t="shared" si="28"/>
        <v>388519.33335000003</v>
      </c>
      <c r="J54" s="279">
        <f t="shared" si="29"/>
        <v>0</v>
      </c>
      <c r="K54" s="279">
        <f t="shared" si="29"/>
        <v>0</v>
      </c>
      <c r="L54" s="271">
        <f>SUM(J54:K54)</f>
        <v>0</v>
      </c>
      <c r="M54" s="281">
        <f ca="1">M44*(1+Indexation!$C$8)</f>
        <v>1.5366988136231052</v>
      </c>
      <c r="N54" s="305">
        <f>F54*M54/1000</f>
        <v>882.97775803655509</v>
      </c>
      <c r="O54" s="305">
        <f>I54*M54/1000</f>
        <v>597.03719862858475</v>
      </c>
      <c r="P54" s="305">
        <f>SUM(N54:O54)</f>
        <v>1480.0149566651398</v>
      </c>
      <c r="Q54" s="275">
        <f>J54*M54/1000</f>
        <v>0</v>
      </c>
      <c r="R54" s="275">
        <f>K54*M54/1000</f>
        <v>0</v>
      </c>
      <c r="S54" s="275">
        <f>Q54+R54</f>
        <v>0</v>
      </c>
      <c r="T54" s="280"/>
      <c r="U54" s="279">
        <v>913047</v>
      </c>
      <c r="V54" s="279">
        <v>170365</v>
      </c>
      <c r="W54" s="313">
        <v>0.9</v>
      </c>
      <c r="X54" s="279">
        <f t="shared" si="30"/>
        <v>1529353.7249999999</v>
      </c>
      <c r="Y54" s="279">
        <f t="shared" si="30"/>
        <v>285361.375</v>
      </c>
      <c r="Z54" s="279">
        <f t="shared" si="31"/>
        <v>1529353.7249999999</v>
      </c>
      <c r="AA54" s="279">
        <f t="shared" si="31"/>
        <v>285361.375</v>
      </c>
      <c r="AB54" s="279">
        <f t="shared" si="32"/>
        <v>0</v>
      </c>
      <c r="AC54" s="279">
        <f t="shared" si="32"/>
        <v>0</v>
      </c>
      <c r="AD54" s="271">
        <f>SUM(AB54:AC54)</f>
        <v>0</v>
      </c>
      <c r="AE54" s="281">
        <f ca="1">AE44*(1+Indexation!$C$8)</f>
        <v>0.6210854343923613</v>
      </c>
      <c r="AF54" s="305">
        <f>X54*AE54/1000</f>
        <v>949.85932263120083</v>
      </c>
      <c r="AG54" s="305">
        <f>AA54*AE54/1000</f>
        <v>177.23379355067652</v>
      </c>
      <c r="AH54" s="305">
        <f>SUM(AF54:AG54)</f>
        <v>1127.0931161818773</v>
      </c>
      <c r="AI54" s="275">
        <f>AB54*AE54/1000</f>
        <v>0</v>
      </c>
      <c r="AJ54" s="275">
        <f>AC54*AE54/1000</f>
        <v>0</v>
      </c>
      <c r="AK54" s="275">
        <f>AI54+AJ54</f>
        <v>0</v>
      </c>
      <c r="AL54" s="280"/>
      <c r="AM54" s="279">
        <v>132102</v>
      </c>
      <c r="AN54" s="279">
        <v>5574.46</v>
      </c>
      <c r="AO54" s="313">
        <v>1</v>
      </c>
      <c r="AP54" s="279">
        <f t="shared" si="33"/>
        <v>231178.5</v>
      </c>
      <c r="AQ54" s="279">
        <f t="shared" si="33"/>
        <v>9755.3050000000003</v>
      </c>
      <c r="AR54" s="279">
        <f t="shared" si="34"/>
        <v>231178.5</v>
      </c>
      <c r="AS54" s="279">
        <f t="shared" si="34"/>
        <v>9755.3050000000003</v>
      </c>
      <c r="AT54" s="279">
        <f t="shared" si="35"/>
        <v>0</v>
      </c>
      <c r="AU54" s="279">
        <f t="shared" si="35"/>
        <v>0</v>
      </c>
      <c r="AV54" s="271">
        <f>SUM(AT54:AU54)</f>
        <v>0</v>
      </c>
      <c r="AW54" s="281">
        <f ca="1">AW44*(1+Indexation!$C$8)</f>
        <v>3.7825871500038888</v>
      </c>
      <c r="AX54" s="305">
        <f>AP54*AW54/1000</f>
        <v>874.45282345717396</v>
      </c>
      <c r="AY54" s="305">
        <f>AS54*AW54/1000</f>
        <v>36.900291337368692</v>
      </c>
      <c r="AZ54" s="305">
        <f>SUM(AX54:AY54)</f>
        <v>911.35311479454265</v>
      </c>
      <c r="BA54" s="275">
        <f>AT54*AW54/1000</f>
        <v>0</v>
      </c>
      <c r="BB54" s="275">
        <f>AU54*AW54/1000</f>
        <v>0</v>
      </c>
      <c r="BC54" s="275">
        <f>BA54+BB54</f>
        <v>0</v>
      </c>
      <c r="BD54" s="280"/>
      <c r="BE54" s="279">
        <f>H12-G12</f>
        <v>1773.0571466041583</v>
      </c>
      <c r="BF54" s="272">
        <v>0.98361975215267461</v>
      </c>
      <c r="BG54" s="279">
        <f>BE54*BF54</f>
        <v>1744.0140310953107</v>
      </c>
      <c r="BH54" s="281">
        <f ca="1">BH44*(1+Indexation!$C$8)</f>
        <v>20.296328066492677</v>
      </c>
      <c r="BI54" s="314">
        <f>BK54-BJ54</f>
        <v>27.236383953187172</v>
      </c>
      <c r="BJ54" s="314">
        <f>(O54+AG54+AY54)/(P54+AH54+AZ54)*BK54</f>
        <v>8.1606969744896105</v>
      </c>
      <c r="BK54" s="314">
        <f>BG54*BH54/1000</f>
        <v>35.397080927676782</v>
      </c>
      <c r="BL54" s="315">
        <f t="shared" si="36"/>
        <v>27.236383953187172</v>
      </c>
      <c r="BM54" s="315">
        <f t="shared" si="36"/>
        <v>8.1606969744896105</v>
      </c>
      <c r="BN54" s="315">
        <f>SUM(BL54:BM54)</f>
        <v>35.397080927676782</v>
      </c>
    </row>
    <row r="55" spans="1:66" ht="12.6" customHeight="1">
      <c r="A55" s="201" t="s">
        <v>217</v>
      </c>
    </row>
    <row r="56" spans="1:66" ht="15.75">
      <c r="A56" s="20" t="s">
        <v>209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13.5" thickBot="1">
      <c r="A57" s="172"/>
      <c r="B57" s="17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50"/>
      <c r="BF57" s="50"/>
      <c r="BG57" s="50"/>
      <c r="BH57" s="50"/>
      <c r="BI57" s="50"/>
      <c r="BJ57" s="50"/>
      <c r="BK57" s="50"/>
      <c r="BL57" s="50"/>
      <c r="BM57" s="50"/>
      <c r="BN57" s="50"/>
    </row>
    <row r="58" spans="1:66" ht="13.5" customHeight="1">
      <c r="A58" s="352" t="s">
        <v>0</v>
      </c>
      <c r="B58" s="36"/>
      <c r="C58" s="357" t="s">
        <v>45</v>
      </c>
      <c r="D58" s="357"/>
      <c r="E58" s="357"/>
      <c r="F58" s="357"/>
      <c r="G58" s="357"/>
      <c r="H58" s="357"/>
      <c r="I58" s="357"/>
      <c r="J58" s="357"/>
      <c r="K58" s="357"/>
      <c r="L58" s="357"/>
      <c r="M58" s="357"/>
      <c r="N58" s="357"/>
      <c r="O58" s="357"/>
      <c r="P58" s="357"/>
      <c r="Q58" s="357"/>
      <c r="R58" s="357"/>
      <c r="S58" s="49"/>
      <c r="T58" s="36"/>
      <c r="U58" s="357" t="s">
        <v>50</v>
      </c>
      <c r="V58" s="357"/>
      <c r="W58" s="357"/>
      <c r="X58" s="357"/>
      <c r="Y58" s="357"/>
      <c r="Z58" s="357"/>
      <c r="AA58" s="357"/>
      <c r="AB58" s="357"/>
      <c r="AC58" s="357"/>
      <c r="AD58" s="357"/>
      <c r="AE58" s="357"/>
      <c r="AF58" s="357"/>
      <c r="AG58" s="357"/>
      <c r="AH58" s="357"/>
      <c r="AI58" s="357"/>
      <c r="AJ58" s="357"/>
      <c r="AK58" s="49"/>
      <c r="AL58" s="36"/>
      <c r="AM58" s="357" t="s">
        <v>52</v>
      </c>
      <c r="AN58" s="357"/>
      <c r="AO58" s="357"/>
      <c r="AP58" s="357"/>
      <c r="AQ58" s="357"/>
      <c r="AR58" s="357"/>
      <c r="AS58" s="357"/>
      <c r="AT58" s="357"/>
      <c r="AU58" s="357"/>
      <c r="AV58" s="357"/>
      <c r="AW58" s="357"/>
      <c r="AX58" s="357"/>
      <c r="AY58" s="357"/>
      <c r="AZ58" s="357"/>
      <c r="BA58" s="357"/>
      <c r="BB58" s="357"/>
      <c r="BC58" s="49"/>
      <c r="BD58" s="36"/>
      <c r="BE58" s="356" t="s">
        <v>53</v>
      </c>
      <c r="BF58" s="356"/>
      <c r="BG58" s="356"/>
      <c r="BH58" s="356"/>
      <c r="BI58" s="356"/>
      <c r="BJ58" s="356"/>
      <c r="BK58" s="356"/>
      <c r="BL58" s="370" t="s">
        <v>21</v>
      </c>
      <c r="BM58" s="370"/>
      <c r="BN58" s="370"/>
    </row>
    <row r="59" spans="1:66" ht="63.75" customHeight="1">
      <c r="A59" s="358"/>
      <c r="B59" s="268"/>
      <c r="C59" s="362" t="s">
        <v>46</v>
      </c>
      <c r="D59" s="362"/>
      <c r="E59" s="296" t="s">
        <v>51</v>
      </c>
      <c r="F59" s="362" t="s">
        <v>49</v>
      </c>
      <c r="G59" s="362"/>
      <c r="H59" s="362" t="s">
        <v>145</v>
      </c>
      <c r="I59" s="362"/>
      <c r="J59" s="368" t="s">
        <v>146</v>
      </c>
      <c r="K59" s="368"/>
      <c r="L59" s="368"/>
      <c r="M59" s="296" t="s">
        <v>113</v>
      </c>
      <c r="N59" s="369" t="s">
        <v>147</v>
      </c>
      <c r="O59" s="369"/>
      <c r="P59" s="369"/>
      <c r="Q59" s="363" t="s">
        <v>142</v>
      </c>
      <c r="R59" s="363"/>
      <c r="S59" s="363"/>
      <c r="T59" s="306"/>
      <c r="U59" s="362" t="s">
        <v>46</v>
      </c>
      <c r="V59" s="362"/>
      <c r="W59" s="296" t="s">
        <v>51</v>
      </c>
      <c r="X59" s="362" t="s">
        <v>49</v>
      </c>
      <c r="Y59" s="362"/>
      <c r="Z59" s="362" t="s">
        <v>145</v>
      </c>
      <c r="AA59" s="362"/>
      <c r="AB59" s="368" t="s">
        <v>146</v>
      </c>
      <c r="AC59" s="368"/>
      <c r="AD59" s="368"/>
      <c r="AE59" s="296" t="s">
        <v>113</v>
      </c>
      <c r="AF59" s="369" t="s">
        <v>147</v>
      </c>
      <c r="AG59" s="369"/>
      <c r="AH59" s="369"/>
      <c r="AI59" s="363" t="s">
        <v>142</v>
      </c>
      <c r="AJ59" s="363"/>
      <c r="AK59" s="363"/>
      <c r="AL59" s="306"/>
      <c r="AM59" s="362" t="s">
        <v>46</v>
      </c>
      <c r="AN59" s="362"/>
      <c r="AO59" s="296" t="s">
        <v>51</v>
      </c>
      <c r="AP59" s="362" t="s">
        <v>49</v>
      </c>
      <c r="AQ59" s="362"/>
      <c r="AR59" s="362" t="s">
        <v>145</v>
      </c>
      <c r="AS59" s="362"/>
      <c r="AT59" s="368" t="s">
        <v>146</v>
      </c>
      <c r="AU59" s="368"/>
      <c r="AV59" s="368"/>
      <c r="AW59" s="296" t="s">
        <v>113</v>
      </c>
      <c r="AX59" s="369" t="s">
        <v>147</v>
      </c>
      <c r="AY59" s="369"/>
      <c r="AZ59" s="369"/>
      <c r="BA59" s="363" t="s">
        <v>142</v>
      </c>
      <c r="BB59" s="363"/>
      <c r="BC59" s="363"/>
      <c r="BD59" s="306"/>
      <c r="BE59" s="368" t="s">
        <v>221</v>
      </c>
      <c r="BF59" s="368" t="s">
        <v>24</v>
      </c>
      <c r="BG59" s="368" t="s">
        <v>143</v>
      </c>
      <c r="BH59" s="296" t="s">
        <v>113</v>
      </c>
      <c r="BI59" s="363" t="s">
        <v>142</v>
      </c>
      <c r="BJ59" s="363"/>
      <c r="BK59" s="363"/>
      <c r="BL59" s="371" t="s">
        <v>142</v>
      </c>
      <c r="BM59" s="371"/>
      <c r="BN59" s="371"/>
    </row>
    <row r="60" spans="1:66" ht="17.25" customHeight="1">
      <c r="A60" s="358"/>
      <c r="B60" s="268"/>
      <c r="C60" s="296" t="s">
        <v>47</v>
      </c>
      <c r="D60" s="296" t="s">
        <v>48</v>
      </c>
      <c r="E60" s="296">
        <v>1.75</v>
      </c>
      <c r="F60" s="296" t="s">
        <v>47</v>
      </c>
      <c r="G60" s="296" t="s">
        <v>48</v>
      </c>
      <c r="H60" s="296" t="s">
        <v>47</v>
      </c>
      <c r="I60" s="296" t="s">
        <v>48</v>
      </c>
      <c r="J60" s="296" t="s">
        <v>47</v>
      </c>
      <c r="K60" s="296" t="s">
        <v>48</v>
      </c>
      <c r="L60" s="296" t="s">
        <v>21</v>
      </c>
      <c r="M60" s="307"/>
      <c r="N60" s="298" t="s">
        <v>47</v>
      </c>
      <c r="O60" s="298" t="s">
        <v>48</v>
      </c>
      <c r="P60" s="298" t="s">
        <v>21</v>
      </c>
      <c r="Q60" s="299" t="s">
        <v>47</v>
      </c>
      <c r="R60" s="299" t="s">
        <v>48</v>
      </c>
      <c r="S60" s="299" t="s">
        <v>21</v>
      </c>
      <c r="T60" s="306"/>
      <c r="U60" s="296" t="s">
        <v>47</v>
      </c>
      <c r="V60" s="296" t="s">
        <v>48</v>
      </c>
      <c r="W60" s="296">
        <v>1.75</v>
      </c>
      <c r="X60" s="296" t="s">
        <v>47</v>
      </c>
      <c r="Y60" s="296" t="s">
        <v>48</v>
      </c>
      <c r="Z60" s="296" t="s">
        <v>47</v>
      </c>
      <c r="AA60" s="296" t="s">
        <v>48</v>
      </c>
      <c r="AB60" s="296" t="s">
        <v>47</v>
      </c>
      <c r="AC60" s="296" t="s">
        <v>48</v>
      </c>
      <c r="AD60" s="296" t="s">
        <v>21</v>
      </c>
      <c r="AE60" s="307"/>
      <c r="AF60" s="298" t="s">
        <v>47</v>
      </c>
      <c r="AG60" s="298" t="s">
        <v>48</v>
      </c>
      <c r="AH60" s="298" t="s">
        <v>21</v>
      </c>
      <c r="AI60" s="299" t="s">
        <v>47</v>
      </c>
      <c r="AJ60" s="299" t="s">
        <v>48</v>
      </c>
      <c r="AK60" s="299" t="s">
        <v>21</v>
      </c>
      <c r="AL60" s="306"/>
      <c r="AM60" s="296" t="s">
        <v>47</v>
      </c>
      <c r="AN60" s="296" t="s">
        <v>48</v>
      </c>
      <c r="AO60" s="296">
        <v>1.75</v>
      </c>
      <c r="AP60" s="296" t="s">
        <v>47</v>
      </c>
      <c r="AQ60" s="296" t="s">
        <v>48</v>
      </c>
      <c r="AR60" s="296" t="s">
        <v>47</v>
      </c>
      <c r="AS60" s="296" t="s">
        <v>48</v>
      </c>
      <c r="AT60" s="296" t="s">
        <v>47</v>
      </c>
      <c r="AU60" s="296" t="s">
        <v>48</v>
      </c>
      <c r="AV60" s="296" t="s">
        <v>21</v>
      </c>
      <c r="AW60" s="296"/>
      <c r="AX60" s="298" t="s">
        <v>47</v>
      </c>
      <c r="AY60" s="298" t="s">
        <v>48</v>
      </c>
      <c r="AZ60" s="298" t="s">
        <v>21</v>
      </c>
      <c r="BA60" s="299" t="s">
        <v>47</v>
      </c>
      <c r="BB60" s="299" t="s">
        <v>48</v>
      </c>
      <c r="BC60" s="299" t="s">
        <v>21</v>
      </c>
      <c r="BD60" s="306"/>
      <c r="BE60" s="362"/>
      <c r="BF60" s="362"/>
      <c r="BG60" s="362"/>
      <c r="BH60" s="296"/>
      <c r="BI60" s="299" t="s">
        <v>47</v>
      </c>
      <c r="BJ60" s="299" t="s">
        <v>48</v>
      </c>
      <c r="BK60" s="299" t="s">
        <v>21</v>
      </c>
      <c r="BL60" s="300" t="s">
        <v>47</v>
      </c>
      <c r="BM60" s="300" t="s">
        <v>48</v>
      </c>
      <c r="BN60" s="300" t="s">
        <v>21</v>
      </c>
    </row>
    <row r="61" spans="1:66" ht="18" customHeight="1">
      <c r="A61" s="33"/>
      <c r="B61" s="301"/>
      <c r="C61" s="16" t="s">
        <v>43</v>
      </c>
      <c r="D61" s="16" t="s">
        <v>43</v>
      </c>
      <c r="E61" s="16"/>
      <c r="F61" s="16" t="s">
        <v>43</v>
      </c>
      <c r="G61" s="16" t="s">
        <v>43</v>
      </c>
      <c r="H61" s="16" t="s">
        <v>43</v>
      </c>
      <c r="I61" s="16" t="s">
        <v>43</v>
      </c>
      <c r="J61" s="16" t="s">
        <v>43</v>
      </c>
      <c r="K61" s="16" t="s">
        <v>43</v>
      </c>
      <c r="L61" s="16" t="s">
        <v>43</v>
      </c>
      <c r="M61" s="16" t="s">
        <v>117</v>
      </c>
      <c r="N61" s="131" t="s">
        <v>1</v>
      </c>
      <c r="O61" s="131" t="s">
        <v>1</v>
      </c>
      <c r="P61" s="131" t="s">
        <v>1</v>
      </c>
      <c r="Q61" s="119" t="s">
        <v>1</v>
      </c>
      <c r="R61" s="119" t="s">
        <v>1</v>
      </c>
      <c r="S61" s="119" t="s">
        <v>1</v>
      </c>
      <c r="T61" s="308"/>
      <c r="U61" s="16" t="s">
        <v>43</v>
      </c>
      <c r="V61" s="16" t="s">
        <v>43</v>
      </c>
      <c r="W61" s="16"/>
      <c r="X61" s="16" t="s">
        <v>43</v>
      </c>
      <c r="Y61" s="16" t="s">
        <v>43</v>
      </c>
      <c r="Z61" s="16" t="s">
        <v>43</v>
      </c>
      <c r="AA61" s="16" t="s">
        <v>43</v>
      </c>
      <c r="AB61" s="16" t="s">
        <v>43</v>
      </c>
      <c r="AC61" s="16" t="s">
        <v>43</v>
      </c>
      <c r="AD61" s="16" t="s">
        <v>43</v>
      </c>
      <c r="AE61" s="16" t="s">
        <v>117</v>
      </c>
      <c r="AF61" s="131" t="s">
        <v>1</v>
      </c>
      <c r="AG61" s="131" t="s">
        <v>1</v>
      </c>
      <c r="AH61" s="131" t="s">
        <v>1</v>
      </c>
      <c r="AI61" s="119" t="s">
        <v>1</v>
      </c>
      <c r="AJ61" s="119" t="s">
        <v>1</v>
      </c>
      <c r="AK61" s="119" t="s">
        <v>1</v>
      </c>
      <c r="AL61" s="308"/>
      <c r="AM61" s="16" t="s">
        <v>43</v>
      </c>
      <c r="AN61" s="16" t="s">
        <v>43</v>
      </c>
      <c r="AO61" s="16"/>
      <c r="AP61" s="16" t="s">
        <v>43</v>
      </c>
      <c r="AQ61" s="16" t="s">
        <v>43</v>
      </c>
      <c r="AR61" s="16" t="s">
        <v>43</v>
      </c>
      <c r="AS61" s="16" t="s">
        <v>43</v>
      </c>
      <c r="AT61" s="16" t="s">
        <v>43</v>
      </c>
      <c r="AU61" s="16" t="s">
        <v>43</v>
      </c>
      <c r="AV61" s="16" t="s">
        <v>43</v>
      </c>
      <c r="AW61" s="16" t="s">
        <v>117</v>
      </c>
      <c r="AX61" s="131" t="s">
        <v>1</v>
      </c>
      <c r="AY61" s="131" t="s">
        <v>1</v>
      </c>
      <c r="AZ61" s="131" t="s">
        <v>1</v>
      </c>
      <c r="BA61" s="119" t="s">
        <v>1</v>
      </c>
      <c r="BB61" s="119" t="s">
        <v>1</v>
      </c>
      <c r="BC61" s="119" t="s">
        <v>1</v>
      </c>
      <c r="BD61" s="308"/>
      <c r="BE61" s="16" t="s">
        <v>23</v>
      </c>
      <c r="BF61" s="16"/>
      <c r="BG61" s="16" t="s">
        <v>23</v>
      </c>
      <c r="BH61" s="16" t="s">
        <v>144</v>
      </c>
      <c r="BI61" s="119" t="s">
        <v>1</v>
      </c>
      <c r="BJ61" s="119" t="s">
        <v>1</v>
      </c>
      <c r="BK61" s="119" t="s">
        <v>1</v>
      </c>
      <c r="BL61" s="122" t="s">
        <v>1</v>
      </c>
      <c r="BM61" s="122" t="s">
        <v>1</v>
      </c>
      <c r="BN61" s="122" t="s">
        <v>1</v>
      </c>
    </row>
    <row r="62" spans="1:66" ht="14.25" customHeight="1">
      <c r="A62" s="249" t="s">
        <v>4</v>
      </c>
      <c r="B62" s="249"/>
      <c r="C62" s="307">
        <v>427604.73043700005</v>
      </c>
      <c r="D62" s="307">
        <v>0</v>
      </c>
      <c r="E62" s="24">
        <v>1</v>
      </c>
      <c r="F62" s="307">
        <f t="shared" ref="F62:G64" si="37">C62*(1-$E62)+C62*($E62*$E$40)</f>
        <v>748308.27826475003</v>
      </c>
      <c r="G62" s="307">
        <f t="shared" si="37"/>
        <v>0</v>
      </c>
      <c r="H62" s="307">
        <f t="shared" ref="H62:I64" si="38">F52</f>
        <v>748308.27826475003</v>
      </c>
      <c r="I62" s="307">
        <f t="shared" si="38"/>
        <v>0</v>
      </c>
      <c r="J62" s="307">
        <f t="shared" ref="J62:K64" si="39">F62-H62</f>
        <v>0</v>
      </c>
      <c r="K62" s="307">
        <f t="shared" si="39"/>
        <v>0</v>
      </c>
      <c r="L62" s="250">
        <f>SUM(J62:K62)</f>
        <v>0</v>
      </c>
      <c r="M62" s="309">
        <f ca="1">M52*(1+Indexation!$C$9)</f>
        <v>1.5637948396352863</v>
      </c>
      <c r="N62" s="303">
        <f>F62*M62/1000</f>
        <v>1170.2006240067819</v>
      </c>
      <c r="O62" s="303">
        <f>I62*M62/1000</f>
        <v>0</v>
      </c>
      <c r="P62" s="303">
        <f>SUM(N62:O62)</f>
        <v>1170.2006240067819</v>
      </c>
      <c r="Q62" s="253">
        <f>J62*M62/1000</f>
        <v>0</v>
      </c>
      <c r="R62" s="253">
        <f>K62*M62/1000</f>
        <v>0</v>
      </c>
      <c r="S62" s="253">
        <f>Q62+R62</f>
        <v>0</v>
      </c>
      <c r="T62" s="310"/>
      <c r="U62" s="307">
        <v>1746850</v>
      </c>
      <c r="V62" s="307">
        <v>0</v>
      </c>
      <c r="W62" s="24">
        <v>1</v>
      </c>
      <c r="X62" s="307">
        <f t="shared" ref="X62:Y64" si="40">U62*(1-$W62)+U62*($W62*$W$30)</f>
        <v>3056987.5</v>
      </c>
      <c r="Y62" s="307">
        <f t="shared" si="40"/>
        <v>0</v>
      </c>
      <c r="Z62" s="307">
        <f t="shared" ref="Z62:AA64" si="41">X52</f>
        <v>3056987.5</v>
      </c>
      <c r="AA62" s="307">
        <f t="shared" si="41"/>
        <v>0</v>
      </c>
      <c r="AB62" s="307">
        <f t="shared" ref="AB62:AC64" si="42">X62-Z62</f>
        <v>0</v>
      </c>
      <c r="AC62" s="307">
        <f t="shared" si="42"/>
        <v>0</v>
      </c>
      <c r="AD62" s="250">
        <f>SUM(AB62:AC62)</f>
        <v>0</v>
      </c>
      <c r="AE62" s="309">
        <f ca="1">AE52*(1+Indexation!$C$9)</f>
        <v>0.63203679775445309</v>
      </c>
      <c r="AF62" s="303">
        <f>X62*AE62/1000</f>
        <v>1932.1285902753912</v>
      </c>
      <c r="AG62" s="303">
        <f>AA62*AE62/1000</f>
        <v>0</v>
      </c>
      <c r="AH62" s="303">
        <f>SUM(AF62:AG62)</f>
        <v>1932.1285902753912</v>
      </c>
      <c r="AI62" s="253">
        <f>AB62*AE62/1000</f>
        <v>0</v>
      </c>
      <c r="AJ62" s="253">
        <f>AC62*AE62/1000</f>
        <v>0</v>
      </c>
      <c r="AK62" s="253">
        <f>AI62+AJ62</f>
        <v>0</v>
      </c>
      <c r="AL62" s="310"/>
      <c r="AM62" s="307">
        <v>179176.5</v>
      </c>
      <c r="AN62" s="307">
        <v>0</v>
      </c>
      <c r="AO62" s="24">
        <v>1</v>
      </c>
      <c r="AP62" s="307">
        <f t="shared" ref="AP62:AQ64" si="43">AM62*(1-$AO62)+AM62*($AO62*$AO$30)</f>
        <v>313558.875</v>
      </c>
      <c r="AQ62" s="307">
        <f t="shared" si="43"/>
        <v>0</v>
      </c>
      <c r="AR62" s="307">
        <f t="shared" ref="AR62:AS64" si="44">AP52</f>
        <v>313558.875</v>
      </c>
      <c r="AS62" s="307">
        <f t="shared" si="44"/>
        <v>0</v>
      </c>
      <c r="AT62" s="307">
        <f t="shared" ref="AT62:AU64" si="45">AP62-AR62</f>
        <v>0</v>
      </c>
      <c r="AU62" s="307">
        <f t="shared" si="45"/>
        <v>0</v>
      </c>
      <c r="AV62" s="250">
        <f>SUM(AT62:AU62)</f>
        <v>0</v>
      </c>
      <c r="AW62" s="309">
        <f ca="1">AW52*(1+Indexation!$C$9)</f>
        <v>3.8492840712881544</v>
      </c>
      <c r="AX62" s="303">
        <f>AP62*AW62/1000</f>
        <v>1206.9771829485335</v>
      </c>
      <c r="AY62" s="303">
        <f>AS62*AW62/1000</f>
        <v>0</v>
      </c>
      <c r="AZ62" s="303">
        <f>SUM(AX62:AY62)</f>
        <v>1206.9771829485335</v>
      </c>
      <c r="BA62" s="253">
        <f>AT62*AW62/1000</f>
        <v>0</v>
      </c>
      <c r="BB62" s="253">
        <f>AU62*AW62/1000</f>
        <v>0</v>
      </c>
      <c r="BC62" s="253">
        <f>BA62+BB62</f>
        <v>0</v>
      </c>
      <c r="BD62" s="310"/>
      <c r="BE62" s="307">
        <f>J10-H10</f>
        <v>1476.9895542967715</v>
      </c>
      <c r="BF62" s="17">
        <v>1.0789844859821107</v>
      </c>
      <c r="BG62" s="307">
        <f>BE62*BF62</f>
        <v>1593.6488150438488</v>
      </c>
      <c r="BH62" s="309">
        <f ca="1">BH52*(1+Indexation!$C$9)</f>
        <v>20.654205503740656</v>
      </c>
      <c r="BI62" s="311">
        <f>BK62-BJ62</f>
        <v>32.915550126708432</v>
      </c>
      <c r="BJ62" s="311">
        <f>(O62+AG62+AY62)/(P62+AH62+AZ62)*BK62</f>
        <v>0</v>
      </c>
      <c r="BK62" s="311">
        <f>BG62*BH62/1000</f>
        <v>32.915550126708432</v>
      </c>
      <c r="BL62" s="312">
        <f t="shared" ref="BL62:BM64" si="46">Q62+AI62+BA62+BI62</f>
        <v>32.915550126708432</v>
      </c>
      <c r="BM62" s="312">
        <f t="shared" si="46"/>
        <v>0</v>
      </c>
      <c r="BN62" s="312">
        <f>SUM(BL62:BM62)</f>
        <v>32.915550126708432</v>
      </c>
    </row>
    <row r="63" spans="1:66" ht="14.25" customHeight="1">
      <c r="A63" s="249" t="s">
        <v>15</v>
      </c>
      <c r="B63" s="249"/>
      <c r="C63" s="307">
        <v>782924.42220000003</v>
      </c>
      <c r="D63" s="307">
        <v>0</v>
      </c>
      <c r="E63" s="24">
        <v>1</v>
      </c>
      <c r="F63" s="307">
        <f t="shared" si="37"/>
        <v>1370117.7388500001</v>
      </c>
      <c r="G63" s="307">
        <f t="shared" si="37"/>
        <v>0</v>
      </c>
      <c r="H63" s="307">
        <f t="shared" si="38"/>
        <v>1370117.7388500001</v>
      </c>
      <c r="I63" s="307">
        <f t="shared" si="38"/>
        <v>0</v>
      </c>
      <c r="J63" s="307">
        <f t="shared" si="39"/>
        <v>0</v>
      </c>
      <c r="K63" s="307">
        <f t="shared" si="39"/>
        <v>0</v>
      </c>
      <c r="L63" s="250">
        <f>SUM(J63:K63)</f>
        <v>0</v>
      </c>
      <c r="M63" s="309">
        <f ca="1">M53*(1+Indexation!$C$9)</f>
        <v>1.6066618760042874</v>
      </c>
      <c r="N63" s="303">
        <f>F63*M63/1000</f>
        <v>2201.3159366474933</v>
      </c>
      <c r="O63" s="303">
        <f>I63*M63/1000</f>
        <v>0</v>
      </c>
      <c r="P63" s="303">
        <f>SUM(N63:O63)</f>
        <v>2201.3159366474933</v>
      </c>
      <c r="Q63" s="253">
        <f>J63*M63/1000</f>
        <v>0</v>
      </c>
      <c r="R63" s="253">
        <f>K63*M63/1000</f>
        <v>0</v>
      </c>
      <c r="S63" s="253">
        <f>Q63+R63</f>
        <v>0</v>
      </c>
      <c r="T63" s="310"/>
      <c r="U63" s="307">
        <v>2174694.5161802578</v>
      </c>
      <c r="V63" s="307">
        <v>0</v>
      </c>
      <c r="W63" s="24">
        <v>1</v>
      </c>
      <c r="X63" s="307">
        <f t="shared" si="40"/>
        <v>3805715.403315451</v>
      </c>
      <c r="Y63" s="307">
        <f t="shared" si="40"/>
        <v>0</v>
      </c>
      <c r="Z63" s="307">
        <f t="shared" si="41"/>
        <v>3805715.403315451</v>
      </c>
      <c r="AA63" s="307">
        <f t="shared" si="41"/>
        <v>0</v>
      </c>
      <c r="AB63" s="307">
        <f t="shared" si="42"/>
        <v>0</v>
      </c>
      <c r="AC63" s="307">
        <f t="shared" si="42"/>
        <v>0</v>
      </c>
      <c r="AD63" s="250">
        <f>SUM(AB63:AC63)</f>
        <v>0</v>
      </c>
      <c r="AE63" s="309">
        <f ca="1">AE53*(1+Indexation!$C$9)</f>
        <v>0.64936230856263932</v>
      </c>
      <c r="AF63" s="303">
        <f>X63*AE63/1000</f>
        <v>2471.2881400293172</v>
      </c>
      <c r="AG63" s="303">
        <f>AA63*AE63/1000</f>
        <v>0</v>
      </c>
      <c r="AH63" s="303">
        <f>SUM(AF63:AG63)</f>
        <v>2471.2881400293172</v>
      </c>
      <c r="AI63" s="253">
        <f>AB63*AE63/1000</f>
        <v>0</v>
      </c>
      <c r="AJ63" s="253">
        <f>AC63*AE63/1000</f>
        <v>0</v>
      </c>
      <c r="AK63" s="253">
        <f>AI63+AJ63</f>
        <v>0</v>
      </c>
      <c r="AL63" s="310"/>
      <c r="AM63" s="307">
        <v>193017.5</v>
      </c>
      <c r="AN63" s="307">
        <v>0</v>
      </c>
      <c r="AO63" s="24">
        <v>1</v>
      </c>
      <c r="AP63" s="307">
        <f t="shared" si="43"/>
        <v>337780.625</v>
      </c>
      <c r="AQ63" s="307">
        <f t="shared" si="43"/>
        <v>0</v>
      </c>
      <c r="AR63" s="307">
        <f t="shared" si="44"/>
        <v>337780.625</v>
      </c>
      <c r="AS63" s="307">
        <f t="shared" si="44"/>
        <v>0</v>
      </c>
      <c r="AT63" s="307">
        <f t="shared" si="45"/>
        <v>0</v>
      </c>
      <c r="AU63" s="307">
        <f t="shared" si="45"/>
        <v>0</v>
      </c>
      <c r="AV63" s="250">
        <f>SUM(AT63:AU63)</f>
        <v>0</v>
      </c>
      <c r="AW63" s="309">
        <f ca="1">AW53*(1+Indexation!$C$9)</f>
        <v>3.9548013655625187</v>
      </c>
      <c r="AX63" s="303">
        <f>AP63*AW63/1000</f>
        <v>1335.8552770105609</v>
      </c>
      <c r="AY63" s="303">
        <f>AS63*AW63/1000</f>
        <v>0</v>
      </c>
      <c r="AZ63" s="303">
        <f>SUM(AX63:AY63)</f>
        <v>1335.8552770105609</v>
      </c>
      <c r="BA63" s="253">
        <f>AT63*AW63/1000</f>
        <v>0</v>
      </c>
      <c r="BB63" s="253">
        <f>AU63*AW63/1000</f>
        <v>0</v>
      </c>
      <c r="BC63" s="253">
        <f>BA63+BB63</f>
        <v>0</v>
      </c>
      <c r="BD63" s="310"/>
      <c r="BE63" s="307">
        <f>J11-H11</f>
        <v>1391.6930210286373</v>
      </c>
      <c r="BF63" s="17">
        <v>1.0554522962647099</v>
      </c>
      <c r="BG63" s="307">
        <f>BE63*BF63</f>
        <v>1468.8655947402465</v>
      </c>
      <c r="BH63" s="309">
        <f ca="1">BH53*(1+Indexation!$C$9)</f>
        <v>21.220382444641785</v>
      </c>
      <c r="BI63" s="311">
        <f>BK63-BJ63</f>
        <v>31.169889680164239</v>
      </c>
      <c r="BJ63" s="311">
        <f>(O63+AG63+AY63)/(P63+AH63+AZ63)*BK63</f>
        <v>0</v>
      </c>
      <c r="BK63" s="311">
        <f>BG63*BH63/1000</f>
        <v>31.169889680164239</v>
      </c>
      <c r="BL63" s="312">
        <f t="shared" si="46"/>
        <v>31.169889680164239</v>
      </c>
      <c r="BM63" s="312">
        <f t="shared" si="46"/>
        <v>0</v>
      </c>
      <c r="BN63" s="312">
        <f>SUM(BL63:BM63)</f>
        <v>31.169889680164239</v>
      </c>
    </row>
    <row r="64" spans="1:66" ht="14.25" customHeight="1" thickBot="1">
      <c r="A64" s="269" t="s">
        <v>17</v>
      </c>
      <c r="B64" s="269"/>
      <c r="C64" s="279">
        <v>493213.64448899997</v>
      </c>
      <c r="D64" s="279">
        <v>333492.99</v>
      </c>
      <c r="E64" s="313">
        <v>0.22</v>
      </c>
      <c r="F64" s="279">
        <f t="shared" si="37"/>
        <v>574593.89582968503</v>
      </c>
      <c r="G64" s="279">
        <f t="shared" si="37"/>
        <v>388519.33335000003</v>
      </c>
      <c r="H64" s="279">
        <f t="shared" si="38"/>
        <v>574593.89582968503</v>
      </c>
      <c r="I64" s="279">
        <f t="shared" si="38"/>
        <v>388519.33335000003</v>
      </c>
      <c r="J64" s="279">
        <f t="shared" si="39"/>
        <v>0</v>
      </c>
      <c r="K64" s="279">
        <f t="shared" si="39"/>
        <v>0</v>
      </c>
      <c r="L64" s="271">
        <f>SUM(J64:K64)</f>
        <v>0</v>
      </c>
      <c r="M64" s="281">
        <f ca="1">M54*(1+Indexation!$C$9)</f>
        <v>1.5520658017593363</v>
      </c>
      <c r="N64" s="305">
        <f>F64*M64/1000</f>
        <v>891.80753561692063</v>
      </c>
      <c r="O64" s="305">
        <f>I64*M64/1000</f>
        <v>603.00757061487059</v>
      </c>
      <c r="P64" s="305">
        <f>SUM(N64:O64)</f>
        <v>1494.8151062317911</v>
      </c>
      <c r="Q64" s="275">
        <f>J64*M64/1000</f>
        <v>0</v>
      </c>
      <c r="R64" s="275">
        <f>K64*M64/1000</f>
        <v>0</v>
      </c>
      <c r="S64" s="275">
        <f>Q64+R64</f>
        <v>0</v>
      </c>
      <c r="T64" s="280"/>
      <c r="U64" s="279">
        <v>913047</v>
      </c>
      <c r="V64" s="279">
        <v>170365</v>
      </c>
      <c r="W64" s="313">
        <v>0.9</v>
      </c>
      <c r="X64" s="279">
        <f t="shared" si="40"/>
        <v>1529353.7249999999</v>
      </c>
      <c r="Y64" s="279">
        <f t="shared" si="40"/>
        <v>285361.375</v>
      </c>
      <c r="Z64" s="279">
        <f t="shared" si="41"/>
        <v>1529353.7249999999</v>
      </c>
      <c r="AA64" s="279">
        <f t="shared" si="41"/>
        <v>285361.375</v>
      </c>
      <c r="AB64" s="279">
        <f t="shared" si="42"/>
        <v>0</v>
      </c>
      <c r="AC64" s="279">
        <f t="shared" si="42"/>
        <v>0</v>
      </c>
      <c r="AD64" s="271">
        <f>SUM(AB64:AC64)</f>
        <v>0</v>
      </c>
      <c r="AE64" s="281">
        <f ca="1">AE54*(1+Indexation!$C$9)</f>
        <v>0.62729628873628496</v>
      </c>
      <c r="AF64" s="305">
        <f>X64*AE64/1000</f>
        <v>959.35791585751281</v>
      </c>
      <c r="AG64" s="305">
        <f>AA64*AE64/1000</f>
        <v>179.00613148618331</v>
      </c>
      <c r="AH64" s="305">
        <f>SUM(AF64:AG64)</f>
        <v>1138.364047343696</v>
      </c>
      <c r="AI64" s="275">
        <f>AB64*AE64/1000</f>
        <v>0</v>
      </c>
      <c r="AJ64" s="275">
        <f>AC64*AE64/1000</f>
        <v>0</v>
      </c>
      <c r="AK64" s="275">
        <f>AI64+AJ64</f>
        <v>0</v>
      </c>
      <c r="AL64" s="280"/>
      <c r="AM64" s="279">
        <v>132102</v>
      </c>
      <c r="AN64" s="279">
        <v>5574.46</v>
      </c>
      <c r="AO64" s="313">
        <v>1</v>
      </c>
      <c r="AP64" s="279">
        <f t="shared" si="43"/>
        <v>231178.5</v>
      </c>
      <c r="AQ64" s="279">
        <f t="shared" si="43"/>
        <v>9755.3050000000003</v>
      </c>
      <c r="AR64" s="279">
        <f t="shared" si="44"/>
        <v>231178.5</v>
      </c>
      <c r="AS64" s="279">
        <f t="shared" si="44"/>
        <v>9755.3050000000003</v>
      </c>
      <c r="AT64" s="279">
        <f t="shared" si="45"/>
        <v>0</v>
      </c>
      <c r="AU64" s="279">
        <f t="shared" si="45"/>
        <v>0</v>
      </c>
      <c r="AV64" s="271">
        <f>SUM(AT64:AU64)</f>
        <v>0</v>
      </c>
      <c r="AW64" s="281">
        <f ca="1">AW54*(1+Indexation!$C$9)</f>
        <v>3.8204130215039278</v>
      </c>
      <c r="AX64" s="305">
        <f>AP64*AW64/1000</f>
        <v>883.19735169174578</v>
      </c>
      <c r="AY64" s="305">
        <f>AS64*AW64/1000</f>
        <v>37.269294250742369</v>
      </c>
      <c r="AZ64" s="305">
        <f>SUM(AX64:AY64)</f>
        <v>920.46664594248819</v>
      </c>
      <c r="BA64" s="275">
        <f>AT64*AW64/1000</f>
        <v>0</v>
      </c>
      <c r="BB64" s="275">
        <f>AU64*AW64/1000</f>
        <v>0</v>
      </c>
      <c r="BC64" s="275">
        <f>BA64+BB64</f>
        <v>0</v>
      </c>
      <c r="BD64" s="280"/>
      <c r="BE64" s="279">
        <f>J12-H12</f>
        <v>1903.9428533958417</v>
      </c>
      <c r="BF64" s="272">
        <v>0.98361975215267461</v>
      </c>
      <c r="BG64" s="279">
        <f>BE64*BF64</f>
        <v>1872.7557975700738</v>
      </c>
      <c r="BH64" s="281">
        <f ca="1">BH54*(1+Indexation!$C$9)</f>
        <v>20.499291347157605</v>
      </c>
      <c r="BI64" s="314">
        <f>BK64-BJ64</f>
        <v>29.539422271937063</v>
      </c>
      <c r="BJ64" s="314">
        <f>(O64+AG64+AY64)/(P64+AH64+AZ64)*BK64</f>
        <v>8.8507444445303829</v>
      </c>
      <c r="BK64" s="314">
        <f>BG64*BH64/1000</f>
        <v>38.390166716467448</v>
      </c>
      <c r="BL64" s="315">
        <f t="shared" si="46"/>
        <v>29.539422271937063</v>
      </c>
      <c r="BM64" s="315">
        <f t="shared" si="46"/>
        <v>8.8507444445303829</v>
      </c>
      <c r="BN64" s="315">
        <f>SUM(BL64:BM64)</f>
        <v>38.390166716467448</v>
      </c>
    </row>
    <row r="65" spans="1:66" ht="12.6" customHeight="1">
      <c r="A65" s="201"/>
    </row>
    <row r="66" spans="1:66" ht="15.75">
      <c r="A66" s="20" t="s">
        <v>212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3.5" thickBot="1">
      <c r="A67" s="172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2"/>
      <c r="AG67" s="172"/>
      <c r="AH67" s="172"/>
      <c r="AI67" s="172"/>
      <c r="AJ67" s="172"/>
      <c r="AK67" s="172"/>
      <c r="AL67" s="172"/>
      <c r="AM67" s="172"/>
      <c r="AN67" s="172"/>
      <c r="AO67" s="172"/>
      <c r="AP67" s="172"/>
      <c r="AQ67" s="172"/>
      <c r="AR67" s="172"/>
      <c r="AS67" s="172"/>
      <c r="AT67" s="172"/>
      <c r="AU67" s="172"/>
      <c r="AV67" s="172"/>
      <c r="AW67" s="172"/>
      <c r="AX67" s="172"/>
      <c r="AY67" s="172"/>
      <c r="AZ67" s="172"/>
      <c r="BA67" s="172"/>
      <c r="BB67" s="172"/>
      <c r="BC67" s="172"/>
      <c r="BD67" s="172"/>
      <c r="BE67" s="172"/>
      <c r="BF67" s="172"/>
      <c r="BG67" s="172"/>
      <c r="BH67" s="172"/>
      <c r="BI67" s="172"/>
      <c r="BJ67" s="172"/>
      <c r="BK67" s="172"/>
      <c r="BL67" s="172"/>
      <c r="BM67" s="172"/>
      <c r="BN67" s="172"/>
    </row>
    <row r="68" spans="1:66" ht="13.5" customHeight="1">
      <c r="A68" s="352" t="s">
        <v>0</v>
      </c>
      <c r="B68" s="36"/>
      <c r="C68" s="357" t="s">
        <v>45</v>
      </c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49"/>
      <c r="T68" s="36"/>
      <c r="U68" s="357" t="s">
        <v>50</v>
      </c>
      <c r="V68" s="357"/>
      <c r="W68" s="357"/>
      <c r="X68" s="357"/>
      <c r="Y68" s="357"/>
      <c r="Z68" s="357"/>
      <c r="AA68" s="357"/>
      <c r="AB68" s="357"/>
      <c r="AC68" s="357"/>
      <c r="AD68" s="357"/>
      <c r="AE68" s="357"/>
      <c r="AF68" s="357"/>
      <c r="AG68" s="357"/>
      <c r="AH68" s="357"/>
      <c r="AI68" s="357"/>
      <c r="AJ68" s="357"/>
      <c r="AK68" s="49"/>
      <c r="AL68" s="36"/>
      <c r="AM68" s="357" t="s">
        <v>52</v>
      </c>
      <c r="AN68" s="357"/>
      <c r="AO68" s="357"/>
      <c r="AP68" s="357"/>
      <c r="AQ68" s="357"/>
      <c r="AR68" s="357"/>
      <c r="AS68" s="357"/>
      <c r="AT68" s="357"/>
      <c r="AU68" s="357"/>
      <c r="AV68" s="357"/>
      <c r="AW68" s="357"/>
      <c r="AX68" s="357"/>
      <c r="AY68" s="357"/>
      <c r="AZ68" s="357"/>
      <c r="BA68" s="357"/>
      <c r="BB68" s="357"/>
      <c r="BC68" s="49"/>
      <c r="BD68" s="36"/>
      <c r="BE68" s="356" t="s">
        <v>53</v>
      </c>
      <c r="BF68" s="356"/>
      <c r="BG68" s="356"/>
      <c r="BH68" s="356"/>
      <c r="BI68" s="356"/>
      <c r="BJ68" s="356"/>
      <c r="BK68" s="356"/>
      <c r="BL68" s="370" t="s">
        <v>21</v>
      </c>
      <c r="BM68" s="370"/>
      <c r="BN68" s="370"/>
    </row>
    <row r="69" spans="1:66" ht="63.75" customHeight="1">
      <c r="A69" s="358"/>
      <c r="B69" s="268"/>
      <c r="C69" s="362" t="s">
        <v>46</v>
      </c>
      <c r="D69" s="362"/>
      <c r="E69" s="296" t="s">
        <v>51</v>
      </c>
      <c r="F69" s="362" t="s">
        <v>49</v>
      </c>
      <c r="G69" s="362"/>
      <c r="H69" s="362" t="s">
        <v>145</v>
      </c>
      <c r="I69" s="362"/>
      <c r="J69" s="368" t="s">
        <v>146</v>
      </c>
      <c r="K69" s="368"/>
      <c r="L69" s="368"/>
      <c r="M69" s="296" t="s">
        <v>113</v>
      </c>
      <c r="N69" s="369" t="s">
        <v>147</v>
      </c>
      <c r="O69" s="369"/>
      <c r="P69" s="369"/>
      <c r="Q69" s="363" t="s">
        <v>142</v>
      </c>
      <c r="R69" s="363"/>
      <c r="S69" s="363"/>
      <c r="T69" s="306"/>
      <c r="U69" s="362" t="s">
        <v>46</v>
      </c>
      <c r="V69" s="362"/>
      <c r="W69" s="296" t="s">
        <v>51</v>
      </c>
      <c r="X69" s="362" t="s">
        <v>49</v>
      </c>
      <c r="Y69" s="362"/>
      <c r="Z69" s="362" t="s">
        <v>145</v>
      </c>
      <c r="AA69" s="362"/>
      <c r="AB69" s="368" t="s">
        <v>146</v>
      </c>
      <c r="AC69" s="368"/>
      <c r="AD69" s="368"/>
      <c r="AE69" s="296" t="s">
        <v>113</v>
      </c>
      <c r="AF69" s="369" t="s">
        <v>147</v>
      </c>
      <c r="AG69" s="369"/>
      <c r="AH69" s="369"/>
      <c r="AI69" s="363" t="s">
        <v>142</v>
      </c>
      <c r="AJ69" s="363"/>
      <c r="AK69" s="363"/>
      <c r="AL69" s="306"/>
      <c r="AM69" s="362" t="s">
        <v>46</v>
      </c>
      <c r="AN69" s="362"/>
      <c r="AO69" s="296" t="s">
        <v>51</v>
      </c>
      <c r="AP69" s="362" t="s">
        <v>49</v>
      </c>
      <c r="AQ69" s="362"/>
      <c r="AR69" s="362" t="s">
        <v>145</v>
      </c>
      <c r="AS69" s="362"/>
      <c r="AT69" s="368" t="s">
        <v>146</v>
      </c>
      <c r="AU69" s="368"/>
      <c r="AV69" s="368"/>
      <c r="AW69" s="296" t="s">
        <v>113</v>
      </c>
      <c r="AX69" s="369" t="s">
        <v>147</v>
      </c>
      <c r="AY69" s="369"/>
      <c r="AZ69" s="369"/>
      <c r="BA69" s="363" t="s">
        <v>142</v>
      </c>
      <c r="BB69" s="363"/>
      <c r="BC69" s="363"/>
      <c r="BD69" s="306"/>
      <c r="BE69" s="368" t="s">
        <v>224</v>
      </c>
      <c r="BF69" s="368" t="s">
        <v>24</v>
      </c>
      <c r="BG69" s="368" t="s">
        <v>143</v>
      </c>
      <c r="BH69" s="296" t="s">
        <v>113</v>
      </c>
      <c r="BI69" s="363" t="s">
        <v>142</v>
      </c>
      <c r="BJ69" s="363"/>
      <c r="BK69" s="363"/>
      <c r="BL69" s="371" t="s">
        <v>142</v>
      </c>
      <c r="BM69" s="371"/>
      <c r="BN69" s="371"/>
    </row>
    <row r="70" spans="1:66" ht="17.25" customHeight="1">
      <c r="A70" s="358"/>
      <c r="B70" s="268"/>
      <c r="C70" s="296" t="s">
        <v>47</v>
      </c>
      <c r="D70" s="296" t="s">
        <v>48</v>
      </c>
      <c r="E70" s="296">
        <v>1.75</v>
      </c>
      <c r="F70" s="296" t="s">
        <v>47</v>
      </c>
      <c r="G70" s="296" t="s">
        <v>48</v>
      </c>
      <c r="H70" s="296" t="s">
        <v>47</v>
      </c>
      <c r="I70" s="296" t="s">
        <v>48</v>
      </c>
      <c r="J70" s="296" t="s">
        <v>47</v>
      </c>
      <c r="K70" s="296" t="s">
        <v>48</v>
      </c>
      <c r="L70" s="296" t="s">
        <v>21</v>
      </c>
      <c r="M70" s="307"/>
      <c r="N70" s="298" t="s">
        <v>47</v>
      </c>
      <c r="O70" s="298" t="s">
        <v>48</v>
      </c>
      <c r="P70" s="298" t="s">
        <v>21</v>
      </c>
      <c r="Q70" s="299" t="s">
        <v>47</v>
      </c>
      <c r="R70" s="299" t="s">
        <v>48</v>
      </c>
      <c r="S70" s="299" t="s">
        <v>21</v>
      </c>
      <c r="T70" s="306"/>
      <c r="U70" s="296" t="s">
        <v>47</v>
      </c>
      <c r="V70" s="296" t="s">
        <v>48</v>
      </c>
      <c r="W70" s="296">
        <v>1.75</v>
      </c>
      <c r="X70" s="296" t="s">
        <v>47</v>
      </c>
      <c r="Y70" s="296" t="s">
        <v>48</v>
      </c>
      <c r="Z70" s="296" t="s">
        <v>47</v>
      </c>
      <c r="AA70" s="296" t="s">
        <v>48</v>
      </c>
      <c r="AB70" s="296" t="s">
        <v>47</v>
      </c>
      <c r="AC70" s="296" t="s">
        <v>48</v>
      </c>
      <c r="AD70" s="296" t="s">
        <v>21</v>
      </c>
      <c r="AE70" s="307"/>
      <c r="AF70" s="298" t="s">
        <v>47</v>
      </c>
      <c r="AG70" s="298" t="s">
        <v>48</v>
      </c>
      <c r="AH70" s="298" t="s">
        <v>21</v>
      </c>
      <c r="AI70" s="299" t="s">
        <v>47</v>
      </c>
      <c r="AJ70" s="299" t="s">
        <v>48</v>
      </c>
      <c r="AK70" s="299" t="s">
        <v>21</v>
      </c>
      <c r="AL70" s="306"/>
      <c r="AM70" s="296" t="s">
        <v>47</v>
      </c>
      <c r="AN70" s="296" t="s">
        <v>48</v>
      </c>
      <c r="AO70" s="296">
        <v>1.75</v>
      </c>
      <c r="AP70" s="296" t="s">
        <v>47</v>
      </c>
      <c r="AQ70" s="296" t="s">
        <v>48</v>
      </c>
      <c r="AR70" s="296" t="s">
        <v>47</v>
      </c>
      <c r="AS70" s="296" t="s">
        <v>48</v>
      </c>
      <c r="AT70" s="296" t="s">
        <v>47</v>
      </c>
      <c r="AU70" s="296" t="s">
        <v>48</v>
      </c>
      <c r="AV70" s="296" t="s">
        <v>21</v>
      </c>
      <c r="AW70" s="296"/>
      <c r="AX70" s="298" t="s">
        <v>47</v>
      </c>
      <c r="AY70" s="298" t="s">
        <v>48</v>
      </c>
      <c r="AZ70" s="298" t="s">
        <v>21</v>
      </c>
      <c r="BA70" s="299" t="s">
        <v>47</v>
      </c>
      <c r="BB70" s="299" t="s">
        <v>48</v>
      </c>
      <c r="BC70" s="299" t="s">
        <v>21</v>
      </c>
      <c r="BD70" s="306"/>
      <c r="BE70" s="362"/>
      <c r="BF70" s="362"/>
      <c r="BG70" s="362"/>
      <c r="BH70" s="296"/>
      <c r="BI70" s="299" t="s">
        <v>47</v>
      </c>
      <c r="BJ70" s="299" t="s">
        <v>48</v>
      </c>
      <c r="BK70" s="299" t="s">
        <v>21</v>
      </c>
      <c r="BL70" s="300" t="s">
        <v>47</v>
      </c>
      <c r="BM70" s="300" t="s">
        <v>48</v>
      </c>
      <c r="BN70" s="300" t="s">
        <v>21</v>
      </c>
    </row>
    <row r="71" spans="1:66" ht="18" customHeight="1">
      <c r="A71" s="33"/>
      <c r="B71" s="301"/>
      <c r="C71" s="16" t="s">
        <v>43</v>
      </c>
      <c r="D71" s="16" t="s">
        <v>43</v>
      </c>
      <c r="E71" s="16"/>
      <c r="F71" s="16" t="s">
        <v>43</v>
      </c>
      <c r="G71" s="16" t="s">
        <v>43</v>
      </c>
      <c r="H71" s="16" t="s">
        <v>43</v>
      </c>
      <c r="I71" s="16" t="s">
        <v>43</v>
      </c>
      <c r="J71" s="16" t="s">
        <v>43</v>
      </c>
      <c r="K71" s="16" t="s">
        <v>43</v>
      </c>
      <c r="L71" s="16" t="s">
        <v>43</v>
      </c>
      <c r="M71" s="16" t="s">
        <v>117</v>
      </c>
      <c r="N71" s="131" t="s">
        <v>1</v>
      </c>
      <c r="O71" s="131" t="s">
        <v>1</v>
      </c>
      <c r="P71" s="131" t="s">
        <v>1</v>
      </c>
      <c r="Q71" s="119" t="s">
        <v>1</v>
      </c>
      <c r="R71" s="119" t="s">
        <v>1</v>
      </c>
      <c r="S71" s="119" t="s">
        <v>1</v>
      </c>
      <c r="T71" s="308"/>
      <c r="U71" s="16" t="s">
        <v>43</v>
      </c>
      <c r="V71" s="16" t="s">
        <v>43</v>
      </c>
      <c r="W71" s="16"/>
      <c r="X71" s="16" t="s">
        <v>43</v>
      </c>
      <c r="Y71" s="16" t="s">
        <v>43</v>
      </c>
      <c r="Z71" s="16" t="s">
        <v>43</v>
      </c>
      <c r="AA71" s="16" t="s">
        <v>43</v>
      </c>
      <c r="AB71" s="16" t="s">
        <v>43</v>
      </c>
      <c r="AC71" s="16" t="s">
        <v>43</v>
      </c>
      <c r="AD71" s="16" t="s">
        <v>43</v>
      </c>
      <c r="AE71" s="16" t="s">
        <v>117</v>
      </c>
      <c r="AF71" s="131" t="s">
        <v>1</v>
      </c>
      <c r="AG71" s="131" t="s">
        <v>1</v>
      </c>
      <c r="AH71" s="131" t="s">
        <v>1</v>
      </c>
      <c r="AI71" s="119" t="s">
        <v>1</v>
      </c>
      <c r="AJ71" s="119" t="s">
        <v>1</v>
      </c>
      <c r="AK71" s="119" t="s">
        <v>1</v>
      </c>
      <c r="AL71" s="308"/>
      <c r="AM71" s="16" t="s">
        <v>43</v>
      </c>
      <c r="AN71" s="16" t="s">
        <v>43</v>
      </c>
      <c r="AO71" s="16"/>
      <c r="AP71" s="16" t="s">
        <v>43</v>
      </c>
      <c r="AQ71" s="16" t="s">
        <v>43</v>
      </c>
      <c r="AR71" s="16" t="s">
        <v>43</v>
      </c>
      <c r="AS71" s="16" t="s">
        <v>43</v>
      </c>
      <c r="AT71" s="16" t="s">
        <v>43</v>
      </c>
      <c r="AU71" s="16" t="s">
        <v>43</v>
      </c>
      <c r="AV71" s="16" t="s">
        <v>43</v>
      </c>
      <c r="AW71" s="16" t="s">
        <v>117</v>
      </c>
      <c r="AX71" s="131" t="s">
        <v>1</v>
      </c>
      <c r="AY71" s="131" t="s">
        <v>1</v>
      </c>
      <c r="AZ71" s="131" t="s">
        <v>1</v>
      </c>
      <c r="BA71" s="119" t="s">
        <v>1</v>
      </c>
      <c r="BB71" s="119" t="s">
        <v>1</v>
      </c>
      <c r="BC71" s="119" t="s">
        <v>1</v>
      </c>
      <c r="BD71" s="308"/>
      <c r="BE71" s="16" t="s">
        <v>23</v>
      </c>
      <c r="BF71" s="16"/>
      <c r="BG71" s="16" t="s">
        <v>23</v>
      </c>
      <c r="BH71" s="16" t="s">
        <v>144</v>
      </c>
      <c r="BI71" s="119" t="s">
        <v>1</v>
      </c>
      <c r="BJ71" s="119" t="s">
        <v>1</v>
      </c>
      <c r="BK71" s="119" t="s">
        <v>1</v>
      </c>
      <c r="BL71" s="122" t="s">
        <v>1</v>
      </c>
      <c r="BM71" s="122" t="s">
        <v>1</v>
      </c>
      <c r="BN71" s="122" t="s">
        <v>1</v>
      </c>
    </row>
    <row r="72" spans="1:66" ht="14.25" customHeight="1">
      <c r="A72" s="249" t="s">
        <v>4</v>
      </c>
      <c r="B72" s="249"/>
      <c r="C72" s="307">
        <v>427604.73043700005</v>
      </c>
      <c r="D72" s="307">
        <v>0</v>
      </c>
      <c r="E72" s="24">
        <v>1</v>
      </c>
      <c r="F72" s="307">
        <f t="shared" ref="F72:G74" si="47">C72*(1-$E72)+C72*($E72*$E$40)</f>
        <v>748308.27826475003</v>
      </c>
      <c r="G72" s="307">
        <f t="shared" si="47"/>
        <v>0</v>
      </c>
      <c r="H72" s="307">
        <f t="shared" ref="H72:I74" si="48">F62</f>
        <v>748308.27826475003</v>
      </c>
      <c r="I72" s="307">
        <f t="shared" si="48"/>
        <v>0</v>
      </c>
      <c r="J72" s="307">
        <f t="shared" ref="J72:K74" si="49">F72-H72</f>
        <v>0</v>
      </c>
      <c r="K72" s="307">
        <f t="shared" si="49"/>
        <v>0</v>
      </c>
      <c r="L72" s="250">
        <f>SUM(J72:K72)</f>
        <v>0</v>
      </c>
      <c r="M72" s="309">
        <f ca="1">M62*(1+Indexation!$C$10)</f>
        <v>1.5794327880316392</v>
      </c>
      <c r="N72" s="303">
        <f>F72*M72/1000</f>
        <v>1181.9026302468496</v>
      </c>
      <c r="O72" s="303">
        <f>I72*M72/1000</f>
        <v>0</v>
      </c>
      <c r="P72" s="303">
        <f>SUM(N72:O72)</f>
        <v>1181.9026302468496</v>
      </c>
      <c r="Q72" s="253">
        <f>J72*M72/1000</f>
        <v>0</v>
      </c>
      <c r="R72" s="253">
        <f>K72*M72/1000</f>
        <v>0</v>
      </c>
      <c r="S72" s="253">
        <f>Q72+R72</f>
        <v>0</v>
      </c>
      <c r="T72" s="310"/>
      <c r="U72" s="307">
        <v>1746850</v>
      </c>
      <c r="V72" s="307">
        <v>0</v>
      </c>
      <c r="W72" s="24">
        <v>1</v>
      </c>
      <c r="X72" s="307">
        <f t="shared" ref="X72:Y74" si="50">U72*(1-$W72)+U72*($W72*$W$30)</f>
        <v>3056987.5</v>
      </c>
      <c r="Y72" s="307">
        <f t="shared" si="50"/>
        <v>0</v>
      </c>
      <c r="Z72" s="307">
        <f t="shared" ref="Z72:AA74" si="51">X62</f>
        <v>3056987.5</v>
      </c>
      <c r="AA72" s="307">
        <f t="shared" si="51"/>
        <v>0</v>
      </c>
      <c r="AB72" s="307">
        <f t="shared" ref="AB72:AC74" si="52">X72-Z72</f>
        <v>0</v>
      </c>
      <c r="AC72" s="307">
        <f t="shared" si="52"/>
        <v>0</v>
      </c>
      <c r="AD72" s="250">
        <f>SUM(AB72:AC72)</f>
        <v>0</v>
      </c>
      <c r="AE72" s="309">
        <f ca="1">AE62*(1+Indexation!$C$10)</f>
        <v>0.63835716573199763</v>
      </c>
      <c r="AF72" s="303">
        <f>X72*AE72/1000</f>
        <v>1951.4498761781451</v>
      </c>
      <c r="AG72" s="303">
        <f>AA72*AE72/1000</f>
        <v>0</v>
      </c>
      <c r="AH72" s="303">
        <f>SUM(AF72:AG72)</f>
        <v>1951.4498761781451</v>
      </c>
      <c r="AI72" s="253">
        <f>AB72*AE72/1000</f>
        <v>0</v>
      </c>
      <c r="AJ72" s="253">
        <f>AC72*AE72/1000</f>
        <v>0</v>
      </c>
      <c r="AK72" s="253">
        <f>AI72+AJ72</f>
        <v>0</v>
      </c>
      <c r="AL72" s="310"/>
      <c r="AM72" s="307">
        <v>179176.5</v>
      </c>
      <c r="AN72" s="307">
        <v>0</v>
      </c>
      <c r="AO72" s="24">
        <v>1</v>
      </c>
      <c r="AP72" s="307">
        <f t="shared" ref="AP72:AQ74" si="53">AM72*(1-$AO72)+AM72*($AO72*$AO$30)</f>
        <v>313558.875</v>
      </c>
      <c r="AQ72" s="307">
        <f t="shared" si="53"/>
        <v>0</v>
      </c>
      <c r="AR72" s="307">
        <f t="shared" ref="AR72:AS74" si="54">AP62</f>
        <v>313558.875</v>
      </c>
      <c r="AS72" s="307">
        <f t="shared" si="54"/>
        <v>0</v>
      </c>
      <c r="AT72" s="307">
        <f t="shared" ref="AT72:AU74" si="55">AP72-AR72</f>
        <v>0</v>
      </c>
      <c r="AU72" s="307">
        <f t="shared" si="55"/>
        <v>0</v>
      </c>
      <c r="AV72" s="250">
        <f>SUM(AT72:AU72)</f>
        <v>0</v>
      </c>
      <c r="AW72" s="309">
        <f ca="1">AW62*(1+Indexation!$C$10)</f>
        <v>3.8877769120010361</v>
      </c>
      <c r="AX72" s="303">
        <f>AP72*AW72/1000</f>
        <v>1219.046954778019</v>
      </c>
      <c r="AY72" s="303">
        <f>AS72*AW72/1000</f>
        <v>0</v>
      </c>
      <c r="AZ72" s="303">
        <f>SUM(AX72:AY72)</f>
        <v>1219.046954778019</v>
      </c>
      <c r="BA72" s="253">
        <f>AT72*AW72/1000</f>
        <v>0</v>
      </c>
      <c r="BB72" s="253">
        <f>AU72*AW72/1000</f>
        <v>0</v>
      </c>
      <c r="BC72" s="253">
        <f>BA72+BB72</f>
        <v>0</v>
      </c>
      <c r="BD72" s="310"/>
      <c r="BE72" s="307">
        <f>K10-J10</f>
        <v>1233</v>
      </c>
      <c r="BF72" s="17">
        <v>1.0789844859821107</v>
      </c>
      <c r="BG72" s="307">
        <f>BE72*BF72</f>
        <v>1330.3878712159426</v>
      </c>
      <c r="BH72" s="309">
        <f ca="1">BH62*(1+Indexation!$C$10)</f>
        <v>20.860747558778062</v>
      </c>
      <c r="BI72" s="311">
        <f>BK72-BJ72</f>
        <v>27.752885536695917</v>
      </c>
      <c r="BJ72" s="311">
        <f>(O72+AG72+AY72)/(P72+AH72+AZ72)*BK72</f>
        <v>0</v>
      </c>
      <c r="BK72" s="311">
        <f>BG72*BH72/1000</f>
        <v>27.752885536695917</v>
      </c>
      <c r="BL72" s="312">
        <f t="shared" ref="BL72:BM74" si="56">Q72+AI72+BA72+BI72</f>
        <v>27.752885536695917</v>
      </c>
      <c r="BM72" s="312">
        <f t="shared" si="56"/>
        <v>0</v>
      </c>
      <c r="BN72" s="312">
        <f>SUM(BL72:BM72)</f>
        <v>27.752885536695917</v>
      </c>
    </row>
    <row r="73" spans="1:66" ht="14.25" customHeight="1">
      <c r="A73" s="249" t="s">
        <v>15</v>
      </c>
      <c r="B73" s="249"/>
      <c r="C73" s="307">
        <v>782924.42220000003</v>
      </c>
      <c r="D73" s="307">
        <v>0</v>
      </c>
      <c r="E73" s="24">
        <v>1</v>
      </c>
      <c r="F73" s="307">
        <f t="shared" si="47"/>
        <v>1370117.7388500001</v>
      </c>
      <c r="G73" s="307">
        <f t="shared" si="47"/>
        <v>0</v>
      </c>
      <c r="H73" s="307">
        <f t="shared" si="48"/>
        <v>1370117.7388500001</v>
      </c>
      <c r="I73" s="307">
        <f t="shared" si="48"/>
        <v>0</v>
      </c>
      <c r="J73" s="307">
        <f t="shared" si="49"/>
        <v>0</v>
      </c>
      <c r="K73" s="307">
        <f t="shared" si="49"/>
        <v>0</v>
      </c>
      <c r="L73" s="250">
        <f>SUM(J73:K73)</f>
        <v>0</v>
      </c>
      <c r="M73" s="309">
        <f ca="1">M63*(1+Indexation!$C$10)</f>
        <v>1.6227284947643303</v>
      </c>
      <c r="N73" s="303">
        <f>F73*M73/1000</f>
        <v>2223.3290960139684</v>
      </c>
      <c r="O73" s="303">
        <f>I73*M73/1000</f>
        <v>0</v>
      </c>
      <c r="P73" s="303">
        <f>SUM(N73:O73)</f>
        <v>2223.3290960139684</v>
      </c>
      <c r="Q73" s="253">
        <f>J73*M73/1000</f>
        <v>0</v>
      </c>
      <c r="R73" s="253">
        <f>K73*M73/1000</f>
        <v>0</v>
      </c>
      <c r="S73" s="253">
        <f>Q73+R73</f>
        <v>0</v>
      </c>
      <c r="T73" s="310"/>
      <c r="U73" s="307">
        <v>2174694.5161802578</v>
      </c>
      <c r="V73" s="307">
        <v>0</v>
      </c>
      <c r="W73" s="24">
        <v>1</v>
      </c>
      <c r="X73" s="307">
        <f t="shared" si="50"/>
        <v>3805715.403315451</v>
      </c>
      <c r="Y73" s="307">
        <f t="shared" si="50"/>
        <v>0</v>
      </c>
      <c r="Z73" s="307">
        <f t="shared" si="51"/>
        <v>3805715.403315451</v>
      </c>
      <c r="AA73" s="307">
        <f t="shared" si="51"/>
        <v>0</v>
      </c>
      <c r="AB73" s="307">
        <f t="shared" si="52"/>
        <v>0</v>
      </c>
      <c r="AC73" s="307">
        <f t="shared" si="52"/>
        <v>0</v>
      </c>
      <c r="AD73" s="250">
        <f>SUM(AB73:AC73)</f>
        <v>0</v>
      </c>
      <c r="AE73" s="309">
        <f ca="1">AE63*(1+Indexation!$C$10)</f>
        <v>0.65585593164826572</v>
      </c>
      <c r="AF73" s="303">
        <f>X73*AE73/1000</f>
        <v>2496.0010214296103</v>
      </c>
      <c r="AG73" s="303">
        <f>AA73*AE73/1000</f>
        <v>0</v>
      </c>
      <c r="AH73" s="303">
        <f>SUM(AF73:AG73)</f>
        <v>2496.0010214296103</v>
      </c>
      <c r="AI73" s="253">
        <f>AB73*AE73/1000</f>
        <v>0</v>
      </c>
      <c r="AJ73" s="253">
        <f>AC73*AE73/1000</f>
        <v>0</v>
      </c>
      <c r="AK73" s="253">
        <f>AI73+AJ73</f>
        <v>0</v>
      </c>
      <c r="AL73" s="310"/>
      <c r="AM73" s="307">
        <v>193017.5</v>
      </c>
      <c r="AN73" s="307">
        <v>0</v>
      </c>
      <c r="AO73" s="24">
        <v>1</v>
      </c>
      <c r="AP73" s="307">
        <f t="shared" si="53"/>
        <v>337780.625</v>
      </c>
      <c r="AQ73" s="307">
        <f t="shared" si="53"/>
        <v>0</v>
      </c>
      <c r="AR73" s="307">
        <f t="shared" si="54"/>
        <v>337780.625</v>
      </c>
      <c r="AS73" s="307">
        <f t="shared" si="54"/>
        <v>0</v>
      </c>
      <c r="AT73" s="307">
        <f t="shared" si="55"/>
        <v>0</v>
      </c>
      <c r="AU73" s="307">
        <f t="shared" si="55"/>
        <v>0</v>
      </c>
      <c r="AV73" s="250">
        <f>SUM(AT73:AU73)</f>
        <v>0</v>
      </c>
      <c r="AW73" s="309">
        <f ca="1">AW63*(1+Indexation!$C$10)</f>
        <v>3.9943493792181441</v>
      </c>
      <c r="AX73" s="303">
        <f>AP73*AW73/1000</f>
        <v>1349.2138297806669</v>
      </c>
      <c r="AY73" s="303">
        <f>AS73*AW73/1000</f>
        <v>0</v>
      </c>
      <c r="AZ73" s="303">
        <f>SUM(AX73:AY73)</f>
        <v>1349.2138297806669</v>
      </c>
      <c r="BA73" s="253">
        <f>AT73*AW73/1000</f>
        <v>0</v>
      </c>
      <c r="BB73" s="253">
        <f>AU73*AW73/1000</f>
        <v>0</v>
      </c>
      <c r="BC73" s="253">
        <f>BA73+BB73</f>
        <v>0</v>
      </c>
      <c r="BD73" s="310"/>
      <c r="BE73" s="307">
        <f>K11-J11</f>
        <v>1679</v>
      </c>
      <c r="BF73" s="17">
        <v>1.0554522962647099</v>
      </c>
      <c r="BG73" s="307">
        <f>BE73*BF73</f>
        <v>1772.104405428448</v>
      </c>
      <c r="BH73" s="309">
        <f ca="1">BH63*(1+Indexation!$C$10)</f>
        <v>21.432586269088205</v>
      </c>
      <c r="BI73" s="311">
        <f>BK73-BJ73</f>
        <v>37.980780547176472</v>
      </c>
      <c r="BJ73" s="311">
        <f>(O73+AG73+AY73)/(P73+AH73+AZ73)*BK73</f>
        <v>0</v>
      </c>
      <c r="BK73" s="311">
        <f>BG73*BH73/1000</f>
        <v>37.980780547176472</v>
      </c>
      <c r="BL73" s="312">
        <f t="shared" si="56"/>
        <v>37.980780547176472</v>
      </c>
      <c r="BM73" s="312">
        <f t="shared" si="56"/>
        <v>0</v>
      </c>
      <c r="BN73" s="312">
        <f>SUM(BL73:BM73)</f>
        <v>37.980780547176472</v>
      </c>
    </row>
    <row r="74" spans="1:66" ht="14.25" customHeight="1" thickBot="1">
      <c r="A74" s="269" t="s">
        <v>17</v>
      </c>
      <c r="B74" s="269"/>
      <c r="C74" s="279">
        <v>493213.64448899997</v>
      </c>
      <c r="D74" s="279">
        <v>333492.99</v>
      </c>
      <c r="E74" s="313">
        <v>0.22</v>
      </c>
      <c r="F74" s="279">
        <f t="shared" si="47"/>
        <v>574593.89582968503</v>
      </c>
      <c r="G74" s="279">
        <f t="shared" si="47"/>
        <v>388519.33335000003</v>
      </c>
      <c r="H74" s="279">
        <f t="shared" si="48"/>
        <v>574593.89582968503</v>
      </c>
      <c r="I74" s="279">
        <f t="shared" si="48"/>
        <v>388519.33335000003</v>
      </c>
      <c r="J74" s="279">
        <f t="shared" si="49"/>
        <v>0</v>
      </c>
      <c r="K74" s="279">
        <f t="shared" si="49"/>
        <v>0</v>
      </c>
      <c r="L74" s="271">
        <f>SUM(J74:K74)</f>
        <v>0</v>
      </c>
      <c r="M74" s="281">
        <f ca="1">M64*(1+Indexation!$C$10)</f>
        <v>1.5675864597769296</v>
      </c>
      <c r="N74" s="305">
        <f>F74*M74/1000</f>
        <v>900.72561097308983</v>
      </c>
      <c r="O74" s="305">
        <f>I74*M74/1000</f>
        <v>609.03764632101922</v>
      </c>
      <c r="P74" s="305">
        <f>SUM(N74:O74)</f>
        <v>1509.7632572941091</v>
      </c>
      <c r="Q74" s="275">
        <f>J74*M74/1000</f>
        <v>0</v>
      </c>
      <c r="R74" s="275">
        <f>K74*M74/1000</f>
        <v>0</v>
      </c>
      <c r="S74" s="275">
        <f>Q74+R74</f>
        <v>0</v>
      </c>
      <c r="T74" s="280"/>
      <c r="U74" s="279">
        <v>913047</v>
      </c>
      <c r="V74" s="279">
        <v>170365</v>
      </c>
      <c r="W74" s="313">
        <v>0.9</v>
      </c>
      <c r="X74" s="279">
        <f t="shared" si="50"/>
        <v>1529353.7249999999</v>
      </c>
      <c r="Y74" s="279">
        <f t="shared" si="50"/>
        <v>285361.375</v>
      </c>
      <c r="Z74" s="279">
        <f t="shared" si="51"/>
        <v>1529353.7249999999</v>
      </c>
      <c r="AA74" s="279">
        <f t="shared" si="51"/>
        <v>285361.375</v>
      </c>
      <c r="AB74" s="279">
        <f t="shared" si="52"/>
        <v>0</v>
      </c>
      <c r="AC74" s="279">
        <f t="shared" si="52"/>
        <v>0</v>
      </c>
      <c r="AD74" s="271">
        <f>SUM(AB74:AC74)</f>
        <v>0</v>
      </c>
      <c r="AE74" s="281">
        <f ca="1">AE64*(1+Indexation!$C$10)</f>
        <v>0.63356925162364786</v>
      </c>
      <c r="AF74" s="305">
        <f>X74*AE74/1000</f>
        <v>968.95149501608796</v>
      </c>
      <c r="AG74" s="305">
        <f>AA74*AE74/1000</f>
        <v>180.79619280104515</v>
      </c>
      <c r="AH74" s="305">
        <f>SUM(AF74:AG74)</f>
        <v>1149.7476878171331</v>
      </c>
      <c r="AI74" s="275">
        <f>AB74*AE74/1000</f>
        <v>0</v>
      </c>
      <c r="AJ74" s="275">
        <f>AC74*AE74/1000</f>
        <v>0</v>
      </c>
      <c r="AK74" s="275">
        <f>AI74+AJ74</f>
        <v>0</v>
      </c>
      <c r="AL74" s="280"/>
      <c r="AM74" s="279">
        <v>132102</v>
      </c>
      <c r="AN74" s="279">
        <v>5574.46</v>
      </c>
      <c r="AO74" s="313">
        <v>1</v>
      </c>
      <c r="AP74" s="279">
        <f t="shared" si="53"/>
        <v>231178.5</v>
      </c>
      <c r="AQ74" s="279">
        <f t="shared" si="53"/>
        <v>9755.3050000000003</v>
      </c>
      <c r="AR74" s="279">
        <f t="shared" si="54"/>
        <v>231178.5</v>
      </c>
      <c r="AS74" s="279">
        <f t="shared" si="54"/>
        <v>9755.3050000000003</v>
      </c>
      <c r="AT74" s="279">
        <f t="shared" si="55"/>
        <v>0</v>
      </c>
      <c r="AU74" s="279">
        <f t="shared" si="55"/>
        <v>0</v>
      </c>
      <c r="AV74" s="271">
        <f>SUM(AT74:AU74)</f>
        <v>0</v>
      </c>
      <c r="AW74" s="281">
        <f ca="1">AW64*(1+Indexation!$C$10)</f>
        <v>3.8586171517189669</v>
      </c>
      <c r="AX74" s="305">
        <f>AP74*AW74/1000</f>
        <v>892.02932520866329</v>
      </c>
      <c r="AY74" s="305">
        <f>AS74*AW74/1000</f>
        <v>37.641987193249797</v>
      </c>
      <c r="AZ74" s="305">
        <f>SUM(AX74:AY74)</f>
        <v>929.67131240191304</v>
      </c>
      <c r="BA74" s="275">
        <f>AT74*AW74/1000</f>
        <v>0</v>
      </c>
      <c r="BB74" s="275">
        <f>AU74*AW74/1000</f>
        <v>0</v>
      </c>
      <c r="BC74" s="275">
        <f>BA74+BB74</f>
        <v>0</v>
      </c>
      <c r="BD74" s="280"/>
      <c r="BE74" s="279">
        <f>K12-J12</f>
        <v>1519</v>
      </c>
      <c r="BF74" s="272">
        <v>0.98361975215267461</v>
      </c>
      <c r="BG74" s="279">
        <f>BE74*BF74</f>
        <v>1494.1184035199128</v>
      </c>
      <c r="BH74" s="281">
        <f ca="1">BH64*(1+Indexation!$C$10)</f>
        <v>20.70428426062918</v>
      </c>
      <c r="BI74" s="314">
        <f>BK74-BJ74</f>
        <v>23.802755515772308</v>
      </c>
      <c r="BJ74" s="314">
        <f>(O74+AG74+AY74)/(P74+AH74+AZ74)*BK74</f>
        <v>7.1318966297414219</v>
      </c>
      <c r="BK74" s="314">
        <f>BG74*BH74/1000</f>
        <v>30.934652145513731</v>
      </c>
      <c r="BL74" s="315">
        <f t="shared" si="56"/>
        <v>23.802755515772308</v>
      </c>
      <c r="BM74" s="315">
        <f t="shared" si="56"/>
        <v>7.1318966297414219</v>
      </c>
      <c r="BN74" s="315">
        <f>SUM(BL74:BM74)</f>
        <v>30.934652145513731</v>
      </c>
    </row>
    <row r="75" spans="1:66" ht="12.6" customHeight="1">
      <c r="A75" s="201"/>
    </row>
  </sheetData>
  <mergeCells count="185">
    <mergeCell ref="N69:P69"/>
    <mergeCell ref="BE69:BE70"/>
    <mergeCell ref="BG59:BG60"/>
    <mergeCell ref="BF59:BF60"/>
    <mergeCell ref="BE59:BE60"/>
    <mergeCell ref="Z69:AA69"/>
    <mergeCell ref="X69:Y69"/>
    <mergeCell ref="U69:V69"/>
    <mergeCell ref="Q69:S69"/>
    <mergeCell ref="AB59:AD59"/>
    <mergeCell ref="J49:L49"/>
    <mergeCell ref="J59:L59"/>
    <mergeCell ref="J69:L69"/>
    <mergeCell ref="A68:A70"/>
    <mergeCell ref="H69:I69"/>
    <mergeCell ref="F69:G69"/>
    <mergeCell ref="C69:D69"/>
    <mergeCell ref="C59:D59"/>
    <mergeCell ref="C68:R68"/>
    <mergeCell ref="A58:A60"/>
    <mergeCell ref="AT49:AV49"/>
    <mergeCell ref="AT59:AV59"/>
    <mergeCell ref="AT69:AV69"/>
    <mergeCell ref="AB69:AD69"/>
    <mergeCell ref="AB49:AD49"/>
    <mergeCell ref="AR69:AS69"/>
    <mergeCell ref="AP69:AQ69"/>
    <mergeCell ref="AM69:AN69"/>
    <mergeCell ref="AI69:AK69"/>
    <mergeCell ref="AF69:AH69"/>
    <mergeCell ref="U68:AJ68"/>
    <mergeCell ref="BL69:BN69"/>
    <mergeCell ref="BI69:BK69"/>
    <mergeCell ref="BA69:BC69"/>
    <mergeCell ref="AX69:AZ69"/>
    <mergeCell ref="BG69:BG70"/>
    <mergeCell ref="BF69:BF70"/>
    <mergeCell ref="BL59:BN59"/>
    <mergeCell ref="BI59:BK59"/>
    <mergeCell ref="BA59:BC59"/>
    <mergeCell ref="AX59:AZ59"/>
    <mergeCell ref="BL68:BN68"/>
    <mergeCell ref="BE68:BK68"/>
    <mergeCell ref="AM68:BB68"/>
    <mergeCell ref="H59:I59"/>
    <mergeCell ref="F59:G59"/>
    <mergeCell ref="AF59:AH59"/>
    <mergeCell ref="Z59:AA59"/>
    <mergeCell ref="X59:Y59"/>
    <mergeCell ref="U59:V59"/>
    <mergeCell ref="BL58:BN58"/>
    <mergeCell ref="BE58:BK58"/>
    <mergeCell ref="AM58:BB58"/>
    <mergeCell ref="U58:AJ58"/>
    <mergeCell ref="Q59:S59"/>
    <mergeCell ref="N59:P59"/>
    <mergeCell ref="AR59:AS59"/>
    <mergeCell ref="AP59:AQ59"/>
    <mergeCell ref="AM59:AN59"/>
    <mergeCell ref="AI59:AK59"/>
    <mergeCell ref="C58:R58"/>
    <mergeCell ref="A48:A50"/>
    <mergeCell ref="BL49:BN49"/>
    <mergeCell ref="BI49:BK49"/>
    <mergeCell ref="BA49:BC49"/>
    <mergeCell ref="AX49:AZ49"/>
    <mergeCell ref="AR49:AS49"/>
    <mergeCell ref="AP49:AQ49"/>
    <mergeCell ref="AM49:AN49"/>
    <mergeCell ref="AI49:AK49"/>
    <mergeCell ref="BE49:BE50"/>
    <mergeCell ref="C48:R48"/>
    <mergeCell ref="Q49:S49"/>
    <mergeCell ref="N49:P49"/>
    <mergeCell ref="H49:I49"/>
    <mergeCell ref="F49:G49"/>
    <mergeCell ref="AF49:AH49"/>
    <mergeCell ref="Z49:AA49"/>
    <mergeCell ref="X49:Y49"/>
    <mergeCell ref="U49:V49"/>
    <mergeCell ref="C18:R18"/>
    <mergeCell ref="U18:AJ18"/>
    <mergeCell ref="AM18:BB18"/>
    <mergeCell ref="BE18:BK18"/>
    <mergeCell ref="C49:D49"/>
    <mergeCell ref="BL48:BN48"/>
    <mergeCell ref="BE48:BK48"/>
    <mergeCell ref="AM48:BB48"/>
    <mergeCell ref="BG49:BG50"/>
    <mergeCell ref="BF49:BF50"/>
    <mergeCell ref="F19:G19"/>
    <mergeCell ref="H19:I19"/>
    <mergeCell ref="N19:P19"/>
    <mergeCell ref="AR19:AS19"/>
    <mergeCell ref="AT19:AV19"/>
    <mergeCell ref="AX19:AZ19"/>
    <mergeCell ref="U48:AJ48"/>
    <mergeCell ref="AB29:AD29"/>
    <mergeCell ref="AF29:AH29"/>
    <mergeCell ref="AP39:AQ39"/>
    <mergeCell ref="AP29:AQ29"/>
    <mergeCell ref="BG19:BG20"/>
    <mergeCell ref="BA19:BC19"/>
    <mergeCell ref="BE19:BE20"/>
    <mergeCell ref="BF19:BF20"/>
    <mergeCell ref="A18:A20"/>
    <mergeCell ref="BI19:BK19"/>
    <mergeCell ref="Q19:S19"/>
    <mergeCell ref="J19:L19"/>
    <mergeCell ref="AB19:AD19"/>
    <mergeCell ref="U19:V19"/>
    <mergeCell ref="X19:Y19"/>
    <mergeCell ref="Z19:AA19"/>
    <mergeCell ref="AF19:AH19"/>
    <mergeCell ref="C19:D19"/>
    <mergeCell ref="AI19:AK19"/>
    <mergeCell ref="AM19:AN19"/>
    <mergeCell ref="AP19:AQ19"/>
    <mergeCell ref="N29:P29"/>
    <mergeCell ref="N39:P39"/>
    <mergeCell ref="AF39:AH39"/>
    <mergeCell ref="AM39:AN39"/>
    <mergeCell ref="AM29:AN29"/>
    <mergeCell ref="AI39:AK39"/>
    <mergeCell ref="AB39:AD39"/>
    <mergeCell ref="BL29:BN29"/>
    <mergeCell ref="BL28:BN28"/>
    <mergeCell ref="AR29:AS29"/>
    <mergeCell ref="BL19:BN19"/>
    <mergeCell ref="BF29:BF30"/>
    <mergeCell ref="BL18:BN18"/>
    <mergeCell ref="AT29:AV29"/>
    <mergeCell ref="J6:J8"/>
    <mergeCell ref="K6:K8"/>
    <mergeCell ref="BL38:BN38"/>
    <mergeCell ref="BL39:BN39"/>
    <mergeCell ref="AX29:AZ29"/>
    <mergeCell ref="BE28:BK28"/>
    <mergeCell ref="BG29:BG30"/>
    <mergeCell ref="BI29:BK29"/>
    <mergeCell ref="BA29:BC29"/>
    <mergeCell ref="BE29:BE30"/>
    <mergeCell ref="BI39:BK39"/>
    <mergeCell ref="BE38:BK38"/>
    <mergeCell ref="AX39:AZ39"/>
    <mergeCell ref="AI29:AK29"/>
    <mergeCell ref="BA39:BC39"/>
    <mergeCell ref="BE39:BE40"/>
    <mergeCell ref="BF39:BF40"/>
    <mergeCell ref="BG39:BG40"/>
    <mergeCell ref="AT39:AV39"/>
    <mergeCell ref="I6:I8"/>
    <mergeCell ref="H29:I29"/>
    <mergeCell ref="Z29:AA29"/>
    <mergeCell ref="Z39:AA39"/>
    <mergeCell ref="Q39:S39"/>
    <mergeCell ref="U39:V39"/>
    <mergeCell ref="X39:Y39"/>
    <mergeCell ref="H39:I39"/>
    <mergeCell ref="J29:L29"/>
    <mergeCell ref="J39:L39"/>
    <mergeCell ref="A38:A40"/>
    <mergeCell ref="C38:R38"/>
    <mergeCell ref="U38:AJ38"/>
    <mergeCell ref="AM38:BB38"/>
    <mergeCell ref="C39:D39"/>
    <mergeCell ref="F39:G39"/>
    <mergeCell ref="AR39:AS39"/>
    <mergeCell ref="A6:A8"/>
    <mergeCell ref="G6:G8"/>
    <mergeCell ref="H6:H8"/>
    <mergeCell ref="A28:A30"/>
    <mergeCell ref="C28:R28"/>
    <mergeCell ref="F6:F8"/>
    <mergeCell ref="L6:L8"/>
    <mergeCell ref="C6:C8"/>
    <mergeCell ref="D6:D8"/>
    <mergeCell ref="E6:E8"/>
    <mergeCell ref="U28:AJ28"/>
    <mergeCell ref="AM28:BB28"/>
    <mergeCell ref="C29:D29"/>
    <mergeCell ref="F29:G29"/>
    <mergeCell ref="Q29:S29"/>
    <mergeCell ref="U29:V29"/>
    <mergeCell ref="X29:Y29"/>
  </mergeCells>
  <phoneticPr fontId="6" type="noConversion"/>
  <pageMargins left="0.74803149606299213" right="0.95" top="0.47244094488188981" bottom="0.47244094488188981" header="0.35433070866141736" footer="0.23622047244094491"/>
  <pageSetup paperSize="5" orientation="landscape" r:id="rId1"/>
  <headerFooter alignWithMargins="0">
    <oddFooter>&amp;L&amp;Z&amp;F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/>
  </sheetPr>
  <dimension ref="A2:AL63"/>
  <sheetViews>
    <sheetView zoomScale="85" zoomScaleNormal="85" workbookViewId="0">
      <selection activeCell="AH62" sqref="AH62"/>
    </sheetView>
  </sheetViews>
  <sheetFormatPr baseColWidth="10" defaultRowHeight="12.75"/>
  <cols>
    <col min="1" max="1" width="32.42578125" style="2" customWidth="1"/>
    <col min="2" max="2" width="1.5703125" style="2" customWidth="1"/>
    <col min="3" max="8" width="11.5703125" style="2" customWidth="1"/>
    <col min="9" max="9" width="1.5703125" style="2" customWidth="1"/>
    <col min="10" max="14" width="11.5703125" style="2" customWidth="1"/>
    <col min="15" max="15" width="1.5703125" style="2" customWidth="1"/>
    <col min="16" max="21" width="11.5703125" style="2" customWidth="1"/>
    <col min="22" max="22" width="1.5703125" style="2" customWidth="1"/>
    <col min="23" max="27" width="11.140625" style="2" customWidth="1"/>
    <col min="28" max="28" width="1.5703125" style="2" customWidth="1"/>
    <col min="29" max="34" width="11.5703125" style="2" customWidth="1"/>
    <col min="35" max="35" width="1.5703125" style="2" customWidth="1"/>
    <col min="36" max="38" width="11.5703125" style="2" customWidth="1"/>
    <col min="39" max="39" width="1.42578125" style="2" customWidth="1"/>
    <col min="40" max="16384" width="11.42578125" style="2"/>
  </cols>
  <sheetData>
    <row r="2" spans="1:38" ht="15.75">
      <c r="A2" s="1" t="s">
        <v>68</v>
      </c>
      <c r="B2" s="1"/>
      <c r="C2" s="51"/>
      <c r="D2" s="5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1"/>
      <c r="Q2" s="5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51"/>
      <c r="AD2" s="51"/>
      <c r="AE2" s="1"/>
      <c r="AF2" s="1"/>
      <c r="AG2" s="1"/>
      <c r="AH2" s="1"/>
      <c r="AI2" s="1"/>
      <c r="AJ2" s="1"/>
      <c r="AK2" s="1"/>
      <c r="AL2" s="1"/>
    </row>
    <row r="3" spans="1:38" ht="15.75">
      <c r="A3" s="1"/>
      <c r="B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5.75">
      <c r="A4" s="20" t="s">
        <v>162</v>
      </c>
      <c r="B4" s="163"/>
      <c r="C4" s="101"/>
      <c r="D4" s="1"/>
      <c r="E4" s="1"/>
      <c r="F4" s="1"/>
      <c r="G4" s="1"/>
      <c r="H4" s="54"/>
      <c r="I4" s="1"/>
      <c r="J4" s="1"/>
      <c r="K4" s="1"/>
      <c r="L4" s="1"/>
      <c r="M4" s="1"/>
      <c r="N4" s="1"/>
      <c r="O4" s="1"/>
      <c r="P4" s="101"/>
      <c r="Q4" s="1"/>
      <c r="R4" s="1"/>
      <c r="S4" s="1"/>
      <c r="T4" s="1"/>
      <c r="U4" s="54"/>
      <c r="V4" s="1"/>
      <c r="W4" s="1"/>
      <c r="X4" s="1"/>
      <c r="Y4" s="1"/>
      <c r="Z4" s="1"/>
      <c r="AA4" s="1"/>
      <c r="AB4" s="163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>
      <c r="A5" s="172"/>
      <c r="B5" s="166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6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05"/>
      <c r="AD5" s="105"/>
      <c r="AE5" s="105"/>
      <c r="AF5" s="105"/>
      <c r="AG5" s="105"/>
      <c r="AH5" s="105"/>
      <c r="AI5" s="105"/>
      <c r="AJ5" s="172"/>
      <c r="AK5" s="105"/>
      <c r="AL5" s="105"/>
    </row>
    <row r="6" spans="1:38" ht="13.5" customHeight="1">
      <c r="A6" s="352" t="s">
        <v>0</v>
      </c>
      <c r="C6" s="357" t="s">
        <v>175</v>
      </c>
      <c r="D6" s="357"/>
      <c r="E6" s="357"/>
      <c r="F6" s="357"/>
      <c r="G6" s="357"/>
      <c r="H6" s="357"/>
      <c r="I6" s="36"/>
      <c r="J6" s="356" t="s">
        <v>149</v>
      </c>
      <c r="K6" s="356"/>
      <c r="L6" s="356"/>
      <c r="M6" s="356"/>
      <c r="N6" s="356"/>
      <c r="P6" s="357" t="s">
        <v>69</v>
      </c>
      <c r="Q6" s="357"/>
      <c r="R6" s="357"/>
      <c r="S6" s="357"/>
      <c r="T6" s="357"/>
      <c r="U6" s="357"/>
      <c r="V6" s="36"/>
      <c r="W6" s="357" t="s">
        <v>150</v>
      </c>
      <c r="X6" s="357"/>
      <c r="Y6" s="357"/>
      <c r="Z6" s="357"/>
      <c r="AA6" s="357"/>
      <c r="AB6" s="36"/>
      <c r="AC6" s="378" t="s">
        <v>142</v>
      </c>
      <c r="AD6" s="378"/>
      <c r="AE6" s="378"/>
      <c r="AF6" s="378"/>
      <c r="AG6" s="378"/>
      <c r="AH6" s="378"/>
      <c r="AI6" s="36"/>
      <c r="AJ6" s="377" t="s">
        <v>54</v>
      </c>
      <c r="AK6" s="377"/>
      <c r="AL6" s="377"/>
    </row>
    <row r="7" spans="1:38" ht="63.75" customHeight="1">
      <c r="A7" s="351"/>
      <c r="B7" s="34"/>
      <c r="C7" s="48" t="s">
        <v>56</v>
      </c>
      <c r="D7" s="48" t="s">
        <v>57</v>
      </c>
      <c r="E7" s="28" t="s">
        <v>58</v>
      </c>
      <c r="F7" s="48" t="s">
        <v>59</v>
      </c>
      <c r="G7" s="48" t="s">
        <v>60</v>
      </c>
      <c r="H7" s="28" t="s">
        <v>21</v>
      </c>
      <c r="I7" s="34"/>
      <c r="J7" s="48" t="s">
        <v>63</v>
      </c>
      <c r="K7" s="48" t="s">
        <v>65</v>
      </c>
      <c r="L7" s="48" t="s">
        <v>64</v>
      </c>
      <c r="M7" s="48" t="s">
        <v>66</v>
      </c>
      <c r="N7" s="48" t="s">
        <v>67</v>
      </c>
      <c r="O7" s="34"/>
      <c r="P7" s="48" t="s">
        <v>56</v>
      </c>
      <c r="Q7" s="48" t="s">
        <v>57</v>
      </c>
      <c r="R7" s="28" t="s">
        <v>58</v>
      </c>
      <c r="S7" s="48" t="s">
        <v>59</v>
      </c>
      <c r="T7" s="48" t="s">
        <v>60</v>
      </c>
      <c r="U7" s="28" t="s">
        <v>21</v>
      </c>
      <c r="V7" s="34"/>
      <c r="W7" s="48" t="s">
        <v>56</v>
      </c>
      <c r="X7" s="48" t="s">
        <v>57</v>
      </c>
      <c r="Y7" s="28" t="s">
        <v>58</v>
      </c>
      <c r="Z7" s="48" t="s">
        <v>59</v>
      </c>
      <c r="AA7" s="48" t="s">
        <v>60</v>
      </c>
      <c r="AB7" s="34"/>
      <c r="AC7" s="141" t="s">
        <v>56</v>
      </c>
      <c r="AD7" s="141" t="s">
        <v>57</v>
      </c>
      <c r="AE7" s="125" t="s">
        <v>58</v>
      </c>
      <c r="AF7" s="141" t="s">
        <v>59</v>
      </c>
      <c r="AG7" s="141" t="s">
        <v>60</v>
      </c>
      <c r="AH7" s="125" t="s">
        <v>21</v>
      </c>
      <c r="AI7" s="34"/>
      <c r="AJ7" s="376" t="s">
        <v>142</v>
      </c>
      <c r="AK7" s="376"/>
      <c r="AL7" s="376"/>
    </row>
    <row r="8" spans="1:38" ht="17.25" customHeight="1">
      <c r="A8" s="1"/>
      <c r="B8" s="1"/>
      <c r="D8" s="1"/>
      <c r="E8" s="1"/>
      <c r="F8" s="1"/>
      <c r="G8" s="1"/>
      <c r="H8" s="1"/>
      <c r="I8" s="34"/>
      <c r="J8" s="267" t="s">
        <v>303</v>
      </c>
      <c r="K8" s="52">
        <f>0.333333333333333%*100</f>
        <v>0.33333333333333298</v>
      </c>
      <c r="L8" s="267" t="s">
        <v>303</v>
      </c>
      <c r="M8" s="53">
        <f>1-K8</f>
        <v>0.66666666666666696</v>
      </c>
      <c r="N8" s="28"/>
      <c r="O8" s="34"/>
      <c r="P8" s="28"/>
      <c r="Q8" s="28"/>
      <c r="R8" s="28"/>
      <c r="S8" s="28"/>
      <c r="T8" s="28"/>
      <c r="U8" s="28"/>
      <c r="V8" s="34"/>
      <c r="W8" s="34"/>
      <c r="X8" s="34"/>
      <c r="Y8" s="34"/>
      <c r="Z8" s="34"/>
      <c r="AA8" s="34"/>
      <c r="AB8" s="34"/>
      <c r="AC8" s="144"/>
      <c r="AD8" s="144"/>
      <c r="AE8" s="144"/>
      <c r="AF8" s="144"/>
      <c r="AG8" s="144"/>
      <c r="AH8" s="125"/>
      <c r="AI8" s="34"/>
      <c r="AJ8" s="376" t="s">
        <v>47</v>
      </c>
      <c r="AK8" s="376" t="s">
        <v>48</v>
      </c>
      <c r="AL8" s="376" t="s">
        <v>21</v>
      </c>
    </row>
    <row r="9" spans="1:38" ht="18" customHeight="1">
      <c r="A9" s="33"/>
      <c r="B9" s="5"/>
      <c r="C9" s="16" t="s">
        <v>61</v>
      </c>
      <c r="D9" s="16" t="s">
        <v>62</v>
      </c>
      <c r="E9" s="16" t="s">
        <v>61</v>
      </c>
      <c r="F9" s="16" t="s">
        <v>43</v>
      </c>
      <c r="G9" s="16" t="s">
        <v>43</v>
      </c>
      <c r="H9" s="16" t="s">
        <v>43</v>
      </c>
      <c r="I9" s="5"/>
      <c r="J9" s="16">
        <v>1.5217657037549499</v>
      </c>
      <c r="K9" s="16"/>
      <c r="L9" s="16">
        <v>1.0499778896377401</v>
      </c>
      <c r="M9" s="16"/>
      <c r="N9" s="16"/>
      <c r="O9" s="5"/>
      <c r="P9" s="16" t="s">
        <v>61</v>
      </c>
      <c r="Q9" s="16" t="s">
        <v>62</v>
      </c>
      <c r="R9" s="16" t="s">
        <v>61</v>
      </c>
      <c r="S9" s="16" t="s">
        <v>43</v>
      </c>
      <c r="T9" s="16" t="s">
        <v>43</v>
      </c>
      <c r="U9" s="16" t="s">
        <v>43</v>
      </c>
      <c r="V9" s="5"/>
      <c r="W9" s="16" t="s">
        <v>151</v>
      </c>
      <c r="X9" s="16" t="s">
        <v>151</v>
      </c>
      <c r="Y9" s="16" t="s">
        <v>151</v>
      </c>
      <c r="Z9" s="16" t="s">
        <v>151</v>
      </c>
      <c r="AA9" s="16" t="s">
        <v>151</v>
      </c>
      <c r="AB9" s="5"/>
      <c r="AC9" s="119" t="s">
        <v>1</v>
      </c>
      <c r="AD9" s="119" t="s">
        <v>1</v>
      </c>
      <c r="AE9" s="119" t="s">
        <v>1</v>
      </c>
      <c r="AF9" s="119" t="s">
        <v>1</v>
      </c>
      <c r="AG9" s="119" t="s">
        <v>1</v>
      </c>
      <c r="AH9" s="119" t="s">
        <v>1</v>
      </c>
      <c r="AI9" s="5"/>
      <c r="AJ9" s="379"/>
      <c r="AK9" s="379"/>
      <c r="AL9" s="379"/>
    </row>
    <row r="10" spans="1:38" ht="14.25" customHeight="1">
      <c r="A10" s="7" t="s">
        <v>4</v>
      </c>
      <c r="B10" s="7"/>
      <c r="C10" s="173">
        <v>-144.57999999998719</v>
      </c>
      <c r="D10" s="173">
        <v>2592.6999999999534</v>
      </c>
      <c r="E10" s="173">
        <v>-1171.9499999999534</v>
      </c>
      <c r="F10" s="173">
        <v>-128.13999999999942</v>
      </c>
      <c r="G10" s="173">
        <v>-205.78000000002794</v>
      </c>
      <c r="H10" s="59">
        <f>SUM(C10:G10)</f>
        <v>942.24999999998545</v>
      </c>
      <c r="I10" s="7"/>
      <c r="J10" s="17">
        <v>1.5296690589615283</v>
      </c>
      <c r="K10" s="17">
        <f>J10/J9</f>
        <v>1.0051935427293945</v>
      </c>
      <c r="L10" s="17">
        <v>1.0562415501506166</v>
      </c>
      <c r="M10" s="17">
        <f>L10/L9</f>
        <v>1.0059655165834374</v>
      </c>
      <c r="N10" s="47">
        <f>K10*K$18+M10*M$18</f>
        <v>1.0057081919654229</v>
      </c>
      <c r="O10" s="7"/>
      <c r="P10" s="59">
        <f t="shared" ref="P10:T12" si="0">C10*$N10</f>
        <v>-145.40529039434796</v>
      </c>
      <c r="Q10" s="59">
        <f t="shared" si="0"/>
        <v>2607.4996293087052</v>
      </c>
      <c r="R10" s="59">
        <f t="shared" si="0"/>
        <v>-1178.6397155738305</v>
      </c>
      <c r="S10" s="59">
        <f t="shared" si="0"/>
        <v>-128.87144771844871</v>
      </c>
      <c r="T10" s="59">
        <f t="shared" si="0"/>
        <v>-206.95463174267283</v>
      </c>
      <c r="U10" s="59">
        <f>SUM(P10:T10)</f>
        <v>947.62854387940513</v>
      </c>
      <c r="V10" s="7"/>
      <c r="W10" s="102">
        <v>5.1825913553061973</v>
      </c>
      <c r="X10" s="102">
        <v>5.1825913553061973</v>
      </c>
      <c r="Y10" s="102">
        <v>3.7254987692594956</v>
      </c>
      <c r="Z10" s="102">
        <v>3.7254987692594956</v>
      </c>
      <c r="AA10" s="102">
        <v>2.2684061832127949</v>
      </c>
      <c r="AB10" s="7"/>
      <c r="AC10" s="130">
        <f t="shared" ref="AC10:AG12" si="1">P10*W10/1000</f>
        <v>-0.75357620101353495</v>
      </c>
      <c r="AD10" s="130">
        <f t="shared" si="1"/>
        <v>13.513605037819408</v>
      </c>
      <c r="AE10" s="130">
        <f t="shared" si="1"/>
        <v>-4.3910208097706676</v>
      </c>
      <c r="AF10" s="130">
        <f t="shared" si="1"/>
        <v>-0.48011041986777009</v>
      </c>
      <c r="AG10" s="130">
        <f t="shared" si="1"/>
        <v>-0.46945716628960599</v>
      </c>
      <c r="AH10" s="143">
        <f>SUM(AC10:AG10)</f>
        <v>7.4194404408778292</v>
      </c>
      <c r="AI10" s="7"/>
      <c r="AJ10" s="132">
        <f>AG10</f>
        <v>-0.46945716628960599</v>
      </c>
      <c r="AK10" s="132">
        <f>SUM(AC10:AF10)</f>
        <v>7.8888976071674355</v>
      </c>
      <c r="AL10" s="126">
        <f>AJ10+AK10</f>
        <v>7.4194404408778292</v>
      </c>
    </row>
    <row r="11" spans="1:38" ht="14.25" customHeight="1">
      <c r="A11" s="7" t="s">
        <v>15</v>
      </c>
      <c r="B11" s="7"/>
      <c r="C11" s="173">
        <v>-2174.8099999999395</v>
      </c>
      <c r="D11" s="173">
        <v>-3252.5899999999674</v>
      </c>
      <c r="E11" s="173">
        <v>-391.23000000003958</v>
      </c>
      <c r="F11" s="173">
        <v>1200.460000000021</v>
      </c>
      <c r="G11" s="173">
        <v>26650.929999999935</v>
      </c>
      <c r="H11" s="59">
        <f>SUM(C11:G11)</f>
        <v>22032.760000000009</v>
      </c>
      <c r="I11" s="7"/>
      <c r="J11" s="17">
        <v>1.6423341074460058</v>
      </c>
      <c r="K11" s="17">
        <f>J11/J9</f>
        <v>1.0792292817439333</v>
      </c>
      <c r="L11" s="17">
        <v>1</v>
      </c>
      <c r="M11" s="17">
        <f>L11/L9</f>
        <v>0.95240100755361312</v>
      </c>
      <c r="N11" s="47">
        <f>K11*K$18+M11*M$18</f>
        <v>0.99467709895038636</v>
      </c>
      <c r="O11" s="7"/>
      <c r="P11" s="59">
        <f t="shared" si="0"/>
        <v>-2163.2337015682297</v>
      </c>
      <c r="Q11" s="59">
        <f t="shared" si="0"/>
        <v>-3235.2767852750048</v>
      </c>
      <c r="R11" s="59">
        <f t="shared" si="0"/>
        <v>-389.14752142239905</v>
      </c>
      <c r="S11" s="59">
        <f t="shared" si="0"/>
        <v>1194.0700702060017</v>
      </c>
      <c r="T11" s="59">
        <f t="shared" si="0"/>
        <v>26509.069736729754</v>
      </c>
      <c r="U11" s="59">
        <f>SUM(P11:T11)</f>
        <v>21915.481798670124</v>
      </c>
      <c r="V11" s="7"/>
      <c r="W11" s="102">
        <v>5.1825913553061973</v>
      </c>
      <c r="X11" s="102">
        <v>5.1825913553061973</v>
      </c>
      <c r="Y11" s="102">
        <v>3.7254987692594956</v>
      </c>
      <c r="Z11" s="102">
        <v>3.7254987692594956</v>
      </c>
      <c r="AA11" s="102">
        <v>2.2684061832127949</v>
      </c>
      <c r="AB11" s="7"/>
      <c r="AC11" s="130">
        <f t="shared" si="1"/>
        <v>-11.211156281254533</v>
      </c>
      <c r="AD11" s="130">
        <f t="shared" si="1"/>
        <v>-16.767117499389062</v>
      </c>
      <c r="AE11" s="130">
        <f t="shared" si="1"/>
        <v>-1.4497686121195308</v>
      </c>
      <c r="AF11" s="130">
        <f t="shared" si="1"/>
        <v>4.4485065769620586</v>
      </c>
      <c r="AG11" s="130">
        <f t="shared" si="1"/>
        <v>60.133337702016952</v>
      </c>
      <c r="AH11" s="143">
        <f>SUM(AC11:AG11)</f>
        <v>35.153801886215881</v>
      </c>
      <c r="AI11" s="7"/>
      <c r="AJ11" s="132">
        <f>AG11</f>
        <v>60.133337702016952</v>
      </c>
      <c r="AK11" s="132">
        <f>SUM(AC11:AF11)</f>
        <v>-24.979535815801071</v>
      </c>
      <c r="AL11" s="126">
        <f>AJ11+AK11</f>
        <v>35.153801886215881</v>
      </c>
    </row>
    <row r="12" spans="1:38" ht="14.25" customHeight="1" thickBot="1">
      <c r="A12" s="269" t="s">
        <v>17</v>
      </c>
      <c r="B12" s="269"/>
      <c r="C12" s="270">
        <v>-665.54000000000815</v>
      </c>
      <c r="D12" s="270">
        <v>-6606</v>
      </c>
      <c r="E12" s="270">
        <v>-288.55999999999767</v>
      </c>
      <c r="F12" s="270">
        <v>-1319.0400000000081</v>
      </c>
      <c r="G12" s="270">
        <v>-832.49800000002142</v>
      </c>
      <c r="H12" s="271">
        <f>SUM(C12:G12)</f>
        <v>-9711.6380000000354</v>
      </c>
      <c r="I12" s="269"/>
      <c r="J12" s="272">
        <v>1.5651456914411006</v>
      </c>
      <c r="K12" s="272">
        <f>J12/J9</f>
        <v>1.0285063512596655</v>
      </c>
      <c r="L12" s="272">
        <v>1.1239027320779076</v>
      </c>
      <c r="M12" s="272">
        <f>L12/L9</f>
        <v>1.0704060944232576</v>
      </c>
      <c r="N12" s="273">
        <f>K12*K$18+M12*M$18</f>
        <v>1.0564395133687268</v>
      </c>
      <c r="O12" s="269"/>
      <c r="P12" s="271">
        <f t="shared" si="0"/>
        <v>-703.10275372743104</v>
      </c>
      <c r="Q12" s="271">
        <f t="shared" si="0"/>
        <v>-6978.8394253138094</v>
      </c>
      <c r="R12" s="271">
        <f t="shared" si="0"/>
        <v>-304.84618597767735</v>
      </c>
      <c r="S12" s="271">
        <f t="shared" si="0"/>
        <v>-1393.485975713894</v>
      </c>
      <c r="T12" s="271">
        <f t="shared" si="0"/>
        <v>-879.48378200046091</v>
      </c>
      <c r="U12" s="271">
        <f>SUM(P12:T12)</f>
        <v>-10259.758122733274</v>
      </c>
      <c r="V12" s="269"/>
      <c r="W12" s="274">
        <v>5.1825913553061973</v>
      </c>
      <c r="X12" s="274">
        <v>5.1825913553061973</v>
      </c>
      <c r="Y12" s="274">
        <v>3.7254987692594956</v>
      </c>
      <c r="Z12" s="274">
        <v>3.7254987692594956</v>
      </c>
      <c r="AA12" s="274">
        <v>2.2684061832127949</v>
      </c>
      <c r="AB12" s="269"/>
      <c r="AC12" s="275">
        <f t="shared" si="1"/>
        <v>-3.6438942533597665</v>
      </c>
      <c r="AD12" s="275">
        <f t="shared" si="1"/>
        <v>-36.168472875701418</v>
      </c>
      <c r="AE12" s="275">
        <f t="shared" si="1"/>
        <v>-1.1357040906732883</v>
      </c>
      <c r="AF12" s="275">
        <f t="shared" si="1"/>
        <v>-5.1914302875024791</v>
      </c>
      <c r="AG12" s="275">
        <f t="shared" si="1"/>
        <v>-1.9950264491252192</v>
      </c>
      <c r="AH12" s="276">
        <f>SUM(AC12:AG12)</f>
        <v>-48.13452795636217</v>
      </c>
      <c r="AI12" s="269"/>
      <c r="AJ12" s="277">
        <f>AG12</f>
        <v>-1.9950264491252192</v>
      </c>
      <c r="AK12" s="277">
        <f>SUM(AC12:AF12)</f>
        <v>-46.13950150723695</v>
      </c>
      <c r="AL12" s="278">
        <f>AJ12+AK12</f>
        <v>-48.13452795636217</v>
      </c>
    </row>
    <row r="13" spans="1:38" ht="7.5" customHeight="1">
      <c r="A13" s="135"/>
    </row>
    <row r="14" spans="1:38" ht="15.75">
      <c r="A14" s="20" t="s">
        <v>29</v>
      </c>
      <c r="B14" s="1"/>
      <c r="C14" s="107"/>
      <c r="D14" s="1"/>
      <c r="E14" s="1"/>
      <c r="F14" s="1"/>
      <c r="G14" s="1"/>
      <c r="H14" s="54"/>
      <c r="I14" s="1"/>
      <c r="J14" s="1"/>
      <c r="K14" s="1"/>
      <c r="L14" s="1"/>
      <c r="M14" s="1"/>
      <c r="N14" s="1"/>
      <c r="O14" s="1"/>
      <c r="P14" s="107"/>
      <c r="Q14" s="1"/>
      <c r="R14" s="1"/>
      <c r="S14" s="1"/>
      <c r="T14" s="1"/>
      <c r="U14" s="54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3.5" thickBot="1">
      <c r="A15" s="172"/>
      <c r="B15" s="50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50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50"/>
      <c r="AK15" s="13"/>
      <c r="AL15" s="13"/>
    </row>
    <row r="16" spans="1:38" ht="13.5" customHeight="1">
      <c r="A16" s="352" t="s">
        <v>0</v>
      </c>
      <c r="C16" s="357" t="s">
        <v>148</v>
      </c>
      <c r="D16" s="357"/>
      <c r="E16" s="357"/>
      <c r="F16" s="357"/>
      <c r="G16" s="357"/>
      <c r="H16" s="357"/>
      <c r="I16" s="36"/>
      <c r="J16" s="356" t="s">
        <v>149</v>
      </c>
      <c r="K16" s="356"/>
      <c r="L16" s="356"/>
      <c r="M16" s="356"/>
      <c r="N16" s="356"/>
      <c r="P16" s="357" t="s">
        <v>69</v>
      </c>
      <c r="Q16" s="357"/>
      <c r="R16" s="357"/>
      <c r="S16" s="357"/>
      <c r="T16" s="357"/>
      <c r="U16" s="357"/>
      <c r="V16" s="36"/>
      <c r="W16" s="357" t="s">
        <v>150</v>
      </c>
      <c r="X16" s="357"/>
      <c r="Y16" s="357"/>
      <c r="Z16" s="357"/>
      <c r="AA16" s="357"/>
      <c r="AB16" s="36"/>
      <c r="AC16" s="378" t="s">
        <v>142</v>
      </c>
      <c r="AD16" s="378"/>
      <c r="AE16" s="378"/>
      <c r="AF16" s="378"/>
      <c r="AG16" s="378"/>
      <c r="AH16" s="378"/>
      <c r="AI16" s="36"/>
      <c r="AJ16" s="377" t="s">
        <v>54</v>
      </c>
      <c r="AK16" s="377"/>
      <c r="AL16" s="377"/>
    </row>
    <row r="17" spans="1:38" ht="63.75" customHeight="1">
      <c r="A17" s="351"/>
      <c r="B17" s="34"/>
      <c r="C17" s="48" t="s">
        <v>56</v>
      </c>
      <c r="D17" s="48" t="s">
        <v>57</v>
      </c>
      <c r="E17" s="28" t="s">
        <v>58</v>
      </c>
      <c r="F17" s="48" t="s">
        <v>59</v>
      </c>
      <c r="G17" s="48" t="s">
        <v>60</v>
      </c>
      <c r="H17" s="28" t="s">
        <v>21</v>
      </c>
      <c r="I17" s="45"/>
      <c r="J17" s="48" t="s">
        <v>63</v>
      </c>
      <c r="K17" s="48" t="s">
        <v>65</v>
      </c>
      <c r="L17" s="48" t="s">
        <v>64</v>
      </c>
      <c r="M17" s="48" t="s">
        <v>66</v>
      </c>
      <c r="N17" s="48" t="s">
        <v>67</v>
      </c>
      <c r="O17" s="34"/>
      <c r="P17" s="48" t="s">
        <v>56</v>
      </c>
      <c r="Q17" s="48" t="s">
        <v>57</v>
      </c>
      <c r="R17" s="28" t="s">
        <v>58</v>
      </c>
      <c r="S17" s="48" t="s">
        <v>59</v>
      </c>
      <c r="T17" s="48" t="s">
        <v>60</v>
      </c>
      <c r="U17" s="28" t="s">
        <v>21</v>
      </c>
      <c r="V17" s="45"/>
      <c r="W17" s="48" t="s">
        <v>56</v>
      </c>
      <c r="X17" s="48" t="s">
        <v>57</v>
      </c>
      <c r="Y17" s="28" t="s">
        <v>58</v>
      </c>
      <c r="Z17" s="48" t="s">
        <v>59</v>
      </c>
      <c r="AA17" s="48" t="s">
        <v>60</v>
      </c>
      <c r="AB17" s="45"/>
      <c r="AC17" s="141" t="s">
        <v>56</v>
      </c>
      <c r="AD17" s="141" t="s">
        <v>57</v>
      </c>
      <c r="AE17" s="125" t="s">
        <v>58</v>
      </c>
      <c r="AF17" s="141" t="s">
        <v>59</v>
      </c>
      <c r="AG17" s="141" t="s">
        <v>60</v>
      </c>
      <c r="AH17" s="125" t="s">
        <v>21</v>
      </c>
      <c r="AI17" s="45"/>
      <c r="AJ17" s="376" t="s">
        <v>142</v>
      </c>
      <c r="AK17" s="376"/>
      <c r="AL17" s="376"/>
    </row>
    <row r="18" spans="1:38" ht="17.25" customHeight="1">
      <c r="A18" s="1"/>
      <c r="B18" s="1"/>
      <c r="D18" s="1"/>
      <c r="E18" s="1"/>
      <c r="F18" s="1"/>
      <c r="G18" s="1"/>
      <c r="H18" s="1"/>
      <c r="I18" s="45"/>
      <c r="J18" s="267" t="s">
        <v>303</v>
      </c>
      <c r="K18" s="52">
        <f>0.333333333333333%*100</f>
        <v>0.33333333333333298</v>
      </c>
      <c r="L18" s="267" t="s">
        <v>303</v>
      </c>
      <c r="M18" s="53">
        <f>1-K18</f>
        <v>0.66666666666666696</v>
      </c>
      <c r="N18" s="28"/>
      <c r="O18" s="34"/>
      <c r="P18" s="28"/>
      <c r="Q18" s="28"/>
      <c r="R18" s="28"/>
      <c r="S18" s="28"/>
      <c r="T18" s="28"/>
      <c r="U18" s="28"/>
      <c r="V18" s="45"/>
      <c r="W18" s="45"/>
      <c r="X18" s="45"/>
      <c r="Y18" s="45"/>
      <c r="Z18" s="45"/>
      <c r="AA18" s="45"/>
      <c r="AB18" s="45"/>
      <c r="AC18" s="144"/>
      <c r="AD18" s="144"/>
      <c r="AE18" s="144"/>
      <c r="AF18" s="144"/>
      <c r="AG18" s="144"/>
      <c r="AH18" s="125"/>
      <c r="AI18" s="45"/>
      <c r="AJ18" s="376" t="s">
        <v>47</v>
      </c>
      <c r="AK18" s="376" t="s">
        <v>48</v>
      </c>
      <c r="AL18" s="376" t="s">
        <v>21</v>
      </c>
    </row>
    <row r="19" spans="1:38" ht="18" customHeight="1">
      <c r="A19" s="33"/>
      <c r="B19" s="5"/>
      <c r="C19" s="16" t="s">
        <v>61</v>
      </c>
      <c r="D19" s="16" t="s">
        <v>62</v>
      </c>
      <c r="E19" s="16" t="s">
        <v>61</v>
      </c>
      <c r="F19" s="16" t="s">
        <v>43</v>
      </c>
      <c r="G19" s="16" t="s">
        <v>43</v>
      </c>
      <c r="H19" s="16" t="s">
        <v>43</v>
      </c>
      <c r="I19" s="46"/>
      <c r="J19" s="16">
        <v>1.5217657037549499</v>
      </c>
      <c r="K19" s="16"/>
      <c r="L19" s="16">
        <v>1.0499778896377401</v>
      </c>
      <c r="M19" s="16"/>
      <c r="N19" s="16"/>
      <c r="O19" s="5"/>
      <c r="P19" s="16" t="s">
        <v>61</v>
      </c>
      <c r="Q19" s="16" t="s">
        <v>62</v>
      </c>
      <c r="R19" s="16" t="s">
        <v>61</v>
      </c>
      <c r="S19" s="16" t="s">
        <v>43</v>
      </c>
      <c r="T19" s="16" t="s">
        <v>43</v>
      </c>
      <c r="U19" s="16" t="s">
        <v>43</v>
      </c>
      <c r="V19" s="46"/>
      <c r="W19" s="16" t="s">
        <v>151</v>
      </c>
      <c r="X19" s="16" t="s">
        <v>151</v>
      </c>
      <c r="Y19" s="16" t="s">
        <v>151</v>
      </c>
      <c r="Z19" s="16" t="s">
        <v>151</v>
      </c>
      <c r="AA19" s="16" t="s">
        <v>151</v>
      </c>
      <c r="AB19" s="46"/>
      <c r="AC19" s="119" t="s">
        <v>1</v>
      </c>
      <c r="AD19" s="119" t="s">
        <v>1</v>
      </c>
      <c r="AE19" s="119" t="s">
        <v>1</v>
      </c>
      <c r="AF19" s="119" t="s">
        <v>1</v>
      </c>
      <c r="AG19" s="119" t="s">
        <v>1</v>
      </c>
      <c r="AH19" s="119" t="s">
        <v>1</v>
      </c>
      <c r="AI19" s="46"/>
      <c r="AJ19" s="379"/>
      <c r="AK19" s="379"/>
      <c r="AL19" s="379"/>
    </row>
    <row r="20" spans="1:38" ht="14.25" customHeight="1">
      <c r="A20" s="7" t="s">
        <v>4</v>
      </c>
      <c r="B20" s="7"/>
      <c r="C20" s="14">
        <v>-37.800000000017462</v>
      </c>
      <c r="D20" s="14">
        <v>-740.32999999995809</v>
      </c>
      <c r="E20" s="14">
        <v>-530.34000000002561</v>
      </c>
      <c r="F20" s="14">
        <v>0</v>
      </c>
      <c r="G20" s="14">
        <v>-9.8299999998416752</v>
      </c>
      <c r="H20" s="14">
        <f>SUM(C20:G20)</f>
        <v>-1318.2999999998428</v>
      </c>
      <c r="I20" s="44"/>
      <c r="J20" s="17">
        <v>1.5296690589615283</v>
      </c>
      <c r="K20" s="17">
        <f>J20/J19</f>
        <v>1.0051935427293945</v>
      </c>
      <c r="L20" s="17">
        <v>1.0562415501506166</v>
      </c>
      <c r="M20" s="17">
        <f>L20/L19</f>
        <v>1.0059655165834374</v>
      </c>
      <c r="N20" s="47">
        <f>K20*K$18+M20*M$18</f>
        <v>1.0057081919654229</v>
      </c>
      <c r="O20" s="7"/>
      <c r="P20" s="14">
        <f t="shared" ref="P20:T22" si="2">C20*$N20</f>
        <v>-38.015769656310546</v>
      </c>
      <c r="Q20" s="14">
        <f t="shared" si="2"/>
        <v>-744.55594575771943</v>
      </c>
      <c r="R20" s="14">
        <f t="shared" si="2"/>
        <v>-533.36728252696821</v>
      </c>
      <c r="S20" s="14">
        <f t="shared" si="2"/>
        <v>0</v>
      </c>
      <c r="T20" s="14">
        <f t="shared" si="2"/>
        <v>-9.8861115268608781</v>
      </c>
      <c r="U20" s="14">
        <f>SUM(P20:T20)</f>
        <v>-1325.8251094678592</v>
      </c>
      <c r="V20" s="44"/>
      <c r="W20" s="106">
        <v>4.3375931688339673</v>
      </c>
      <c r="X20" s="106">
        <v>4.3375931688339673</v>
      </c>
      <c r="Y20" s="106">
        <v>3.1180729685535082</v>
      </c>
      <c r="Z20" s="106">
        <v>3.1180729685535074</v>
      </c>
      <c r="AA20" s="106">
        <v>1.8985527682730483</v>
      </c>
      <c r="AB20" s="44"/>
      <c r="AC20" s="130">
        <f>P20*W20/1000</f>
        <v>-0.16489694276917824</v>
      </c>
      <c r="AD20" s="130">
        <f t="shared" ref="AD20:AG22" si="3">Q20*X20/1000</f>
        <v>-3.2295807841333977</v>
      </c>
      <c r="AE20" s="130">
        <f t="shared" si="3"/>
        <v>-1.6630781059581816</v>
      </c>
      <c r="AF20" s="130">
        <f t="shared" si="3"/>
        <v>0</v>
      </c>
      <c r="AG20" s="130">
        <f t="shared" si="3"/>
        <v>-1.8769304406777813E-2</v>
      </c>
      <c r="AH20" s="143">
        <f>SUM(AC20:AG20)</f>
        <v>-5.0763251372675358</v>
      </c>
      <c r="AI20" s="44"/>
      <c r="AJ20" s="132">
        <f>AG20</f>
        <v>-1.8769304406777813E-2</v>
      </c>
      <c r="AK20" s="132">
        <f>SUM(AC20:AF20)</f>
        <v>-5.0575558328607579</v>
      </c>
      <c r="AL20" s="126">
        <f>AJ20+AK20</f>
        <v>-5.0763251372675358</v>
      </c>
    </row>
    <row r="21" spans="1:38" ht="14.25" customHeight="1">
      <c r="A21" s="7" t="s">
        <v>15</v>
      </c>
      <c r="B21" s="7"/>
      <c r="C21" s="14">
        <v>255.94999999995343</v>
      </c>
      <c r="D21" s="14">
        <v>-1340.7600000000093</v>
      </c>
      <c r="E21" s="14">
        <v>-7807.929999999993</v>
      </c>
      <c r="F21" s="14">
        <v>18.279999999969732</v>
      </c>
      <c r="G21" s="14">
        <v>-423.73999999999069</v>
      </c>
      <c r="H21" s="14">
        <f>SUM(C21:G21)</f>
        <v>-9298.2000000000698</v>
      </c>
      <c r="I21" s="44"/>
      <c r="J21" s="17">
        <v>1.6423341074460058</v>
      </c>
      <c r="K21" s="17">
        <f>J21/J19</f>
        <v>1.0792292817439333</v>
      </c>
      <c r="L21" s="17">
        <v>1</v>
      </c>
      <c r="M21" s="17">
        <f>L21/L19</f>
        <v>0.95240100755361312</v>
      </c>
      <c r="N21" s="47">
        <f>K21*K$18+M21*M$18</f>
        <v>0.99467709895038636</v>
      </c>
      <c r="O21" s="7"/>
      <c r="P21" s="14">
        <f t="shared" si="2"/>
        <v>254.58760347630508</v>
      </c>
      <c r="Q21" s="14">
        <f t="shared" si="2"/>
        <v>-1333.6232671887292</v>
      </c>
      <c r="R21" s="14">
        <f t="shared" si="2"/>
        <v>-7766.3691612076836</v>
      </c>
      <c r="S21" s="14">
        <f t="shared" si="2"/>
        <v>18.182697368782957</v>
      </c>
      <c r="T21" s="14">
        <f t="shared" si="2"/>
        <v>-421.48447390922746</v>
      </c>
      <c r="U21" s="14">
        <f>SUM(P21:T21)</f>
        <v>-9248.7066014605534</v>
      </c>
      <c r="V21" s="44"/>
      <c r="W21" s="106">
        <v>4.1813914211073238</v>
      </c>
      <c r="X21" s="106">
        <v>4.1813914211073229</v>
      </c>
      <c r="Y21" s="106">
        <v>3.0057875539768824</v>
      </c>
      <c r="Z21" s="106">
        <v>3.0057875539768815</v>
      </c>
      <c r="AA21" s="106">
        <v>1.8301836868464409</v>
      </c>
      <c r="AB21" s="44"/>
      <c r="AC21" s="130">
        <f>P21*W21/1000</f>
        <v>1.0645304210960951</v>
      </c>
      <c r="AD21" s="130">
        <f t="shared" si="3"/>
        <v>-5.5764008884120715</v>
      </c>
      <c r="AE21" s="130">
        <f t="shared" si="3"/>
        <v>-23.344055764347932</v>
      </c>
      <c r="AF21" s="130">
        <f t="shared" si="3"/>
        <v>5.4653325448816008E-2</v>
      </c>
      <c r="AG21" s="130">
        <f t="shared" si="3"/>
        <v>-0.77139400840772243</v>
      </c>
      <c r="AH21" s="143">
        <f>SUM(AC21:AG21)</f>
        <v>-28.572666914622815</v>
      </c>
      <c r="AI21" s="44"/>
      <c r="AJ21" s="132">
        <f>AG21</f>
        <v>-0.77139400840772243</v>
      </c>
      <c r="AK21" s="132">
        <f>SUM(AC21:AF21)</f>
        <v>-27.801272906215093</v>
      </c>
      <c r="AL21" s="126">
        <f>AJ21+AK21</f>
        <v>-28.572666914622815</v>
      </c>
    </row>
    <row r="22" spans="1:38" ht="14.25" customHeight="1" thickBot="1">
      <c r="A22" s="269" t="s">
        <v>17</v>
      </c>
      <c r="B22" s="269"/>
      <c r="C22" s="279">
        <v>467.07000000000698</v>
      </c>
      <c r="D22" s="279">
        <v>-2642.3099999999395</v>
      </c>
      <c r="E22" s="279">
        <v>-179.38999999999942</v>
      </c>
      <c r="F22" s="279">
        <v>11324.790000000008</v>
      </c>
      <c r="G22" s="279">
        <v>744.82799999997951</v>
      </c>
      <c r="H22" s="279">
        <f>SUM(C22:G22)</f>
        <v>9714.9880000000558</v>
      </c>
      <c r="I22" s="280"/>
      <c r="J22" s="272">
        <v>1.5651456914411006</v>
      </c>
      <c r="K22" s="272">
        <f>J22/J19</f>
        <v>1.0285063512596655</v>
      </c>
      <c r="L22" s="272">
        <v>1.1239027320779076</v>
      </c>
      <c r="M22" s="272">
        <f>L22/L19</f>
        <v>1.0704060944232576</v>
      </c>
      <c r="N22" s="273">
        <f>K22*K$18+M22*M$18</f>
        <v>1.0564395133687268</v>
      </c>
      <c r="O22" s="269"/>
      <c r="P22" s="279">
        <f t="shared" si="2"/>
        <v>493.43120350913858</v>
      </c>
      <c r="Q22" s="279">
        <f t="shared" si="2"/>
        <v>-2791.4406905692563</v>
      </c>
      <c r="R22" s="279">
        <f t="shared" si="2"/>
        <v>-189.51468430321529</v>
      </c>
      <c r="S22" s="279">
        <f t="shared" si="2"/>
        <v>11963.955636603032</v>
      </c>
      <c r="T22" s="279">
        <f t="shared" si="2"/>
        <v>786.86572986338035</v>
      </c>
      <c r="U22" s="279">
        <f>SUM(P22:T22)</f>
        <v>10263.29719510308</v>
      </c>
      <c r="V22" s="280"/>
      <c r="W22" s="281">
        <v>4.3831490479039577</v>
      </c>
      <c r="X22" s="281">
        <v>4.3831490479039577</v>
      </c>
      <c r="Y22" s="281">
        <v>3.150820750458792</v>
      </c>
      <c r="Z22" s="281">
        <v>3.150820750458792</v>
      </c>
      <c r="AA22" s="281">
        <v>1.9184924530136283</v>
      </c>
      <c r="AB22" s="280"/>
      <c r="AC22" s="275">
        <f>P22*W22/1000</f>
        <v>2.1627825098671845</v>
      </c>
      <c r="AD22" s="275">
        <f t="shared" si="3"/>
        <v>-12.235300605149002</v>
      </c>
      <c r="AE22" s="275">
        <f t="shared" si="3"/>
        <v>-0.59712679981921779</v>
      </c>
      <c r="AF22" s="275">
        <f t="shared" si="3"/>
        <v>37.696279677377255</v>
      </c>
      <c r="AG22" s="275">
        <f t="shared" si="3"/>
        <v>1.5095959642779555</v>
      </c>
      <c r="AH22" s="276">
        <f>SUM(AC22:AG22)</f>
        <v>28.536230746554175</v>
      </c>
      <c r="AI22" s="280"/>
      <c r="AJ22" s="277">
        <f>AG22</f>
        <v>1.5095959642779555</v>
      </c>
      <c r="AK22" s="277">
        <f>SUM(AC22:AF22)</f>
        <v>27.026634782276219</v>
      </c>
      <c r="AL22" s="278">
        <f>AJ22+AK22</f>
        <v>28.536230746554175</v>
      </c>
    </row>
    <row r="23" spans="1:38" ht="7.5" customHeight="1">
      <c r="A23" s="135"/>
    </row>
    <row r="24" spans="1:38" ht="15.75">
      <c r="A24" s="20" t="s">
        <v>30</v>
      </c>
      <c r="B24" s="1"/>
      <c r="C24" s="116"/>
      <c r="D24" s="116"/>
      <c r="E24" s="116"/>
      <c r="F24" s="116"/>
      <c r="G24" s="116"/>
      <c r="H24" s="5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54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3.5" thickBot="1">
      <c r="A25" s="172"/>
      <c r="B25" s="50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50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50"/>
      <c r="AK25" s="13"/>
      <c r="AL25" s="13"/>
    </row>
    <row r="26" spans="1:38" ht="13.5" customHeight="1">
      <c r="A26" s="352" t="s">
        <v>0</v>
      </c>
      <c r="C26" s="357" t="s">
        <v>55</v>
      </c>
      <c r="D26" s="357"/>
      <c r="E26" s="357"/>
      <c r="F26" s="357"/>
      <c r="G26" s="357"/>
      <c r="H26" s="357"/>
      <c r="I26" s="36"/>
      <c r="J26" s="356" t="s">
        <v>94</v>
      </c>
      <c r="K26" s="356"/>
      <c r="L26" s="356"/>
      <c r="M26" s="356"/>
      <c r="N26" s="356"/>
      <c r="P26" s="357" t="s">
        <v>69</v>
      </c>
      <c r="Q26" s="357"/>
      <c r="R26" s="357"/>
      <c r="S26" s="357"/>
      <c r="T26" s="357"/>
      <c r="U26" s="357"/>
      <c r="V26" s="36"/>
      <c r="W26" s="357" t="s">
        <v>150</v>
      </c>
      <c r="X26" s="357"/>
      <c r="Y26" s="357"/>
      <c r="Z26" s="357"/>
      <c r="AA26" s="357"/>
      <c r="AB26" s="36"/>
      <c r="AC26" s="378" t="s">
        <v>70</v>
      </c>
      <c r="AD26" s="378"/>
      <c r="AE26" s="378"/>
      <c r="AF26" s="378"/>
      <c r="AG26" s="378"/>
      <c r="AH26" s="378"/>
      <c r="AI26" s="36"/>
      <c r="AJ26" s="377" t="s">
        <v>54</v>
      </c>
      <c r="AK26" s="377"/>
      <c r="AL26" s="377"/>
    </row>
    <row r="27" spans="1:38" ht="63.75" customHeight="1">
      <c r="A27" s="351"/>
      <c r="B27" s="34"/>
      <c r="C27" s="48" t="s">
        <v>56</v>
      </c>
      <c r="D27" s="48" t="s">
        <v>57</v>
      </c>
      <c r="E27" s="28" t="s">
        <v>58</v>
      </c>
      <c r="F27" s="48" t="s">
        <v>59</v>
      </c>
      <c r="G27" s="48" t="s">
        <v>60</v>
      </c>
      <c r="H27" s="28" t="s">
        <v>21</v>
      </c>
      <c r="I27" s="45"/>
      <c r="J27" s="48" t="s">
        <v>63</v>
      </c>
      <c r="K27" s="48" t="s">
        <v>65</v>
      </c>
      <c r="L27" s="48" t="s">
        <v>64</v>
      </c>
      <c r="M27" s="48" t="s">
        <v>66</v>
      </c>
      <c r="N27" s="48" t="s">
        <v>67</v>
      </c>
      <c r="O27" s="34"/>
      <c r="P27" s="48" t="s">
        <v>56</v>
      </c>
      <c r="Q27" s="48" t="s">
        <v>57</v>
      </c>
      <c r="R27" s="28" t="s">
        <v>58</v>
      </c>
      <c r="S27" s="48" t="s">
        <v>59</v>
      </c>
      <c r="T27" s="48" t="s">
        <v>60</v>
      </c>
      <c r="U27" s="28" t="s">
        <v>21</v>
      </c>
      <c r="V27" s="45"/>
      <c r="W27" s="48" t="s">
        <v>56</v>
      </c>
      <c r="X27" s="48" t="s">
        <v>57</v>
      </c>
      <c r="Y27" s="28" t="s">
        <v>58</v>
      </c>
      <c r="Z27" s="48" t="s">
        <v>59</v>
      </c>
      <c r="AA27" s="48" t="s">
        <v>60</v>
      </c>
      <c r="AB27" s="45"/>
      <c r="AC27" s="141" t="s">
        <v>56</v>
      </c>
      <c r="AD27" s="141" t="s">
        <v>57</v>
      </c>
      <c r="AE27" s="125" t="s">
        <v>58</v>
      </c>
      <c r="AF27" s="141" t="s">
        <v>59</v>
      </c>
      <c r="AG27" s="141" t="s">
        <v>60</v>
      </c>
      <c r="AH27" s="125" t="s">
        <v>21</v>
      </c>
      <c r="AI27" s="45"/>
      <c r="AJ27" s="376" t="s">
        <v>142</v>
      </c>
      <c r="AK27" s="376"/>
      <c r="AL27" s="376"/>
    </row>
    <row r="28" spans="1:38" ht="17.25" customHeight="1">
      <c r="A28" s="1"/>
      <c r="B28" s="1"/>
      <c r="D28" s="1"/>
      <c r="E28" s="1"/>
      <c r="F28" s="1"/>
      <c r="G28" s="1"/>
      <c r="H28" s="1"/>
      <c r="I28" s="45"/>
      <c r="J28" s="267" t="s">
        <v>303</v>
      </c>
      <c r="K28" s="52">
        <f>0.333333333333333%*100</f>
        <v>0.33333333333333298</v>
      </c>
      <c r="L28" s="267" t="s">
        <v>303</v>
      </c>
      <c r="M28" s="53">
        <f>1-K28</f>
        <v>0.66666666666666696</v>
      </c>
      <c r="N28" s="28"/>
      <c r="O28" s="34"/>
      <c r="P28" s="28"/>
      <c r="Q28" s="28"/>
      <c r="R28" s="28"/>
      <c r="S28" s="28"/>
      <c r="T28" s="28"/>
      <c r="U28" s="28"/>
      <c r="V28" s="45"/>
      <c r="W28" s="45"/>
      <c r="X28" s="45"/>
      <c r="Y28" s="45"/>
      <c r="Z28" s="45"/>
      <c r="AA28" s="45"/>
      <c r="AB28" s="45"/>
      <c r="AC28" s="144"/>
      <c r="AD28" s="144"/>
      <c r="AE28" s="144"/>
      <c r="AF28" s="144"/>
      <c r="AG28" s="144"/>
      <c r="AH28" s="125"/>
      <c r="AI28" s="45"/>
      <c r="AJ28" s="376" t="s">
        <v>47</v>
      </c>
      <c r="AK28" s="376" t="s">
        <v>48</v>
      </c>
      <c r="AL28" s="376" t="s">
        <v>21</v>
      </c>
    </row>
    <row r="29" spans="1:38" ht="18" customHeight="1">
      <c r="A29" s="33"/>
      <c r="B29" s="5"/>
      <c r="C29" s="16" t="s">
        <v>61</v>
      </c>
      <c r="D29" s="16" t="s">
        <v>62</v>
      </c>
      <c r="E29" s="16" t="s">
        <v>61</v>
      </c>
      <c r="F29" s="16" t="s">
        <v>43</v>
      </c>
      <c r="G29" s="16" t="s">
        <v>43</v>
      </c>
      <c r="H29" s="16" t="s">
        <v>43</v>
      </c>
      <c r="I29" s="46"/>
      <c r="J29" s="16">
        <v>1.5217657037549499</v>
      </c>
      <c r="K29" s="16"/>
      <c r="L29" s="16">
        <v>1.0499778896377401</v>
      </c>
      <c r="M29" s="16"/>
      <c r="N29" s="16"/>
      <c r="O29" s="5"/>
      <c r="P29" s="16" t="s">
        <v>61</v>
      </c>
      <c r="Q29" s="16" t="s">
        <v>62</v>
      </c>
      <c r="R29" s="16" t="s">
        <v>61</v>
      </c>
      <c r="S29" s="16" t="s">
        <v>43</v>
      </c>
      <c r="T29" s="16" t="s">
        <v>43</v>
      </c>
      <c r="U29" s="16" t="s">
        <v>43</v>
      </c>
      <c r="V29" s="46"/>
      <c r="W29" s="16" t="s">
        <v>151</v>
      </c>
      <c r="X29" s="16" t="s">
        <v>151</v>
      </c>
      <c r="Y29" s="16" t="s">
        <v>151</v>
      </c>
      <c r="Z29" s="16" t="s">
        <v>151</v>
      </c>
      <c r="AA29" s="16" t="s">
        <v>151</v>
      </c>
      <c r="AB29" s="46"/>
      <c r="AC29" s="119" t="s">
        <v>1</v>
      </c>
      <c r="AD29" s="119" t="s">
        <v>1</v>
      </c>
      <c r="AE29" s="119" t="s">
        <v>1</v>
      </c>
      <c r="AF29" s="119" t="s">
        <v>1</v>
      </c>
      <c r="AG29" s="119" t="s">
        <v>1</v>
      </c>
      <c r="AH29" s="119" t="s">
        <v>1</v>
      </c>
      <c r="AI29" s="46"/>
      <c r="AJ29" s="379"/>
      <c r="AK29" s="379"/>
      <c r="AL29" s="379"/>
    </row>
    <row r="30" spans="1:38" ht="14.1" customHeight="1">
      <c r="A30" s="7" t="s">
        <v>4</v>
      </c>
      <c r="B30" s="7"/>
      <c r="C30" s="14">
        <v>-1040.4799999999814</v>
      </c>
      <c r="D30" s="14">
        <v>-6869.0100000000093</v>
      </c>
      <c r="E30" s="14">
        <v>-2571.5599999999977</v>
      </c>
      <c r="F30" s="14">
        <v>-584.58999999999651</v>
      </c>
      <c r="G30" s="14">
        <v>-594.30000000004657</v>
      </c>
      <c r="H30" s="14">
        <f>SUM(C30:G30)</f>
        <v>-11659.940000000031</v>
      </c>
      <c r="I30" s="44"/>
      <c r="J30" s="17">
        <v>1.5296690589615283</v>
      </c>
      <c r="K30" s="17">
        <f>J30/J29</f>
        <v>1.0051935427293945</v>
      </c>
      <c r="L30" s="17">
        <v>1.0562415501506166</v>
      </c>
      <c r="M30" s="17">
        <f>L30/L29</f>
        <v>1.0059655165834374</v>
      </c>
      <c r="N30" s="47">
        <f>K30*K$18+M30*M$18</f>
        <v>1.0057081919654229</v>
      </c>
      <c r="O30" s="7"/>
      <c r="P30" s="14">
        <f t="shared" ref="P30:T32" si="4">C30*$N30</f>
        <v>-1046.4192595761644</v>
      </c>
      <c r="Q30" s="14">
        <f t="shared" si="4"/>
        <v>-6908.2196276924187</v>
      </c>
      <c r="R30" s="14">
        <f t="shared" si="4"/>
        <v>-2586.2389581306006</v>
      </c>
      <c r="S30" s="14">
        <f t="shared" si="4"/>
        <v>-587.92695194106307</v>
      </c>
      <c r="T30" s="14">
        <f t="shared" si="4"/>
        <v>-597.69237848509772</v>
      </c>
      <c r="U30" s="14">
        <f>SUM(P30:T30)</f>
        <v>-11726.497175825343</v>
      </c>
      <c r="V30" s="44"/>
      <c r="W30" s="106">
        <f ca="1">W20*(1+Indexation!$C$7)</f>
        <v>4.4026570663664764</v>
      </c>
      <c r="X30" s="106">
        <f ca="1">X20*(1+Indexation!$C$7)</f>
        <v>4.4026570663664764</v>
      </c>
      <c r="Y30" s="106">
        <f ca="1">Y20*(1+Indexation!$C$7)</f>
        <v>3.1648440630818104</v>
      </c>
      <c r="Z30" s="106">
        <f ca="1">Z20*(1+Indexation!$C$7)</f>
        <v>3.1648440630818095</v>
      </c>
      <c r="AA30" s="106">
        <f ca="1">AA20*(1+Indexation!$C$7)</f>
        <v>1.9270310597971438</v>
      </c>
      <c r="AB30" s="44"/>
      <c r="AC30" s="130">
        <f t="shared" ref="AC30:AG32" si="5">P30*W30/1000</f>
        <v>-4.6070251475549764</v>
      </c>
      <c r="AD30" s="130">
        <f t="shared" si="5"/>
        <v>-30.414521959871614</v>
      </c>
      <c r="AE30" s="130">
        <f t="shared" si="5"/>
        <v>-8.1850430123505191</v>
      </c>
      <c r="AF30" s="130">
        <f t="shared" si="5"/>
        <v>-1.8606971233764578</v>
      </c>
      <c r="AG30" s="130">
        <f t="shared" si="5"/>
        <v>-1.1517717775448133</v>
      </c>
      <c r="AH30" s="143">
        <f>SUM(AC30:AG30)</f>
        <v>-46.219059020698388</v>
      </c>
      <c r="AI30" s="44"/>
      <c r="AJ30" s="132">
        <f>AG30</f>
        <v>-1.1517717775448133</v>
      </c>
      <c r="AK30" s="132">
        <f>SUM(AC30:AF30)</f>
        <v>-45.067287243153572</v>
      </c>
      <c r="AL30" s="126">
        <f>AJ30+AK30</f>
        <v>-46.219059020698388</v>
      </c>
    </row>
    <row r="31" spans="1:38" ht="14.25" customHeight="1">
      <c r="A31" s="7" t="s">
        <v>15</v>
      </c>
      <c r="B31" s="7"/>
      <c r="C31" s="14">
        <v>6851.640000000014</v>
      </c>
      <c r="D31" s="14">
        <v>482.89000000001397</v>
      </c>
      <c r="E31" s="14">
        <v>9856.9700000000303</v>
      </c>
      <c r="F31" s="14">
        <v>14186.670000000042</v>
      </c>
      <c r="G31" s="14">
        <v>44664.939999999944</v>
      </c>
      <c r="H31" s="14">
        <f>SUM(C31:G31)</f>
        <v>76043.110000000044</v>
      </c>
      <c r="I31" s="44"/>
      <c r="J31" s="17">
        <v>1.6423341074460058</v>
      </c>
      <c r="K31" s="17">
        <f>J31/J29</f>
        <v>1.0792292817439333</v>
      </c>
      <c r="L31" s="17">
        <v>1</v>
      </c>
      <c r="M31" s="17">
        <f>L31/L29</f>
        <v>0.95240100755361312</v>
      </c>
      <c r="N31" s="47">
        <f>K31*K$18+M31*M$18</f>
        <v>0.99467709895038636</v>
      </c>
      <c r="O31" s="7"/>
      <c r="P31" s="14">
        <f t="shared" si="4"/>
        <v>6815.1693982524394</v>
      </c>
      <c r="Q31" s="14">
        <f t="shared" si="4"/>
        <v>480.31962431216596</v>
      </c>
      <c r="R31" s="14">
        <f t="shared" si="4"/>
        <v>9804.5023240410192</v>
      </c>
      <c r="S31" s="14">
        <f t="shared" si="4"/>
        <v>14111.15575936652</v>
      </c>
      <c r="T31" s="14">
        <f t="shared" si="4"/>
        <v>44427.192943993017</v>
      </c>
      <c r="U31" s="14">
        <f>SUM(P31:T31)</f>
        <v>75638.340049965162</v>
      </c>
      <c r="V31" s="44"/>
      <c r="W31" s="106">
        <f ca="1">W21*(1+Indexation!$C$7)</f>
        <v>4.2441122924239334</v>
      </c>
      <c r="X31" s="106">
        <f ca="1">X21*(1+Indexation!$C$7)</f>
        <v>4.2441122924239325</v>
      </c>
      <c r="Y31" s="106">
        <f ca="1">Y21*(1+Indexation!$C$7)</f>
        <v>3.0508743672865353</v>
      </c>
      <c r="Z31" s="106">
        <f ca="1">Z21*(1+Indexation!$C$7)</f>
        <v>3.0508743672865344</v>
      </c>
      <c r="AA31" s="106">
        <f ca="1">AA21*(1+Indexation!$C$7)</f>
        <v>1.8576364421491374</v>
      </c>
      <c r="AB31" s="44"/>
      <c r="AC31" s="130">
        <f t="shared" si="5"/>
        <v>28.924344218074598</v>
      </c>
      <c r="AD31" s="130">
        <f t="shared" si="5"/>
        <v>2.0385304218357088</v>
      </c>
      <c r="AE31" s="130">
        <f t="shared" si="5"/>
        <v>29.912304824418008</v>
      </c>
      <c r="AF31" s="130">
        <f t="shared" si="5"/>
        <v>43.051363399039069</v>
      </c>
      <c r="AG31" s="130">
        <f t="shared" si="5"/>
        <v>82.529572635152448</v>
      </c>
      <c r="AH31" s="143">
        <f>SUM(AC31:AG31)</f>
        <v>186.45611549851984</v>
      </c>
      <c r="AI31" s="44"/>
      <c r="AJ31" s="132">
        <f>AG31</f>
        <v>82.529572635152448</v>
      </c>
      <c r="AK31" s="132">
        <f>SUM(AC31:AF31)</f>
        <v>103.92654286336739</v>
      </c>
      <c r="AL31" s="126">
        <f>AJ31+AK31</f>
        <v>186.45611549851984</v>
      </c>
    </row>
    <row r="32" spans="1:38" ht="14.25" customHeight="1" thickBot="1">
      <c r="A32" s="269" t="s">
        <v>17</v>
      </c>
      <c r="B32" s="269"/>
      <c r="C32" s="279">
        <v>2015.7999999999884</v>
      </c>
      <c r="D32" s="279">
        <v>-7384.7100000000792</v>
      </c>
      <c r="E32" s="279">
        <v>558.17999999999302</v>
      </c>
      <c r="F32" s="279">
        <v>-7052.1700000000128</v>
      </c>
      <c r="G32" s="279">
        <v>6704.9699999999721</v>
      </c>
      <c r="H32" s="279">
        <f>SUM(C32:G32)</f>
        <v>-5157.9300000001385</v>
      </c>
      <c r="I32" s="280"/>
      <c r="J32" s="272">
        <v>1.5651456914411006</v>
      </c>
      <c r="K32" s="272">
        <f>J32/J29</f>
        <v>1.0285063512596655</v>
      </c>
      <c r="L32" s="272">
        <v>1.1239027320779076</v>
      </c>
      <c r="M32" s="272">
        <f>L32/L29</f>
        <v>1.0704060944232576</v>
      </c>
      <c r="N32" s="273">
        <f>K32*K$18+M32*M$18</f>
        <v>1.0564395133687268</v>
      </c>
      <c r="O32" s="269"/>
      <c r="P32" s="279">
        <f t="shared" si="4"/>
        <v>2129.5707710486672</v>
      </c>
      <c r="Q32" s="279">
        <f t="shared" si="4"/>
        <v>-7801.4994387692541</v>
      </c>
      <c r="R32" s="279">
        <f t="shared" si="4"/>
        <v>589.68340757214855</v>
      </c>
      <c r="S32" s="279">
        <f t="shared" si="4"/>
        <v>-7450.1910429935469</v>
      </c>
      <c r="T32" s="279">
        <f t="shared" si="4"/>
        <v>7083.3952439518825</v>
      </c>
      <c r="U32" s="279">
        <f>SUM(P32:T32)</f>
        <v>-5449.0410591901027</v>
      </c>
      <c r="V32" s="280"/>
      <c r="W32" s="281">
        <f ca="1">W22*(1+Indexation!$C$7)</f>
        <v>4.448896283622517</v>
      </c>
      <c r="X32" s="281">
        <f ca="1">X22*(1+Indexation!$C$7)</f>
        <v>4.448896283622517</v>
      </c>
      <c r="Y32" s="281">
        <f ca="1">Y22*(1+Indexation!$C$7)</f>
        <v>3.1980830617156735</v>
      </c>
      <c r="Z32" s="281">
        <f ca="1">Z22*(1+Indexation!$C$7)</f>
        <v>3.1980830617156735</v>
      </c>
      <c r="AA32" s="281">
        <f ca="1">AA22*(1+Indexation!$C$7)</f>
        <v>1.9472698398088324</v>
      </c>
      <c r="AB32" s="280"/>
      <c r="AC32" s="275">
        <f t="shared" si="5"/>
        <v>9.4742394890295536</v>
      </c>
      <c r="AD32" s="275">
        <f t="shared" si="5"/>
        <v>-34.708061859823687</v>
      </c>
      <c r="AE32" s="275">
        <f t="shared" si="5"/>
        <v>1.885856517531268</v>
      </c>
      <c r="AF32" s="275">
        <f t="shared" si="5"/>
        <v>-23.826329781143489</v>
      </c>
      <c r="AG32" s="275">
        <f t="shared" si="5"/>
        <v>13.793281921992827</v>
      </c>
      <c r="AH32" s="276">
        <f>SUM(AC32:AG32)</f>
        <v>-33.38101371241352</v>
      </c>
      <c r="AI32" s="280"/>
      <c r="AJ32" s="277">
        <f>AG32</f>
        <v>13.793281921992827</v>
      </c>
      <c r="AK32" s="277">
        <f>SUM(AC32:AF32)</f>
        <v>-47.174295634406349</v>
      </c>
      <c r="AL32" s="278">
        <f>AJ32+AK32</f>
        <v>-33.38101371241352</v>
      </c>
    </row>
    <row r="33" spans="1:38" ht="7.5" customHeight="1">
      <c r="A33" s="135"/>
    </row>
    <row r="34" spans="1:38" ht="15.75">
      <c r="A34" s="20" t="s">
        <v>206</v>
      </c>
      <c r="B34" s="1"/>
      <c r="C34" s="116"/>
      <c r="D34" s="116"/>
      <c r="E34" s="116"/>
      <c r="F34" s="116"/>
      <c r="G34" s="116"/>
      <c r="H34" s="5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54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3.5" thickBot="1">
      <c r="A35" s="172"/>
      <c r="B35" s="50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50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50"/>
      <c r="AK35" s="13"/>
      <c r="AL35" s="13"/>
    </row>
    <row r="36" spans="1:38" ht="13.5" customHeight="1">
      <c r="A36" s="352" t="s">
        <v>0</v>
      </c>
      <c r="C36" s="357" t="s">
        <v>55</v>
      </c>
      <c r="D36" s="357"/>
      <c r="E36" s="357"/>
      <c r="F36" s="357"/>
      <c r="G36" s="357"/>
      <c r="H36" s="357"/>
      <c r="I36" s="36"/>
      <c r="J36" s="356" t="s">
        <v>94</v>
      </c>
      <c r="K36" s="356"/>
      <c r="L36" s="356"/>
      <c r="M36" s="356"/>
      <c r="N36" s="356"/>
      <c r="P36" s="357" t="s">
        <v>69</v>
      </c>
      <c r="Q36" s="357"/>
      <c r="R36" s="357"/>
      <c r="S36" s="357"/>
      <c r="T36" s="357"/>
      <c r="U36" s="357"/>
      <c r="V36" s="36"/>
      <c r="W36" s="357" t="s">
        <v>150</v>
      </c>
      <c r="X36" s="357"/>
      <c r="Y36" s="357"/>
      <c r="Z36" s="357"/>
      <c r="AA36" s="357"/>
      <c r="AB36" s="36"/>
      <c r="AC36" s="378" t="s">
        <v>70</v>
      </c>
      <c r="AD36" s="378"/>
      <c r="AE36" s="378"/>
      <c r="AF36" s="378"/>
      <c r="AG36" s="378"/>
      <c r="AH36" s="378"/>
      <c r="AI36" s="36"/>
      <c r="AJ36" s="377" t="s">
        <v>54</v>
      </c>
      <c r="AK36" s="377"/>
      <c r="AL36" s="377"/>
    </row>
    <row r="37" spans="1:38" ht="63.75" customHeight="1">
      <c r="A37" s="351"/>
      <c r="B37" s="34"/>
      <c r="C37" s="48" t="s">
        <v>56</v>
      </c>
      <c r="D37" s="48" t="s">
        <v>57</v>
      </c>
      <c r="E37" s="28" t="s">
        <v>58</v>
      </c>
      <c r="F37" s="48" t="s">
        <v>59</v>
      </c>
      <c r="G37" s="48" t="s">
        <v>60</v>
      </c>
      <c r="H37" s="28" t="s">
        <v>21</v>
      </c>
      <c r="I37" s="45"/>
      <c r="J37" s="48" t="s">
        <v>63</v>
      </c>
      <c r="K37" s="48" t="s">
        <v>65</v>
      </c>
      <c r="L37" s="48" t="s">
        <v>64</v>
      </c>
      <c r="M37" s="48" t="s">
        <v>66</v>
      </c>
      <c r="N37" s="48" t="s">
        <v>67</v>
      </c>
      <c r="O37" s="34"/>
      <c r="P37" s="48" t="s">
        <v>56</v>
      </c>
      <c r="Q37" s="48" t="s">
        <v>57</v>
      </c>
      <c r="R37" s="28" t="s">
        <v>58</v>
      </c>
      <c r="S37" s="48" t="s">
        <v>59</v>
      </c>
      <c r="T37" s="48" t="s">
        <v>60</v>
      </c>
      <c r="U37" s="28" t="s">
        <v>21</v>
      </c>
      <c r="V37" s="45"/>
      <c r="W37" s="48" t="s">
        <v>56</v>
      </c>
      <c r="X37" s="48" t="s">
        <v>57</v>
      </c>
      <c r="Y37" s="28" t="s">
        <v>58</v>
      </c>
      <c r="Z37" s="48" t="s">
        <v>59</v>
      </c>
      <c r="AA37" s="48" t="s">
        <v>60</v>
      </c>
      <c r="AB37" s="45"/>
      <c r="AC37" s="141" t="s">
        <v>56</v>
      </c>
      <c r="AD37" s="141" t="s">
        <v>57</v>
      </c>
      <c r="AE37" s="125" t="s">
        <v>58</v>
      </c>
      <c r="AF37" s="141" t="s">
        <v>59</v>
      </c>
      <c r="AG37" s="141" t="s">
        <v>60</v>
      </c>
      <c r="AH37" s="125" t="s">
        <v>21</v>
      </c>
      <c r="AI37" s="45"/>
      <c r="AJ37" s="376" t="s">
        <v>142</v>
      </c>
      <c r="AK37" s="376"/>
      <c r="AL37" s="376"/>
    </row>
    <row r="38" spans="1:38" ht="17.25" customHeight="1">
      <c r="A38" s="1"/>
      <c r="B38" s="1"/>
      <c r="D38" s="1"/>
      <c r="E38" s="1"/>
      <c r="F38" s="1"/>
      <c r="G38" s="1"/>
      <c r="H38" s="1"/>
      <c r="I38" s="45"/>
      <c r="J38" s="267" t="s">
        <v>303</v>
      </c>
      <c r="K38" s="52">
        <f>0.333333333333333%*100</f>
        <v>0.33333333333333298</v>
      </c>
      <c r="L38" s="267" t="s">
        <v>303</v>
      </c>
      <c r="M38" s="53">
        <f>1-K38</f>
        <v>0.66666666666666696</v>
      </c>
      <c r="N38" s="28"/>
      <c r="O38" s="34"/>
      <c r="P38" s="28"/>
      <c r="Q38" s="28"/>
      <c r="R38" s="28"/>
      <c r="S38" s="28"/>
      <c r="T38" s="28"/>
      <c r="U38" s="28"/>
      <c r="V38" s="45"/>
      <c r="W38" s="45"/>
      <c r="X38" s="45"/>
      <c r="Y38" s="45"/>
      <c r="Z38" s="45"/>
      <c r="AA38" s="45"/>
      <c r="AB38" s="45"/>
      <c r="AC38" s="144"/>
      <c r="AD38" s="144"/>
      <c r="AE38" s="144"/>
      <c r="AF38" s="144"/>
      <c r="AG38" s="144"/>
      <c r="AH38" s="125"/>
      <c r="AI38" s="45"/>
      <c r="AJ38" s="376" t="s">
        <v>47</v>
      </c>
      <c r="AK38" s="376" t="s">
        <v>48</v>
      </c>
      <c r="AL38" s="376" t="s">
        <v>21</v>
      </c>
    </row>
    <row r="39" spans="1:38" ht="18" customHeight="1">
      <c r="A39" s="33"/>
      <c r="B39" s="5"/>
      <c r="C39" s="16" t="s">
        <v>61</v>
      </c>
      <c r="D39" s="16" t="s">
        <v>62</v>
      </c>
      <c r="E39" s="16" t="s">
        <v>61</v>
      </c>
      <c r="F39" s="16" t="s">
        <v>43</v>
      </c>
      <c r="G39" s="16" t="s">
        <v>43</v>
      </c>
      <c r="H39" s="16" t="s">
        <v>43</v>
      </c>
      <c r="I39" s="46"/>
      <c r="J39" s="16">
        <v>1.5217657037549499</v>
      </c>
      <c r="K39" s="16"/>
      <c r="L39" s="16">
        <v>1.0499778896377401</v>
      </c>
      <c r="M39" s="16"/>
      <c r="N39" s="16"/>
      <c r="O39" s="5"/>
      <c r="P39" s="16" t="s">
        <v>61</v>
      </c>
      <c r="Q39" s="16" t="s">
        <v>62</v>
      </c>
      <c r="R39" s="16" t="s">
        <v>61</v>
      </c>
      <c r="S39" s="16" t="s">
        <v>43</v>
      </c>
      <c r="T39" s="16" t="s">
        <v>43</v>
      </c>
      <c r="U39" s="16" t="s">
        <v>43</v>
      </c>
      <c r="V39" s="46"/>
      <c r="W39" s="16" t="s">
        <v>151</v>
      </c>
      <c r="X39" s="16" t="s">
        <v>151</v>
      </c>
      <c r="Y39" s="16" t="s">
        <v>151</v>
      </c>
      <c r="Z39" s="16" t="s">
        <v>151</v>
      </c>
      <c r="AA39" s="16" t="s">
        <v>151</v>
      </c>
      <c r="AB39" s="46"/>
      <c r="AC39" s="119" t="s">
        <v>1</v>
      </c>
      <c r="AD39" s="119" t="s">
        <v>1</v>
      </c>
      <c r="AE39" s="119" t="s">
        <v>1</v>
      </c>
      <c r="AF39" s="119" t="s">
        <v>1</v>
      </c>
      <c r="AG39" s="119" t="s">
        <v>1</v>
      </c>
      <c r="AH39" s="119" t="s">
        <v>1</v>
      </c>
      <c r="AI39" s="46"/>
      <c r="AJ39" s="379"/>
      <c r="AK39" s="379"/>
      <c r="AL39" s="379"/>
    </row>
    <row r="40" spans="1:38" ht="14.25" customHeight="1">
      <c r="A40" s="7" t="s">
        <v>4</v>
      </c>
      <c r="B40" s="7"/>
      <c r="C40" s="14">
        <v>-5728.09</v>
      </c>
      <c r="D40" s="14">
        <v>-13619.940000000061</v>
      </c>
      <c r="E40" s="14">
        <v>-172.26000000000931</v>
      </c>
      <c r="F40" s="14">
        <v>-1568.92</v>
      </c>
      <c r="G40" s="14">
        <v>-717.18000000016764</v>
      </c>
      <c r="H40" s="14">
        <f>SUM(C40:G40)</f>
        <v>-21806.39000000024</v>
      </c>
      <c r="I40" s="44"/>
      <c r="J40" s="17">
        <v>1.5296690589615283</v>
      </c>
      <c r="K40" s="17">
        <f>J40/J39</f>
        <v>1.0051935427293945</v>
      </c>
      <c r="L40" s="17">
        <v>1.0562415501506166</v>
      </c>
      <c r="M40" s="17">
        <f>L40/L39</f>
        <v>1.0059655165834374</v>
      </c>
      <c r="N40" s="47">
        <f>K40*K$18+M40*M$18</f>
        <v>1.0057081919654229</v>
      </c>
      <c r="O40" s="7"/>
      <c r="P40" s="14">
        <f t="shared" ref="P40:T42" si="6">C40*$N40</f>
        <v>-5760.78703731522</v>
      </c>
      <c r="Q40" s="14">
        <f t="shared" si="6"/>
        <v>-13697.685232077603</v>
      </c>
      <c r="R40" s="14">
        <f t="shared" si="6"/>
        <v>-173.24329314797313</v>
      </c>
      <c r="S40" s="14">
        <f t="shared" si="6"/>
        <v>-1577.8756965383914</v>
      </c>
      <c r="T40" s="14">
        <f t="shared" si="6"/>
        <v>-721.27380111393063</v>
      </c>
      <c r="U40" s="14">
        <f>SUM(P40:T40)</f>
        <v>-21930.865060193119</v>
      </c>
      <c r="V40" s="44"/>
      <c r="W40" s="106">
        <f ca="1">W30*(1+Indexation!$C$8)</f>
        <v>4.4466836370301408</v>
      </c>
      <c r="X40" s="106">
        <f ca="1">X30*(1+Indexation!$C$8)</f>
        <v>4.4466836370301408</v>
      </c>
      <c r="Y40" s="106">
        <f ca="1">Y30*(1+Indexation!$C$8)</f>
        <v>3.1964925037126286</v>
      </c>
      <c r="Z40" s="106">
        <f ca="1">Z30*(1+Indexation!$C$8)</f>
        <v>3.1964925037126277</v>
      </c>
      <c r="AA40" s="106">
        <f ca="1">AA30*(1+Indexation!$C$8)</f>
        <v>1.9463013703951153</v>
      </c>
      <c r="AB40" s="44"/>
      <c r="AC40" s="130">
        <f t="shared" ref="AC40:AG42" si="7">P40*W40/1000</f>
        <v>-25.616397455244933</v>
      </c>
      <c r="AD40" s="130">
        <f t="shared" si="7"/>
        <v>-60.909272786668886</v>
      </c>
      <c r="AE40" s="130">
        <f t="shared" si="7"/>
        <v>-0.55377088786598549</v>
      </c>
      <c r="AF40" s="130">
        <f t="shared" si="7"/>
        <v>-5.0436678357753086</v>
      </c>
      <c r="AG40" s="130">
        <f t="shared" si="7"/>
        <v>-1.403816187538137</v>
      </c>
      <c r="AH40" s="143">
        <f>SUM(AC40:AG40)</f>
        <v>-93.526925153093245</v>
      </c>
      <c r="AI40" s="44"/>
      <c r="AJ40" s="132">
        <f>AG40</f>
        <v>-1.403816187538137</v>
      </c>
      <c r="AK40" s="132">
        <f>SUM(AC40:AF40)</f>
        <v>-92.123108965555105</v>
      </c>
      <c r="AL40" s="126">
        <f>AJ40+AK40</f>
        <v>-93.526925153093245</v>
      </c>
    </row>
    <row r="41" spans="1:38" ht="14.25" customHeight="1">
      <c r="A41" s="7" t="s">
        <v>15</v>
      </c>
      <c r="B41" s="7"/>
      <c r="C41" s="14">
        <v>-11379.20000000007</v>
      </c>
      <c r="D41" s="14">
        <v>-697.34000000008382</v>
      </c>
      <c r="E41" s="14">
        <v>-8840.679999999993</v>
      </c>
      <c r="F41" s="14">
        <v>0</v>
      </c>
      <c r="G41" s="14">
        <v>-5144.8999999999069</v>
      </c>
      <c r="H41" s="14">
        <f>SUM(C41:G41)</f>
        <v>-26062.120000000054</v>
      </c>
      <c r="I41" s="44"/>
      <c r="J41" s="17">
        <v>1.6423341074460058</v>
      </c>
      <c r="K41" s="17">
        <f>J41/J39</f>
        <v>1.0792292817439333</v>
      </c>
      <c r="L41" s="17">
        <v>1</v>
      </c>
      <c r="M41" s="17">
        <f>L41/L39</f>
        <v>0.95240100755361312</v>
      </c>
      <c r="N41" s="47">
        <f>K41*K$18+M41*M$18</f>
        <v>0.99467709895038636</v>
      </c>
      <c r="O41" s="7"/>
      <c r="P41" s="14">
        <f t="shared" si="6"/>
        <v>-11318.629644376306</v>
      </c>
      <c r="Q41" s="14">
        <f t="shared" si="6"/>
        <v>-693.62812818214582</v>
      </c>
      <c r="R41" s="14">
        <f t="shared" si="6"/>
        <v>-8793.6219351486943</v>
      </c>
      <c r="S41" s="14">
        <f t="shared" si="6"/>
        <v>0</v>
      </c>
      <c r="T41" s="14">
        <f t="shared" si="6"/>
        <v>-5117.5142063897501</v>
      </c>
      <c r="U41" s="14">
        <f>SUM(P41:T41)</f>
        <v>-25923.393914096898</v>
      </c>
      <c r="V41" s="44"/>
      <c r="W41" s="106">
        <f ca="1">W31*(1+Indexation!$C$8)</f>
        <v>4.2865534153481724</v>
      </c>
      <c r="X41" s="106">
        <f ca="1">X31*(1+Indexation!$C$8)</f>
        <v>4.2865534153481715</v>
      </c>
      <c r="Y41" s="106">
        <f ca="1">Y31*(1+Indexation!$C$8)</f>
        <v>3.0813831109594005</v>
      </c>
      <c r="Z41" s="106">
        <f ca="1">Z31*(1+Indexation!$C$8)</f>
        <v>3.0813831109593997</v>
      </c>
      <c r="AA41" s="106">
        <f ca="1">AA31*(1+Indexation!$C$8)</f>
        <v>1.8762128065706287</v>
      </c>
      <c r="AB41" s="44"/>
      <c r="AC41" s="130">
        <f t="shared" si="7"/>
        <v>-48.517910559162324</v>
      </c>
      <c r="AD41" s="130">
        <f t="shared" si="7"/>
        <v>-2.9732740218407367</v>
      </c>
      <c r="AE41" s="130">
        <f t="shared" si="7"/>
        <v>-27.096518115129307</v>
      </c>
      <c r="AF41" s="130">
        <f t="shared" si="7"/>
        <v>0</v>
      </c>
      <c r="AG41" s="130">
        <f t="shared" si="7"/>
        <v>-9.601545691835577</v>
      </c>
      <c r="AH41" s="143">
        <f>SUM(AC41:AG41)</f>
        <v>-88.18924838796795</v>
      </c>
      <c r="AI41" s="44"/>
      <c r="AJ41" s="132">
        <f>AG41</f>
        <v>-9.601545691835577</v>
      </c>
      <c r="AK41" s="132">
        <f>SUM(AC41:AF41)</f>
        <v>-78.587702696132368</v>
      </c>
      <c r="AL41" s="126">
        <f>AJ41+AK41</f>
        <v>-88.18924838796795</v>
      </c>
    </row>
    <row r="42" spans="1:38" ht="14.25" customHeight="1" thickBot="1">
      <c r="A42" s="269" t="s">
        <v>17</v>
      </c>
      <c r="B42" s="269"/>
      <c r="C42" s="279">
        <v>12.239999999990687</v>
      </c>
      <c r="D42" s="279">
        <v>-1740.5300000000279</v>
      </c>
      <c r="E42" s="279">
        <v>-46.149999999994179</v>
      </c>
      <c r="F42" s="279">
        <v>-174.32999999998719</v>
      </c>
      <c r="G42" s="279">
        <v>-198.90000000002328</v>
      </c>
      <c r="H42" s="279">
        <f>SUM(C42:G42)</f>
        <v>-2147.6700000000419</v>
      </c>
      <c r="I42" s="280"/>
      <c r="J42" s="272">
        <v>1.5651456914411006</v>
      </c>
      <c r="K42" s="272">
        <f>J42/J39</f>
        <v>1.0285063512596655</v>
      </c>
      <c r="L42" s="272">
        <v>1.1239027320779076</v>
      </c>
      <c r="M42" s="272">
        <f>L42/L39</f>
        <v>1.0704060944232576</v>
      </c>
      <c r="N42" s="273">
        <f>K42*K$18+M42*M$18</f>
        <v>1.0564395133687268</v>
      </c>
      <c r="O42" s="269"/>
      <c r="P42" s="279">
        <f t="shared" si="6"/>
        <v>12.930819643623376</v>
      </c>
      <c r="Q42" s="279">
        <f t="shared" si="6"/>
        <v>-1838.7646662036996</v>
      </c>
      <c r="R42" s="279">
        <f t="shared" si="6"/>
        <v>-48.754683541960588</v>
      </c>
      <c r="S42" s="279">
        <f t="shared" si="6"/>
        <v>-184.1691003655566</v>
      </c>
      <c r="T42" s="279">
        <f t="shared" si="6"/>
        <v>-210.12581920906436</v>
      </c>
      <c r="U42" s="279">
        <f>SUM(P42:T42)</f>
        <v>-2268.8834496766576</v>
      </c>
      <c r="V42" s="280"/>
      <c r="W42" s="281">
        <f ca="1">W32*(1+Indexation!$C$8)</f>
        <v>4.4933852464587423</v>
      </c>
      <c r="X42" s="281">
        <f ca="1">X32*(1+Indexation!$C$8)</f>
        <v>4.4933852464587423</v>
      </c>
      <c r="Y42" s="281">
        <f ca="1">Y32*(1+Indexation!$C$8)</f>
        <v>3.2300638923328302</v>
      </c>
      <c r="Z42" s="281">
        <f ca="1">Z32*(1+Indexation!$C$8)</f>
        <v>3.2300638923328302</v>
      </c>
      <c r="AA42" s="281">
        <f ca="1">AA32*(1+Indexation!$C$8)</f>
        <v>1.9667425382069208</v>
      </c>
      <c r="AB42" s="280"/>
      <c r="AC42" s="275">
        <f t="shared" si="7"/>
        <v>5.8103154211276167E-2</v>
      </c>
      <c r="AD42" s="275">
        <f t="shared" si="7"/>
        <v>-8.2622780228293369</v>
      </c>
      <c r="AE42" s="275">
        <f t="shared" si="7"/>
        <v>-0.15748074289100061</v>
      </c>
      <c r="AF42" s="275">
        <f t="shared" si="7"/>
        <v>-0.59487796117420544</v>
      </c>
      <c r="AG42" s="275">
        <f t="shared" si="7"/>
        <v>-0.4132633870140438</v>
      </c>
      <c r="AH42" s="276">
        <f>SUM(AC42:AG42)</f>
        <v>-9.369796959697311</v>
      </c>
      <c r="AI42" s="280"/>
      <c r="AJ42" s="277">
        <f>AG42</f>
        <v>-0.4132633870140438</v>
      </c>
      <c r="AK42" s="277">
        <f>SUM(AC42:AF42)</f>
        <v>-8.9565335726832664</v>
      </c>
      <c r="AL42" s="278">
        <f>AJ42+AK42</f>
        <v>-9.369796959697311</v>
      </c>
    </row>
    <row r="43" spans="1:38" ht="7.5" customHeight="1">
      <c r="A43" s="135"/>
    </row>
    <row r="44" spans="1:38" ht="15.75">
      <c r="A44" s="20" t="s">
        <v>209</v>
      </c>
      <c r="B44" s="1"/>
      <c r="C44" s="116"/>
      <c r="D44" s="116"/>
      <c r="E44" s="116"/>
      <c r="F44" s="116"/>
      <c r="G44" s="116"/>
      <c r="H44" s="5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54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3.5" thickBot="1">
      <c r="A45" s="172"/>
      <c r="B45" s="50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50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50"/>
      <c r="AK45" s="13"/>
      <c r="AL45" s="13"/>
    </row>
    <row r="46" spans="1:38" ht="13.5" customHeight="1">
      <c r="A46" s="352" t="s">
        <v>0</v>
      </c>
      <c r="C46" s="357" t="s">
        <v>55</v>
      </c>
      <c r="D46" s="357"/>
      <c r="E46" s="357"/>
      <c r="F46" s="357"/>
      <c r="G46" s="357"/>
      <c r="H46" s="357"/>
      <c r="I46" s="36"/>
      <c r="J46" s="356" t="s">
        <v>94</v>
      </c>
      <c r="K46" s="356"/>
      <c r="L46" s="356"/>
      <c r="M46" s="356"/>
      <c r="N46" s="356"/>
      <c r="P46" s="357" t="s">
        <v>69</v>
      </c>
      <c r="Q46" s="357"/>
      <c r="R46" s="357"/>
      <c r="S46" s="357"/>
      <c r="T46" s="357"/>
      <c r="U46" s="357"/>
      <c r="V46" s="36"/>
      <c r="W46" s="357" t="s">
        <v>150</v>
      </c>
      <c r="X46" s="357"/>
      <c r="Y46" s="357"/>
      <c r="Z46" s="357"/>
      <c r="AA46" s="357"/>
      <c r="AB46" s="36"/>
      <c r="AC46" s="378" t="s">
        <v>70</v>
      </c>
      <c r="AD46" s="378"/>
      <c r="AE46" s="378"/>
      <c r="AF46" s="378"/>
      <c r="AG46" s="378"/>
      <c r="AH46" s="378"/>
      <c r="AI46" s="36"/>
      <c r="AJ46" s="377" t="s">
        <v>54</v>
      </c>
      <c r="AK46" s="377"/>
      <c r="AL46" s="377"/>
    </row>
    <row r="47" spans="1:38" ht="63.75" customHeight="1">
      <c r="A47" s="351"/>
      <c r="B47" s="34"/>
      <c r="C47" s="48" t="s">
        <v>56</v>
      </c>
      <c r="D47" s="48" t="s">
        <v>57</v>
      </c>
      <c r="E47" s="28" t="s">
        <v>58</v>
      </c>
      <c r="F47" s="48" t="s">
        <v>59</v>
      </c>
      <c r="G47" s="48" t="s">
        <v>60</v>
      </c>
      <c r="H47" s="28" t="s">
        <v>21</v>
      </c>
      <c r="I47" s="45"/>
      <c r="J47" s="48" t="s">
        <v>63</v>
      </c>
      <c r="K47" s="48" t="s">
        <v>65</v>
      </c>
      <c r="L47" s="48" t="s">
        <v>64</v>
      </c>
      <c r="M47" s="48" t="s">
        <v>66</v>
      </c>
      <c r="N47" s="48" t="s">
        <v>67</v>
      </c>
      <c r="O47" s="34"/>
      <c r="P47" s="48" t="s">
        <v>56</v>
      </c>
      <c r="Q47" s="48" t="s">
        <v>57</v>
      </c>
      <c r="R47" s="28" t="s">
        <v>58</v>
      </c>
      <c r="S47" s="48" t="s">
        <v>59</v>
      </c>
      <c r="T47" s="48" t="s">
        <v>60</v>
      </c>
      <c r="U47" s="28" t="s">
        <v>21</v>
      </c>
      <c r="V47" s="45"/>
      <c r="W47" s="48" t="s">
        <v>56</v>
      </c>
      <c r="X47" s="48" t="s">
        <v>57</v>
      </c>
      <c r="Y47" s="28" t="s">
        <v>58</v>
      </c>
      <c r="Z47" s="48" t="s">
        <v>59</v>
      </c>
      <c r="AA47" s="48" t="s">
        <v>60</v>
      </c>
      <c r="AB47" s="45"/>
      <c r="AC47" s="141" t="s">
        <v>56</v>
      </c>
      <c r="AD47" s="141" t="s">
        <v>57</v>
      </c>
      <c r="AE47" s="125" t="s">
        <v>58</v>
      </c>
      <c r="AF47" s="141" t="s">
        <v>59</v>
      </c>
      <c r="AG47" s="141" t="s">
        <v>60</v>
      </c>
      <c r="AH47" s="125" t="s">
        <v>21</v>
      </c>
      <c r="AI47" s="45"/>
      <c r="AJ47" s="376" t="s">
        <v>142</v>
      </c>
      <c r="AK47" s="376"/>
      <c r="AL47" s="376"/>
    </row>
    <row r="48" spans="1:38" ht="17.25" customHeight="1">
      <c r="A48" s="1"/>
      <c r="B48" s="1"/>
      <c r="D48" s="1"/>
      <c r="E48" s="1"/>
      <c r="F48" s="1"/>
      <c r="G48" s="1"/>
      <c r="H48" s="1"/>
      <c r="I48" s="45"/>
      <c r="J48" s="267" t="s">
        <v>303</v>
      </c>
      <c r="K48" s="52">
        <f>0.333333333333333%*100</f>
        <v>0.33333333333333298</v>
      </c>
      <c r="L48" s="267" t="s">
        <v>303</v>
      </c>
      <c r="M48" s="53">
        <f>1-K48</f>
        <v>0.66666666666666696</v>
      </c>
      <c r="N48" s="28"/>
      <c r="O48" s="34"/>
      <c r="P48" s="28"/>
      <c r="Q48" s="28"/>
      <c r="R48" s="28"/>
      <c r="S48" s="28"/>
      <c r="T48" s="28"/>
      <c r="U48" s="28"/>
      <c r="V48" s="45"/>
      <c r="W48" s="45"/>
      <c r="X48" s="45"/>
      <c r="Y48" s="45"/>
      <c r="Z48" s="45"/>
      <c r="AA48" s="45"/>
      <c r="AB48" s="45"/>
      <c r="AC48" s="144"/>
      <c r="AD48" s="144"/>
      <c r="AE48" s="144"/>
      <c r="AF48" s="144"/>
      <c r="AG48" s="144"/>
      <c r="AH48" s="125"/>
      <c r="AI48" s="45"/>
      <c r="AJ48" s="376" t="s">
        <v>47</v>
      </c>
      <c r="AK48" s="376" t="s">
        <v>48</v>
      </c>
      <c r="AL48" s="376" t="s">
        <v>21</v>
      </c>
    </row>
    <row r="49" spans="1:38" ht="18" customHeight="1">
      <c r="A49" s="33"/>
      <c r="B49" s="5"/>
      <c r="C49" s="16" t="s">
        <v>61</v>
      </c>
      <c r="D49" s="16" t="s">
        <v>62</v>
      </c>
      <c r="E49" s="16" t="s">
        <v>61</v>
      </c>
      <c r="F49" s="16" t="s">
        <v>43</v>
      </c>
      <c r="G49" s="16" t="s">
        <v>43</v>
      </c>
      <c r="H49" s="16" t="s">
        <v>43</v>
      </c>
      <c r="I49" s="46"/>
      <c r="J49" s="16">
        <v>1.5217657037549499</v>
      </c>
      <c r="K49" s="16"/>
      <c r="L49" s="16">
        <v>1.0499778896377401</v>
      </c>
      <c r="M49" s="16"/>
      <c r="N49" s="16"/>
      <c r="O49" s="5"/>
      <c r="P49" s="16" t="s">
        <v>61</v>
      </c>
      <c r="Q49" s="16" t="s">
        <v>62</v>
      </c>
      <c r="R49" s="16" t="s">
        <v>61</v>
      </c>
      <c r="S49" s="16" t="s">
        <v>43</v>
      </c>
      <c r="T49" s="16" t="s">
        <v>43</v>
      </c>
      <c r="U49" s="16" t="s">
        <v>43</v>
      </c>
      <c r="V49" s="46"/>
      <c r="W49" s="16" t="s">
        <v>151</v>
      </c>
      <c r="X49" s="16" t="s">
        <v>151</v>
      </c>
      <c r="Y49" s="16" t="s">
        <v>151</v>
      </c>
      <c r="Z49" s="16" t="s">
        <v>151</v>
      </c>
      <c r="AA49" s="16" t="s">
        <v>151</v>
      </c>
      <c r="AB49" s="46"/>
      <c r="AC49" s="119" t="s">
        <v>1</v>
      </c>
      <c r="AD49" s="119" t="s">
        <v>1</v>
      </c>
      <c r="AE49" s="119" t="s">
        <v>1</v>
      </c>
      <c r="AF49" s="119" t="s">
        <v>1</v>
      </c>
      <c r="AG49" s="119" t="s">
        <v>1</v>
      </c>
      <c r="AH49" s="119" t="s">
        <v>1</v>
      </c>
      <c r="AI49" s="46"/>
      <c r="AJ49" s="379"/>
      <c r="AK49" s="379"/>
      <c r="AL49" s="379"/>
    </row>
    <row r="50" spans="1:38" ht="14.25" customHeight="1">
      <c r="A50" s="7" t="s">
        <v>4</v>
      </c>
      <c r="B50" s="7"/>
      <c r="C50" s="14">
        <v>-41.660000000003492</v>
      </c>
      <c r="D50" s="14">
        <v>15289.359999999986</v>
      </c>
      <c r="E50" s="14">
        <v>-568.51000000000931</v>
      </c>
      <c r="F50" s="14">
        <v>0</v>
      </c>
      <c r="G50" s="14">
        <v>-2911.089999999851</v>
      </c>
      <c r="H50" s="14">
        <f>SUM(C50:G50)</f>
        <v>11768.100000000122</v>
      </c>
      <c r="I50" s="44"/>
      <c r="J50" s="17">
        <v>1.5296690589615283</v>
      </c>
      <c r="K50" s="17">
        <f>J50/J49</f>
        <v>1.0051935427293945</v>
      </c>
      <c r="L50" s="17">
        <v>1.0562415501506166</v>
      </c>
      <c r="M50" s="17">
        <f>L50/L49</f>
        <v>1.0059655165834374</v>
      </c>
      <c r="N50" s="47">
        <f>K50*K$18+M50*M$18</f>
        <v>1.0057081919654229</v>
      </c>
      <c r="O50" s="7"/>
      <c r="P50" s="14">
        <f t="shared" ref="P50:T52" si="8">C50*$N50</f>
        <v>-41.897803277283032</v>
      </c>
      <c r="Q50" s="14">
        <f t="shared" si="8"/>
        <v>15376.634601908445</v>
      </c>
      <c r="R50" s="14">
        <f t="shared" si="8"/>
        <v>-571.75516421427199</v>
      </c>
      <c r="S50" s="14">
        <f t="shared" si="8"/>
        <v>0</v>
      </c>
      <c r="T50" s="14">
        <f t="shared" si="8"/>
        <v>-2927.7070605484732</v>
      </c>
      <c r="U50" s="14">
        <f>SUM(P50:T50)</f>
        <v>11835.274573868417</v>
      </c>
      <c r="V50" s="44"/>
      <c r="W50" s="106">
        <f ca="1">W40*(1+Indexation!$C$9)</f>
        <v>4.4911504734004426</v>
      </c>
      <c r="X50" s="106">
        <f ca="1">X40*(1+Indexation!$C$9)</f>
        <v>4.4911504734004426</v>
      </c>
      <c r="Y50" s="106">
        <f ca="1">Y40*(1+Indexation!$C$9)</f>
        <v>3.2284574287497549</v>
      </c>
      <c r="Z50" s="106">
        <f ca="1">Z40*(1+Indexation!$C$9)</f>
        <v>3.2284574287497541</v>
      </c>
      <c r="AA50" s="106">
        <f ca="1">AA40*(1+Indexation!$C$9)</f>
        <v>1.9657643840990664</v>
      </c>
      <c r="AB50" s="44"/>
      <c r="AC50" s="130">
        <f t="shared" ref="AC50:AG52" si="9">P50*W50/1000</f>
        <v>-0.18816933902320829</v>
      </c>
      <c r="AD50" s="130">
        <f t="shared" si="9"/>
        <v>69.058779771666735</v>
      </c>
      <c r="AE50" s="130">
        <f t="shared" si="9"/>
        <v>-1.8458872073336023</v>
      </c>
      <c r="AF50" s="130">
        <f t="shared" si="9"/>
        <v>0</v>
      </c>
      <c r="AG50" s="130">
        <f t="shared" si="9"/>
        <v>-5.7551822667015573</v>
      </c>
      <c r="AH50" s="143">
        <f>SUM(AC50:AG50)</f>
        <v>61.269540958608367</v>
      </c>
      <c r="AI50" s="44"/>
      <c r="AJ50" s="132">
        <f>AG50</f>
        <v>-5.7551822667015573</v>
      </c>
      <c r="AK50" s="132">
        <f>SUM(AC50:AF50)</f>
        <v>67.024723225309927</v>
      </c>
      <c r="AL50" s="126">
        <f>AJ50+AK50</f>
        <v>61.269540958608367</v>
      </c>
    </row>
    <row r="51" spans="1:38" ht="14.25" customHeight="1">
      <c r="A51" s="7" t="s">
        <v>15</v>
      </c>
      <c r="B51" s="7"/>
      <c r="C51" s="14">
        <v>-305.55999999993946</v>
      </c>
      <c r="D51" s="14">
        <v>-14.189999999944121</v>
      </c>
      <c r="E51" s="14">
        <v>-241.61999999999534</v>
      </c>
      <c r="F51" s="14">
        <v>11820.77999999997</v>
      </c>
      <c r="G51" s="14">
        <v>-473.85000000009313</v>
      </c>
      <c r="H51" s="14">
        <f>SUM(C51:G51)</f>
        <v>10785.559999999998</v>
      </c>
      <c r="I51" s="44"/>
      <c r="J51" s="17">
        <v>1.6423341074460058</v>
      </c>
      <c r="K51" s="17">
        <f>J51/J49</f>
        <v>1.0792292817439333</v>
      </c>
      <c r="L51" s="17">
        <v>1</v>
      </c>
      <c r="M51" s="17">
        <f>L51/L49</f>
        <v>0.95240100755361312</v>
      </c>
      <c r="N51" s="47">
        <f>K51*K$18+M51*M$18</f>
        <v>0.99467709895038636</v>
      </c>
      <c r="O51" s="7"/>
      <c r="P51" s="14">
        <f t="shared" si="8"/>
        <v>-303.93353435521982</v>
      </c>
      <c r="Q51" s="14">
        <f t="shared" si="8"/>
        <v>-14.1144680340504</v>
      </c>
      <c r="R51" s="14">
        <f t="shared" si="8"/>
        <v>-240.33388064838772</v>
      </c>
      <c r="S51" s="14">
        <f t="shared" si="8"/>
        <v>11757.859157730718</v>
      </c>
      <c r="T51" s="14">
        <f t="shared" si="8"/>
        <v>-471.32774333773324</v>
      </c>
      <c r="U51" s="14">
        <f>SUM(P51:T51)</f>
        <v>10728.149531355326</v>
      </c>
      <c r="V51" s="44"/>
      <c r="W51" s="106">
        <f ca="1">W41*(1+Indexation!$C$9)</f>
        <v>4.3294189495016537</v>
      </c>
      <c r="X51" s="106">
        <f ca="1">X41*(1+Indexation!$C$9)</f>
        <v>4.3294189495016528</v>
      </c>
      <c r="Y51" s="106">
        <f ca="1">Y41*(1+Indexation!$C$9)</f>
        <v>3.1121969420689948</v>
      </c>
      <c r="Z51" s="106">
        <f ca="1">Z41*(1+Indexation!$C$9)</f>
        <v>3.1121969420689939</v>
      </c>
      <c r="AA51" s="106">
        <f ca="1">AA41*(1+Indexation!$C$9)</f>
        <v>1.8949749346363349</v>
      </c>
      <c r="AB51" s="44"/>
      <c r="AC51" s="130">
        <f t="shared" si="9"/>
        <v>-1.3158556030265005</v>
      </c>
      <c r="AD51" s="130">
        <f t="shared" si="9"/>
        <v>-6.1107445368753142E-2</v>
      </c>
      <c r="AE51" s="130">
        <f t="shared" si="9"/>
        <v>-0.74796636842948705</v>
      </c>
      <c r="AF51" s="130">
        <f t="shared" si="9"/>
        <v>36.592773315967456</v>
      </c>
      <c r="AG51" s="130">
        <f t="shared" si="9"/>
        <v>-0.89315425962371231</v>
      </c>
      <c r="AH51" s="143">
        <f>SUM(AC51:AG51)</f>
        <v>33.574689639519001</v>
      </c>
      <c r="AI51" s="44"/>
      <c r="AJ51" s="132">
        <f>AG51</f>
        <v>-0.89315425962371231</v>
      </c>
      <c r="AK51" s="132">
        <f>SUM(AC51:AF51)</f>
        <v>34.467843899142714</v>
      </c>
      <c r="AL51" s="126">
        <f>AJ51+AK51</f>
        <v>33.574689639519001</v>
      </c>
    </row>
    <row r="52" spans="1:38" ht="14.25" customHeight="1" thickBot="1">
      <c r="A52" s="269" t="s">
        <v>17</v>
      </c>
      <c r="B52" s="269"/>
      <c r="C52" s="279">
        <v>35.670000000012806</v>
      </c>
      <c r="D52" s="279">
        <v>5119.2800000000279</v>
      </c>
      <c r="E52" s="279">
        <v>414.25</v>
      </c>
      <c r="F52" s="279">
        <v>-4082.4000000000233</v>
      </c>
      <c r="G52" s="279">
        <v>-12125.630000000005</v>
      </c>
      <c r="H52" s="279">
        <f>SUM(C52:G52)</f>
        <v>-10638.829999999987</v>
      </c>
      <c r="I52" s="280"/>
      <c r="J52" s="272">
        <v>1.5651456914411006</v>
      </c>
      <c r="K52" s="272">
        <f>J52/J49</f>
        <v>1.0285063512596655</v>
      </c>
      <c r="L52" s="272">
        <v>1.1239027320779076</v>
      </c>
      <c r="M52" s="272">
        <f>L52/L49</f>
        <v>1.0704060944232576</v>
      </c>
      <c r="N52" s="273">
        <f>K52*K$18+M52*M$18</f>
        <v>1.0564395133687268</v>
      </c>
      <c r="O52" s="269"/>
      <c r="P52" s="279">
        <f t="shared" si="8"/>
        <v>37.683197441876011</v>
      </c>
      <c r="Q52" s="279">
        <f t="shared" si="8"/>
        <v>5408.2096719982846</v>
      </c>
      <c r="R52" s="279">
        <f t="shared" si="8"/>
        <v>437.63006841299506</v>
      </c>
      <c r="S52" s="279">
        <f t="shared" si="8"/>
        <v>-4312.8086693765144</v>
      </c>
      <c r="T52" s="279">
        <f t="shared" si="8"/>
        <v>-12809.99465648924</v>
      </c>
      <c r="U52" s="279">
        <f>SUM(P52:T52)</f>
        <v>-11239.280388012599</v>
      </c>
      <c r="V52" s="280"/>
      <c r="W52" s="281">
        <f ca="1">W42*(1+Indexation!$C$9)</f>
        <v>4.5383190989233295</v>
      </c>
      <c r="X52" s="281">
        <f ca="1">X42*(1+Indexation!$C$9)</f>
        <v>4.5383190989233295</v>
      </c>
      <c r="Y52" s="281">
        <f ca="1">Y42*(1+Indexation!$C$9)</f>
        <v>3.2623645312561584</v>
      </c>
      <c r="Z52" s="281">
        <f ca="1">Z42*(1+Indexation!$C$9)</f>
        <v>3.2623645312561584</v>
      </c>
      <c r="AA52" s="281">
        <f ca="1">AA42*(1+Indexation!$C$9)</f>
        <v>1.98640996358899</v>
      </c>
      <c r="AB52" s="280"/>
      <c r="AC52" s="275">
        <f t="shared" si="9"/>
        <v>0.17101837465896466</v>
      </c>
      <c r="AD52" s="275">
        <f t="shared" si="9"/>
        <v>24.544181245411693</v>
      </c>
      <c r="AE52" s="275">
        <f t="shared" si="9"/>
        <v>1.4277088130017612</v>
      </c>
      <c r="AF52" s="275">
        <f t="shared" si="9"/>
        <v>-14.069954033068008</v>
      </c>
      <c r="AG52" s="275">
        <f t="shared" si="9"/>
        <v>-25.445901019171945</v>
      </c>
      <c r="AH52" s="276">
        <f>SUM(AC52:AG52)</f>
        <v>-13.372946619167536</v>
      </c>
      <c r="AI52" s="280"/>
      <c r="AJ52" s="277">
        <f>AG52</f>
        <v>-25.445901019171945</v>
      </c>
      <c r="AK52" s="277">
        <f>SUM(AC52:AF52)</f>
        <v>12.072954400004409</v>
      </c>
      <c r="AL52" s="278">
        <f>AJ52+AK52</f>
        <v>-13.372946619167536</v>
      </c>
    </row>
    <row r="53" spans="1:38" ht="7.5" customHeight="1">
      <c r="A53" s="135"/>
    </row>
    <row r="54" spans="1:38" ht="15.75">
      <c r="A54" s="20" t="s">
        <v>212</v>
      </c>
      <c r="B54" s="1"/>
      <c r="C54" s="116"/>
      <c r="D54" s="116"/>
      <c r="E54" s="116"/>
      <c r="F54" s="116"/>
      <c r="G54" s="116"/>
      <c r="H54" s="5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54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3.5" thickBot="1">
      <c r="A55" s="172">
        <v>1</v>
      </c>
      <c r="B55" s="50">
        <v>2</v>
      </c>
      <c r="C55" s="13">
        <v>3</v>
      </c>
      <c r="D55" s="172">
        <v>4</v>
      </c>
      <c r="E55" s="50">
        <v>5</v>
      </c>
      <c r="F55" s="13">
        <v>6</v>
      </c>
      <c r="G55" s="172">
        <v>7</v>
      </c>
      <c r="H55" s="50">
        <v>8</v>
      </c>
      <c r="I55" s="13">
        <v>9</v>
      </c>
      <c r="J55" s="172">
        <v>10</v>
      </c>
      <c r="K55" s="50">
        <v>11</v>
      </c>
      <c r="L55" s="13">
        <v>12</v>
      </c>
      <c r="M55" s="172">
        <v>13</v>
      </c>
      <c r="N55" s="50">
        <v>14</v>
      </c>
      <c r="O55" s="13">
        <v>15</v>
      </c>
      <c r="P55" s="172">
        <v>16</v>
      </c>
      <c r="Q55" s="50">
        <v>17</v>
      </c>
      <c r="R55" s="13">
        <v>18</v>
      </c>
      <c r="S55" s="172">
        <v>19</v>
      </c>
      <c r="T55" s="50">
        <v>20</v>
      </c>
      <c r="U55" s="13">
        <v>21</v>
      </c>
      <c r="V55" s="172">
        <v>22</v>
      </c>
      <c r="W55" s="50">
        <v>23</v>
      </c>
      <c r="X55" s="13">
        <v>24</v>
      </c>
      <c r="Y55" s="172">
        <v>25</v>
      </c>
      <c r="Z55" s="50">
        <v>26</v>
      </c>
      <c r="AA55" s="13">
        <v>27</v>
      </c>
      <c r="AB55" s="172">
        <v>28</v>
      </c>
      <c r="AC55" s="50">
        <v>29</v>
      </c>
      <c r="AD55" s="13">
        <v>30</v>
      </c>
      <c r="AE55" s="172">
        <v>31</v>
      </c>
      <c r="AF55" s="50">
        <v>32</v>
      </c>
      <c r="AG55" s="13">
        <v>33</v>
      </c>
      <c r="AH55" s="172">
        <v>34</v>
      </c>
      <c r="AI55" s="50">
        <v>35</v>
      </c>
      <c r="AJ55" s="13">
        <v>36</v>
      </c>
      <c r="AK55" s="172">
        <v>37</v>
      </c>
      <c r="AL55" s="50">
        <v>38</v>
      </c>
    </row>
    <row r="56" spans="1:38" ht="13.5" customHeight="1">
      <c r="A56" s="352" t="s">
        <v>0</v>
      </c>
      <c r="C56" s="357" t="s">
        <v>55</v>
      </c>
      <c r="D56" s="357"/>
      <c r="E56" s="357"/>
      <c r="F56" s="357"/>
      <c r="G56" s="357"/>
      <c r="H56" s="357"/>
      <c r="I56" s="36"/>
      <c r="J56" s="356" t="s">
        <v>94</v>
      </c>
      <c r="K56" s="356"/>
      <c r="L56" s="356"/>
      <c r="M56" s="356"/>
      <c r="N56" s="356"/>
      <c r="P56" s="357" t="s">
        <v>69</v>
      </c>
      <c r="Q56" s="357"/>
      <c r="R56" s="357"/>
      <c r="S56" s="357"/>
      <c r="T56" s="357"/>
      <c r="U56" s="357"/>
      <c r="V56" s="36"/>
      <c r="W56" s="357" t="s">
        <v>150</v>
      </c>
      <c r="X56" s="357"/>
      <c r="Y56" s="357"/>
      <c r="Z56" s="357"/>
      <c r="AA56" s="357"/>
      <c r="AB56" s="36"/>
      <c r="AC56" s="378" t="s">
        <v>70</v>
      </c>
      <c r="AD56" s="378"/>
      <c r="AE56" s="378"/>
      <c r="AF56" s="378"/>
      <c r="AG56" s="378"/>
      <c r="AH56" s="378"/>
      <c r="AI56" s="36"/>
      <c r="AJ56" s="377" t="s">
        <v>54</v>
      </c>
      <c r="AK56" s="377"/>
      <c r="AL56" s="377"/>
    </row>
    <row r="57" spans="1:38" ht="63.75" customHeight="1">
      <c r="A57" s="351"/>
      <c r="B57" s="34"/>
      <c r="C57" s="48" t="s">
        <v>56</v>
      </c>
      <c r="D57" s="48" t="s">
        <v>57</v>
      </c>
      <c r="E57" s="28" t="s">
        <v>58</v>
      </c>
      <c r="F57" s="48" t="s">
        <v>59</v>
      </c>
      <c r="G57" s="48" t="s">
        <v>60</v>
      </c>
      <c r="H57" s="28" t="s">
        <v>21</v>
      </c>
      <c r="I57" s="45"/>
      <c r="J57" s="48" t="s">
        <v>63</v>
      </c>
      <c r="K57" s="48" t="s">
        <v>65</v>
      </c>
      <c r="L57" s="48" t="s">
        <v>64</v>
      </c>
      <c r="M57" s="48" t="s">
        <v>66</v>
      </c>
      <c r="N57" s="48" t="s">
        <v>67</v>
      </c>
      <c r="O57" s="34"/>
      <c r="P57" s="48" t="s">
        <v>56</v>
      </c>
      <c r="Q57" s="48" t="s">
        <v>57</v>
      </c>
      <c r="R57" s="28" t="s">
        <v>58</v>
      </c>
      <c r="S57" s="48" t="s">
        <v>59</v>
      </c>
      <c r="T57" s="48" t="s">
        <v>60</v>
      </c>
      <c r="U57" s="28" t="s">
        <v>21</v>
      </c>
      <c r="V57" s="45"/>
      <c r="W57" s="48" t="s">
        <v>56</v>
      </c>
      <c r="X57" s="48" t="s">
        <v>57</v>
      </c>
      <c r="Y57" s="28" t="s">
        <v>58</v>
      </c>
      <c r="Z57" s="48" t="s">
        <v>59</v>
      </c>
      <c r="AA57" s="48" t="s">
        <v>60</v>
      </c>
      <c r="AB57" s="45"/>
      <c r="AC57" s="141" t="s">
        <v>56</v>
      </c>
      <c r="AD57" s="141" t="s">
        <v>57</v>
      </c>
      <c r="AE57" s="125" t="s">
        <v>58</v>
      </c>
      <c r="AF57" s="141" t="s">
        <v>59</v>
      </c>
      <c r="AG57" s="141" t="s">
        <v>60</v>
      </c>
      <c r="AH57" s="125" t="s">
        <v>21</v>
      </c>
      <c r="AI57" s="45"/>
      <c r="AJ57" s="376" t="s">
        <v>142</v>
      </c>
      <c r="AK57" s="376"/>
      <c r="AL57" s="376"/>
    </row>
    <row r="58" spans="1:38" ht="17.25" customHeight="1">
      <c r="A58" s="1"/>
      <c r="B58" s="1"/>
      <c r="D58" s="1"/>
      <c r="E58" s="1"/>
      <c r="F58" s="1"/>
      <c r="G58" s="1"/>
      <c r="H58" s="1"/>
      <c r="I58" s="45"/>
      <c r="J58" s="267" t="s">
        <v>303</v>
      </c>
      <c r="K58" s="52">
        <f>0.333333333333333%*100</f>
        <v>0.33333333333333298</v>
      </c>
      <c r="L58" s="267" t="s">
        <v>303</v>
      </c>
      <c r="M58" s="53">
        <f>1-K58</f>
        <v>0.66666666666666696</v>
      </c>
      <c r="N58" s="28"/>
      <c r="O58" s="34"/>
      <c r="P58" s="28"/>
      <c r="Q58" s="28"/>
      <c r="R58" s="28"/>
      <c r="S58" s="28"/>
      <c r="T58" s="28"/>
      <c r="U58" s="28"/>
      <c r="V58" s="45"/>
      <c r="W58" s="45"/>
      <c r="X58" s="45"/>
      <c r="Y58" s="45"/>
      <c r="Z58" s="45"/>
      <c r="AA58" s="45"/>
      <c r="AB58" s="45"/>
      <c r="AC58" s="144"/>
      <c r="AD58" s="144"/>
      <c r="AE58" s="144"/>
      <c r="AF58" s="144"/>
      <c r="AG58" s="144"/>
      <c r="AH58" s="125"/>
      <c r="AI58" s="45"/>
      <c r="AJ58" s="376" t="s">
        <v>47</v>
      </c>
      <c r="AK58" s="376" t="s">
        <v>48</v>
      </c>
      <c r="AL58" s="376" t="s">
        <v>21</v>
      </c>
    </row>
    <row r="59" spans="1:38" ht="18" customHeight="1">
      <c r="A59" s="33"/>
      <c r="B59" s="5"/>
      <c r="C59" s="16" t="s">
        <v>61</v>
      </c>
      <c r="D59" s="16" t="s">
        <v>62</v>
      </c>
      <c r="E59" s="16" t="s">
        <v>61</v>
      </c>
      <c r="F59" s="16" t="s">
        <v>43</v>
      </c>
      <c r="G59" s="16" t="s">
        <v>43</v>
      </c>
      <c r="H59" s="16" t="s">
        <v>43</v>
      </c>
      <c r="I59" s="46"/>
      <c r="J59" s="16">
        <v>1.5217657037549499</v>
      </c>
      <c r="K59" s="16"/>
      <c r="L59" s="16">
        <v>1.0499778896377401</v>
      </c>
      <c r="M59" s="16"/>
      <c r="N59" s="16"/>
      <c r="O59" s="5"/>
      <c r="P59" s="16" t="s">
        <v>61</v>
      </c>
      <c r="Q59" s="16" t="s">
        <v>62</v>
      </c>
      <c r="R59" s="16" t="s">
        <v>61</v>
      </c>
      <c r="S59" s="16" t="s">
        <v>43</v>
      </c>
      <c r="T59" s="16" t="s">
        <v>43</v>
      </c>
      <c r="U59" s="16" t="s">
        <v>43</v>
      </c>
      <c r="V59" s="46"/>
      <c r="W59" s="16" t="s">
        <v>151</v>
      </c>
      <c r="X59" s="16" t="s">
        <v>151</v>
      </c>
      <c r="Y59" s="16" t="s">
        <v>151</v>
      </c>
      <c r="Z59" s="16" t="s">
        <v>151</v>
      </c>
      <c r="AA59" s="16" t="s">
        <v>151</v>
      </c>
      <c r="AB59" s="46"/>
      <c r="AC59" s="119" t="s">
        <v>1</v>
      </c>
      <c r="AD59" s="119" t="s">
        <v>1</v>
      </c>
      <c r="AE59" s="119" t="s">
        <v>1</v>
      </c>
      <c r="AF59" s="119" t="s">
        <v>1</v>
      </c>
      <c r="AG59" s="119" t="s">
        <v>1</v>
      </c>
      <c r="AH59" s="119" t="s">
        <v>1</v>
      </c>
      <c r="AI59" s="46"/>
      <c r="AJ59" s="379"/>
      <c r="AK59" s="379"/>
      <c r="AL59" s="379"/>
    </row>
    <row r="60" spans="1:38" ht="14.25" customHeight="1">
      <c r="A60" s="7" t="s">
        <v>4</v>
      </c>
      <c r="B60" s="7"/>
      <c r="C60" s="14">
        <v>-1310.4800000000105</v>
      </c>
      <c r="D60" s="14">
        <v>5828.5100000000093</v>
      </c>
      <c r="E60" s="14">
        <v>-20.690000000002328</v>
      </c>
      <c r="F60" s="14">
        <v>73.5</v>
      </c>
      <c r="G60" s="14">
        <v>1725.0999999998603</v>
      </c>
      <c r="H60" s="14">
        <f>SUM(C60:G60)</f>
        <v>6295.9399999998568</v>
      </c>
      <c r="I60" s="44"/>
      <c r="J60" s="17">
        <v>1.5296690589615283</v>
      </c>
      <c r="K60" s="17">
        <f>J60/J59</f>
        <v>1.0051935427293945</v>
      </c>
      <c r="L60" s="17">
        <v>1.0562415501506166</v>
      </c>
      <c r="M60" s="17">
        <f>L60/L59</f>
        <v>1.0059655165834374</v>
      </c>
      <c r="N60" s="47">
        <f>K60*K$18+M60*M$18</f>
        <v>1.0057081919654229</v>
      </c>
      <c r="O60" s="7"/>
      <c r="P60" s="14">
        <f t="shared" ref="P60:T62" si="10">C60*$N60</f>
        <v>-1317.960471406858</v>
      </c>
      <c r="Q60" s="14">
        <f t="shared" si="10"/>
        <v>5861.7802539523964</v>
      </c>
      <c r="R60" s="14">
        <f t="shared" si="10"/>
        <v>-20.808102491766942</v>
      </c>
      <c r="S60" s="14">
        <f t="shared" si="10"/>
        <v>73.919552109458593</v>
      </c>
      <c r="T60" s="14">
        <f t="shared" si="10"/>
        <v>1734.9472019594107</v>
      </c>
      <c r="U60" s="14">
        <f>SUM(P60:T60)</f>
        <v>6331.8784341226401</v>
      </c>
      <c r="V60" s="44"/>
      <c r="W60" s="106">
        <f ca="1">W50*(1+Indexation!$C$10)</f>
        <v>4.5360619781344473</v>
      </c>
      <c r="X60" s="106">
        <f ca="1">X50*(1+Indexation!$C$10)</f>
        <v>4.5360619781344473</v>
      </c>
      <c r="Y60" s="106">
        <f ca="1">Y50*(1+Indexation!$C$10)</f>
        <v>3.2607420030372527</v>
      </c>
      <c r="Z60" s="106">
        <f ca="1">Z50*(1+Indexation!$C$10)</f>
        <v>3.2607420030372518</v>
      </c>
      <c r="AA60" s="106">
        <f ca="1">AA50*(1+Indexation!$C$10)</f>
        <v>1.9854220279400572</v>
      </c>
      <c r="AB60" s="44"/>
      <c r="AC60" s="130">
        <f t="shared" ref="AC60:AG62" si="11">P60*W60/1000</f>
        <v>-5.9783503830328009</v>
      </c>
      <c r="AD60" s="130">
        <f t="shared" si="11"/>
        <v>26.589398534132751</v>
      </c>
      <c r="AE60" s="130">
        <f t="shared" si="11"/>
        <v>-6.7849853798408591E-2</v>
      </c>
      <c r="AF60" s="130">
        <f t="shared" si="11"/>
        <v>0.24103258840901254</v>
      </c>
      <c r="AG60" s="130">
        <f t="shared" si="11"/>
        <v>3.4446023920831812</v>
      </c>
      <c r="AH60" s="143">
        <f>SUM(AC60:AG60)</f>
        <v>24.228833277793736</v>
      </c>
      <c r="AI60" s="44"/>
      <c r="AJ60" s="132">
        <f>AG60</f>
        <v>3.4446023920831812</v>
      </c>
      <c r="AK60" s="132">
        <f>SUM(AC60:AF60)</f>
        <v>20.784230885710556</v>
      </c>
      <c r="AL60" s="126">
        <f>AJ60+AK60</f>
        <v>24.228833277793736</v>
      </c>
    </row>
    <row r="61" spans="1:38" ht="14.25" customHeight="1">
      <c r="A61" s="7" t="s">
        <v>15</v>
      </c>
      <c r="B61" s="7"/>
      <c r="C61" s="14">
        <v>1584.25</v>
      </c>
      <c r="D61" s="14">
        <v>1093.0899999999674</v>
      </c>
      <c r="E61" s="14">
        <v>-4901.9200000000419</v>
      </c>
      <c r="F61" s="14">
        <v>4987.3099999999977</v>
      </c>
      <c r="G61" s="14">
        <v>-404.03000000002794</v>
      </c>
      <c r="H61" s="14">
        <f>SUM(C61:G61)</f>
        <v>2358.6999999998952</v>
      </c>
      <c r="I61" s="44"/>
      <c r="J61" s="17">
        <v>1.6423341074460058</v>
      </c>
      <c r="K61" s="17">
        <f>J61/J59</f>
        <v>1.0792292817439333</v>
      </c>
      <c r="L61" s="17">
        <v>1</v>
      </c>
      <c r="M61" s="17">
        <f>L61/L59</f>
        <v>0.95240100755361312</v>
      </c>
      <c r="N61" s="47">
        <f>K61*K$18+M61*M$18</f>
        <v>0.99467709895038636</v>
      </c>
      <c r="O61" s="7"/>
      <c r="P61" s="14">
        <f t="shared" si="10"/>
        <v>1575.8171940121497</v>
      </c>
      <c r="Q61" s="14">
        <f t="shared" si="10"/>
        <v>1087.2715900916453</v>
      </c>
      <c r="R61" s="14">
        <f t="shared" si="10"/>
        <v>-4875.8275648869194</v>
      </c>
      <c r="S61" s="14">
        <f t="shared" si="10"/>
        <v>4960.7630423662495</v>
      </c>
      <c r="T61" s="14">
        <f t="shared" si="10"/>
        <v>-401.87938828895238</v>
      </c>
      <c r="U61" s="14">
        <f>SUM(P61:T61)</f>
        <v>2346.1448732941726</v>
      </c>
      <c r="V61" s="44"/>
      <c r="W61" s="106">
        <f ca="1">W51*(1+Indexation!$C$10)</f>
        <v>4.3727131389966702</v>
      </c>
      <c r="X61" s="106">
        <f ca="1">X51*(1+Indexation!$C$10)</f>
        <v>4.3727131389966694</v>
      </c>
      <c r="Y61" s="106">
        <f ca="1">Y51*(1+Indexation!$C$10)</f>
        <v>3.1433189114896849</v>
      </c>
      <c r="Z61" s="106">
        <f ca="1">Z51*(1+Indexation!$C$10)</f>
        <v>3.143318911489684</v>
      </c>
      <c r="AA61" s="106">
        <f ca="1">AA51*(1+Indexation!$C$10)</f>
        <v>1.9139246839826982</v>
      </c>
      <c r="AB61" s="44"/>
      <c r="AC61" s="130">
        <f t="shared" si="11"/>
        <v>6.8905965489137913</v>
      </c>
      <c r="AD61" s="130">
        <f t="shared" si="11"/>
        <v>4.7543267676515377</v>
      </c>
      <c r="AE61" s="130">
        <f t="shared" si="11"/>
        <v>-15.326280993871753</v>
      </c>
      <c r="AF61" s="130">
        <f t="shared" si="11"/>
        <v>15.593260286488933</v>
      </c>
      <c r="AG61" s="130">
        <f t="shared" si="11"/>
        <v>-0.76916688123009325</v>
      </c>
      <c r="AH61" s="143">
        <f>SUM(AC61:AG61)</f>
        <v>11.142735727952415</v>
      </c>
      <c r="AI61" s="44"/>
      <c r="AJ61" s="132">
        <f>AG61</f>
        <v>-0.76916688123009325</v>
      </c>
      <c r="AK61" s="132">
        <f>SUM(AC61:AF61)</f>
        <v>11.911902609182508</v>
      </c>
      <c r="AL61" s="126">
        <f>AJ61+AK61</f>
        <v>11.142735727952415</v>
      </c>
    </row>
    <row r="62" spans="1:38" ht="14.25" customHeight="1" thickBot="1">
      <c r="A62" s="269" t="s">
        <v>17</v>
      </c>
      <c r="B62" s="269"/>
      <c r="C62" s="279">
        <v>-2758.4700000000012</v>
      </c>
      <c r="D62" s="279">
        <v>59063.710000000079</v>
      </c>
      <c r="E62" s="279">
        <v>-42.520000000004075</v>
      </c>
      <c r="F62" s="279">
        <v>-6758.609999999986</v>
      </c>
      <c r="G62" s="279">
        <v>-6282.0399999999208</v>
      </c>
      <c r="H62" s="279">
        <f>SUM(C62:G62)</f>
        <v>43222.070000000167</v>
      </c>
      <c r="I62" s="280"/>
      <c r="J62" s="272">
        <v>1.5651456914411006</v>
      </c>
      <c r="K62" s="272">
        <f>J62/J59</f>
        <v>1.0285063512596655</v>
      </c>
      <c r="L62" s="272">
        <v>1.1239027320779076</v>
      </c>
      <c r="M62" s="272">
        <f>L62/L59</f>
        <v>1.0704060944232576</v>
      </c>
      <c r="N62" s="273">
        <f>K62*K$18+M62*M$18</f>
        <v>1.0564395133687268</v>
      </c>
      <c r="O62" s="269"/>
      <c r="P62" s="279">
        <f t="shared" si="10"/>
        <v>-2914.1567044422331</v>
      </c>
      <c r="Q62" s="279">
        <f t="shared" si="10"/>
        <v>62397.237050151685</v>
      </c>
      <c r="R62" s="279">
        <f t="shared" si="10"/>
        <v>-44.919808108442567</v>
      </c>
      <c r="S62" s="279">
        <f t="shared" si="10"/>
        <v>-7140.0626594489959</v>
      </c>
      <c r="T62" s="279">
        <f t="shared" si="10"/>
        <v>-6636.5952805627931</v>
      </c>
      <c r="U62" s="279">
        <f>SUM(P62:T62)</f>
        <v>45661.50259758922</v>
      </c>
      <c r="V62" s="280"/>
      <c r="W62" s="281">
        <f ca="1">W52*(1+Indexation!$C$10)</f>
        <v>4.583702289912563</v>
      </c>
      <c r="X62" s="281">
        <f ca="1">X52*(1+Indexation!$C$10)</f>
        <v>4.583702289912563</v>
      </c>
      <c r="Y62" s="281">
        <f ca="1">Y52*(1+Indexation!$C$10)</f>
        <v>3.2949881765687201</v>
      </c>
      <c r="Z62" s="281">
        <f ca="1">Z52*(1+Indexation!$C$10)</f>
        <v>3.2949881765687201</v>
      </c>
      <c r="AA62" s="281">
        <f ca="1">AA52*(1+Indexation!$C$10)</f>
        <v>2.0062740632248799</v>
      </c>
      <c r="AB62" s="280"/>
      <c r="AC62" s="275">
        <f t="shared" si="11"/>
        <v>-13.357626759315911</v>
      </c>
      <c r="AD62" s="275">
        <f t="shared" si="11"/>
        <v>286.01035835099731</v>
      </c>
      <c r="AE62" s="275">
        <f t="shared" si="11"/>
        <v>-0.14801023661105397</v>
      </c>
      <c r="AF62" s="275">
        <f t="shared" si="11"/>
        <v>-23.526422042844253</v>
      </c>
      <c r="AG62" s="275">
        <f t="shared" si="11"/>
        <v>-13.314828979513777</v>
      </c>
      <c r="AH62" s="276">
        <f>SUM(AC62:AG62)</f>
        <v>235.66347033271231</v>
      </c>
      <c r="AI62" s="280"/>
      <c r="AJ62" s="277">
        <f>AG62</f>
        <v>-13.314828979513777</v>
      </c>
      <c r="AK62" s="277">
        <f>SUM(AC62:AF62)</f>
        <v>248.97829931222608</v>
      </c>
      <c r="AL62" s="278">
        <f>AJ62+AK62</f>
        <v>235.66347033271231</v>
      </c>
    </row>
    <row r="63" spans="1:38" ht="7.5" customHeight="1">
      <c r="A63" s="135"/>
    </row>
  </sheetData>
  <mergeCells count="66">
    <mergeCell ref="W6:AA6"/>
    <mergeCell ref="AC6:AH6"/>
    <mergeCell ref="AJ6:AL6"/>
    <mergeCell ref="AJ7:AL7"/>
    <mergeCell ref="A6:A7"/>
    <mergeCell ref="C6:H6"/>
    <mergeCell ref="J6:N6"/>
    <mergeCell ref="P6:U6"/>
    <mergeCell ref="AJ8:AJ9"/>
    <mergeCell ref="AK8:AK9"/>
    <mergeCell ref="AL8:AL9"/>
    <mergeCell ref="W26:AA26"/>
    <mergeCell ref="AJ16:AL16"/>
    <mergeCell ref="AJ17:AL17"/>
    <mergeCell ref="AJ18:AJ19"/>
    <mergeCell ref="AK18:AK19"/>
    <mergeCell ref="AL18:AL19"/>
    <mergeCell ref="AK28:AK29"/>
    <mergeCell ref="AJ27:AL27"/>
    <mergeCell ref="A26:A27"/>
    <mergeCell ref="C26:H26"/>
    <mergeCell ref="J26:N26"/>
    <mergeCell ref="P26:U26"/>
    <mergeCell ref="AL28:AL29"/>
    <mergeCell ref="AC26:AH26"/>
    <mergeCell ref="AJ26:AL26"/>
    <mergeCell ref="AJ28:AJ29"/>
    <mergeCell ref="P16:U16"/>
    <mergeCell ref="AC16:AH16"/>
    <mergeCell ref="A16:A17"/>
    <mergeCell ref="C16:H16"/>
    <mergeCell ref="J16:N16"/>
    <mergeCell ref="W16:AA16"/>
    <mergeCell ref="J36:N36"/>
    <mergeCell ref="C36:H36"/>
    <mergeCell ref="AL38:AL39"/>
    <mergeCell ref="AK38:AK39"/>
    <mergeCell ref="AJ38:AJ39"/>
    <mergeCell ref="AJ37:AL37"/>
    <mergeCell ref="C46:H46"/>
    <mergeCell ref="AL48:AL49"/>
    <mergeCell ref="AK48:AK49"/>
    <mergeCell ref="AJ48:AJ49"/>
    <mergeCell ref="AJ47:AL47"/>
    <mergeCell ref="A36:A37"/>
    <mergeCell ref="AJ36:AL36"/>
    <mergeCell ref="AC36:AH36"/>
    <mergeCell ref="W36:AA36"/>
    <mergeCell ref="P36:U36"/>
    <mergeCell ref="AL58:AL59"/>
    <mergeCell ref="AK58:AK59"/>
    <mergeCell ref="AJ58:AJ59"/>
    <mergeCell ref="AJ57:AL57"/>
    <mergeCell ref="A46:A47"/>
    <mergeCell ref="AJ46:AL46"/>
    <mergeCell ref="AC46:AH46"/>
    <mergeCell ref="W46:AA46"/>
    <mergeCell ref="P46:U46"/>
    <mergeCell ref="J46:N46"/>
    <mergeCell ref="A56:A57"/>
    <mergeCell ref="AJ56:AL56"/>
    <mergeCell ref="AC56:AH56"/>
    <mergeCell ref="W56:AA56"/>
    <mergeCell ref="P56:U56"/>
    <mergeCell ref="J56:N56"/>
    <mergeCell ref="C56:H56"/>
  </mergeCells>
  <phoneticPr fontId="6" type="noConversion"/>
  <pageMargins left="0.74803149606299213" right="0.95" top="0.47244094488188981" bottom="0.47244094488188981" header="0.35433070866141736" footer="0.23622047244094491"/>
  <pageSetup paperSize="5" scale="64" orientation="landscape" r:id="rId1"/>
  <headerFooter alignWithMargins="0">
    <oddFooter>&amp;L&amp;Z&amp;F</oddFooter>
  </headerFooter>
  <colBreaks count="2" manualBreakCount="2">
    <brk id="14" max="272" man="1"/>
    <brk id="38" max="27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5</vt:i4>
      </vt:variant>
    </vt:vector>
  </HeadingPairs>
  <TitlesOfParts>
    <vt:vector size="15" baseType="lpstr">
      <vt:lpstr>GLOBAL</vt:lpstr>
      <vt:lpstr>Indexation</vt:lpstr>
      <vt:lpstr>Aménagement</vt:lpstr>
      <vt:lpstr>Bibliothèques</vt:lpstr>
      <vt:lpstr>Sport</vt:lpstr>
      <vt:lpstr>Culture</vt:lpstr>
      <vt:lpstr>Santé</vt:lpstr>
      <vt:lpstr>Parcs</vt:lpstr>
      <vt:lpstr>Voirie</vt:lpstr>
      <vt:lpstr>Ajust. post transferts</vt:lpstr>
      <vt:lpstr>Voirie!Impression_des_titres</vt:lpstr>
      <vt:lpstr>Culture!Zone_d_impression</vt:lpstr>
      <vt:lpstr>GLOBAL!Zone_d_impression</vt:lpstr>
      <vt:lpstr>Parcs!Zone_d_impression</vt:lpstr>
      <vt:lpstr>Voirie!Zone_d_impression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uouimgh</cp:lastModifiedBy>
  <cp:lastPrinted>2018-09-04T18:55:12Z</cp:lastPrinted>
  <dcterms:created xsi:type="dcterms:W3CDTF">1996-10-21T11:03:58Z</dcterms:created>
  <dcterms:modified xsi:type="dcterms:W3CDTF">2022-12-08T17:00:56Z</dcterms:modified>
</cp:coreProperties>
</file>