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touan\Desktop\Conception Fusex\Conception moteur\"/>
    </mc:Choice>
  </mc:AlternateContent>
  <bookViews>
    <workbookView xWindow="0" yWindow="0" windowWidth="28800" windowHeight="12330" activeTab="2"/>
  </bookViews>
  <sheets>
    <sheet name="Mesure poussée moteur" sheetId="1" r:id="rId1"/>
    <sheet name="Conception tuyère moteur" sheetId="2" state="hidden" r:id="rId2"/>
    <sheet name="Conception moteur end burner" sheetId="4" r:id="rId3"/>
  </sheets>
  <definedNames>
    <definedName name="cg">'Mesure poussée moteur'!$G$3</definedName>
    <definedName name="g">'Mesure poussée moteur'!$G$3</definedName>
    <definedName name="Te">'Mesure poussée moteur'!$F$3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8" i="4" l="1"/>
  <c r="D37" i="4"/>
  <c r="D36" i="4"/>
  <c r="D35" i="4"/>
  <c r="D32" i="4"/>
  <c r="D30" i="4"/>
  <c r="D29" i="4"/>
  <c r="B17" i="4"/>
  <c r="B16" i="4"/>
  <c r="B23" i="4" l="1"/>
  <c r="B24" i="4"/>
  <c r="B23" i="2"/>
  <c r="B20" i="2"/>
  <c r="B12" i="2"/>
  <c r="B11" i="2"/>
  <c r="B14" i="2" s="1"/>
  <c r="B10" i="2"/>
  <c r="B9" i="2"/>
  <c r="B13" i="2" s="1"/>
  <c r="B6" i="2"/>
  <c r="B26" i="4" l="1"/>
  <c r="B20" i="4"/>
  <c r="D33" i="4"/>
  <c r="D31" i="4"/>
  <c r="B15" i="2"/>
  <c r="B16" i="2" s="1"/>
  <c r="B17" i="2" s="1"/>
  <c r="B21" i="2" s="1"/>
  <c r="B22" i="2" s="1"/>
  <c r="B24" i="2" s="1"/>
  <c r="B25" i="2" s="1"/>
  <c r="N4" i="1"/>
  <c r="P4" i="1" s="1"/>
  <c r="O4" i="1"/>
  <c r="Q4" i="1"/>
  <c r="N5" i="1"/>
  <c r="O5" i="1" s="1"/>
  <c r="Q5" i="1" s="1"/>
  <c r="N6" i="1"/>
  <c r="O6" i="1" s="1"/>
  <c r="Q6" i="1" s="1"/>
  <c r="N7" i="1"/>
  <c r="O7" i="1" s="1"/>
  <c r="Q7" i="1" s="1"/>
  <c r="N8" i="1"/>
  <c r="O8" i="1" s="1"/>
  <c r="Q8" i="1" s="1"/>
  <c r="N9" i="1"/>
  <c r="O9" i="1" s="1"/>
  <c r="Q9" i="1" s="1"/>
  <c r="N10" i="1"/>
  <c r="O10" i="1" s="1"/>
  <c r="Q10" i="1" s="1"/>
  <c r="N11" i="1"/>
  <c r="O11" i="1" s="1"/>
  <c r="Q11" i="1" s="1"/>
  <c r="N12" i="1"/>
  <c r="O12" i="1" s="1"/>
  <c r="Q12" i="1" s="1"/>
  <c r="N13" i="1"/>
  <c r="O13" i="1" s="1"/>
  <c r="Q13" i="1" s="1"/>
  <c r="N14" i="1"/>
  <c r="O14" i="1" s="1"/>
  <c r="Q14" i="1" s="1"/>
  <c r="N15" i="1"/>
  <c r="O15" i="1" s="1"/>
  <c r="Q15" i="1" s="1"/>
  <c r="N16" i="1"/>
  <c r="O16" i="1" s="1"/>
  <c r="N17" i="1"/>
  <c r="O17" i="1" s="1"/>
  <c r="N18" i="1"/>
  <c r="O18" i="1" s="1"/>
  <c r="N19" i="1"/>
  <c r="O19" i="1" s="1"/>
  <c r="N20" i="1"/>
  <c r="O20" i="1" s="1"/>
  <c r="N21" i="1"/>
  <c r="O21" i="1" s="1"/>
  <c r="N22" i="1"/>
  <c r="O22" i="1" s="1"/>
  <c r="D34" i="4" l="1"/>
  <c r="B18" i="4" s="1"/>
  <c r="B22" i="4" s="1"/>
  <c r="Q22" i="1"/>
  <c r="Q20" i="1"/>
  <c r="Q18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Q21" i="1"/>
  <c r="Q19" i="1"/>
  <c r="Q17" i="1"/>
  <c r="Q16" i="1"/>
  <c r="J3" i="1"/>
  <c r="B19" i="4" l="1"/>
  <c r="B21" i="4"/>
  <c r="D12" i="1"/>
  <c r="K5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D6" i="1"/>
  <c r="D18" i="1"/>
  <c r="D22" i="1"/>
  <c r="D14" i="1" l="1"/>
  <c r="D10" i="1"/>
  <c r="D16" i="1"/>
  <c r="D20" i="1"/>
  <c r="D8" i="1"/>
  <c r="D15" i="1"/>
  <c r="D11" i="1"/>
  <c r="D7" i="1"/>
  <c r="D19" i="1"/>
  <c r="D21" i="1"/>
  <c r="D17" i="1"/>
  <c r="D13" i="1"/>
  <c r="D9" i="1"/>
  <c r="E4" i="1"/>
  <c r="D5" i="1" l="1"/>
  <c r="D4" i="1"/>
  <c r="J5" i="1" l="1"/>
  <c r="K6" i="1" s="1"/>
  <c r="J6" i="1" l="1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3" i="1"/>
  <c r="A4" i="1"/>
  <c r="J4" i="1" l="1"/>
  <c r="A5" i="1"/>
  <c r="A6" i="1" l="1"/>
  <c r="A7" i="1" l="1"/>
  <c r="A8" i="1" l="1"/>
  <c r="A9" i="1" l="1"/>
  <c r="A10" i="1" l="1"/>
  <c r="A11" i="1" l="1"/>
  <c r="A12" i="1" l="1"/>
  <c r="A13" i="1" l="1"/>
  <c r="A14" i="1" l="1"/>
  <c r="A15" i="1" l="1"/>
  <c r="A16" i="1" l="1"/>
  <c r="A17" i="1" l="1"/>
  <c r="A18" i="1" l="1"/>
  <c r="A19" i="1" l="1"/>
  <c r="A20" i="1" l="1"/>
  <c r="A21" i="1" l="1"/>
  <c r="A22" i="1" l="1"/>
</calcChain>
</file>

<file path=xl/sharedStrings.xml><?xml version="1.0" encoding="utf-8"?>
<sst xmlns="http://schemas.openxmlformats.org/spreadsheetml/2006/main" count="164" uniqueCount="116">
  <si>
    <t>Pousée (N)</t>
  </si>
  <si>
    <t>Poussée (kg)</t>
  </si>
  <si>
    <t>Résultats</t>
  </si>
  <si>
    <t>Poussée moyenne (N)</t>
  </si>
  <si>
    <t>Poussée moyenne (kg)</t>
  </si>
  <si>
    <t>Impulsion totale (Ns)</t>
  </si>
  <si>
    <t>Impulsion spécifique - ISP (s)</t>
  </si>
  <si>
    <t>Masse propergol (g)</t>
  </si>
  <si>
    <t>Coef. directeur</t>
  </si>
  <si>
    <t>Décalage</t>
  </si>
  <si>
    <t>F(t1)</t>
  </si>
  <si>
    <t>F(t2)</t>
  </si>
  <si>
    <t>Temps échantillonage (s)</t>
  </si>
  <si>
    <t>g (m/s²)</t>
  </si>
  <si>
    <t>Temps total (s)</t>
  </si>
  <si>
    <t>Temps (s)</t>
  </si>
  <si>
    <t>Impulsion (Ns)</t>
  </si>
  <si>
    <t>Trapèze</t>
  </si>
  <si>
    <t>Intégrale</t>
  </si>
  <si>
    <t>k</t>
  </si>
  <si>
    <t>dt</t>
  </si>
  <si>
    <t>Pc</t>
  </si>
  <si>
    <t>Pe</t>
  </si>
  <si>
    <t>At</t>
  </si>
  <si>
    <t>Unité</t>
  </si>
  <si>
    <t>bar</t>
  </si>
  <si>
    <t>mm</t>
  </si>
  <si>
    <t>mm²</t>
  </si>
  <si>
    <t>ø</t>
  </si>
  <si>
    <t>((k+1)/2)^((1/(k-1))</t>
  </si>
  <si>
    <t>((Pe/Pc)^(1/k))</t>
  </si>
  <si>
    <t>((k+1)/(k-1))</t>
  </si>
  <si>
    <t>1-((Pe/Pc)^((k-1)/k))</t>
  </si>
  <si>
    <t>X</t>
  </si>
  <si>
    <t>Y</t>
  </si>
  <si>
    <t>At/Ae</t>
  </si>
  <si>
    <t>Raport Kn</t>
  </si>
  <si>
    <t>Ae</t>
  </si>
  <si>
    <t>Surface au divergent</t>
  </si>
  <si>
    <t>Diamètre au divergent</t>
  </si>
  <si>
    <t>de</t>
  </si>
  <si>
    <t>Définition</t>
  </si>
  <si>
    <t>Calcul</t>
  </si>
  <si>
    <t>Rayon du col</t>
  </si>
  <si>
    <t>Rayon de la sortie</t>
  </si>
  <si>
    <t>Côté opposé</t>
  </si>
  <si>
    <t>Coté adjacent</t>
  </si>
  <si>
    <t>Tangente</t>
  </si>
  <si>
    <t>Demi angle</t>
  </si>
  <si>
    <t>degré</t>
  </si>
  <si>
    <t>Longueur du divergent</t>
  </si>
  <si>
    <t>Ld</t>
  </si>
  <si>
    <t>Re</t>
  </si>
  <si>
    <t>Rt</t>
  </si>
  <si>
    <t>co</t>
  </si>
  <si>
    <t>ca</t>
  </si>
  <si>
    <t>tan</t>
  </si>
  <si>
    <t>alpha</t>
  </si>
  <si>
    <t>Donnée</t>
  </si>
  <si>
    <t>M</t>
  </si>
  <si>
    <t>Description</t>
  </si>
  <si>
    <t>Diamètre du col</t>
  </si>
  <si>
    <t>Pression statique dans la chambre de combustion</t>
  </si>
  <si>
    <t>Pression extérieure/atmosphérique</t>
  </si>
  <si>
    <t>Nombre de Mach</t>
  </si>
  <si>
    <t>Ve</t>
  </si>
  <si>
    <t>F</t>
  </si>
  <si>
    <t>Cf</t>
  </si>
  <si>
    <t>Exposant isentropique (rapport Cp/Cv)</t>
  </si>
  <si>
    <t>Coefficient de poussée du moteur</t>
  </si>
  <si>
    <t>Vitesse d'éjection des gaz</t>
  </si>
  <si>
    <t>Surface au col</t>
  </si>
  <si>
    <t>m/s</t>
  </si>
  <si>
    <t>N</t>
  </si>
  <si>
    <t>Notes</t>
  </si>
  <si>
    <t>Kn</t>
  </si>
  <si>
    <t>Ratio Kn</t>
  </si>
  <si>
    <t>dc</t>
  </si>
  <si>
    <t>Ac</t>
  </si>
  <si>
    <t>Surface de combustion</t>
  </si>
  <si>
    <t>Diamètre de la chambre combustion</t>
  </si>
  <si>
    <t>a</t>
  </si>
  <si>
    <t>n</t>
  </si>
  <si>
    <t>ρ</t>
  </si>
  <si>
    <t>Masse volumique du propergol</t>
  </si>
  <si>
    <t>c*</t>
  </si>
  <si>
    <t>mm/s</t>
  </si>
  <si>
    <t>Coeficient du taux de combustion</t>
  </si>
  <si>
    <t>Exposant du taux de combustion</t>
  </si>
  <si>
    <t>Vitesse d'éjection caractéristique du moteur</t>
  </si>
  <si>
    <t>Tc</t>
  </si>
  <si>
    <t>K</t>
  </si>
  <si>
    <t>Température de combustion du propergol</t>
  </si>
  <si>
    <t>1/(1-n)</t>
  </si>
  <si>
    <t>M*</t>
  </si>
  <si>
    <t>g/cm3</t>
  </si>
  <si>
    <t>((k+1)/2)^((1/(k-1)))</t>
  </si>
  <si>
    <t>De</t>
  </si>
  <si>
    <t>Diamètre du divergent</t>
  </si>
  <si>
    <t>(2*(k^2))/(k-1)</t>
  </si>
  <si>
    <t>2/(k+1)</t>
  </si>
  <si>
    <t>(k-1)/k</t>
  </si>
  <si>
    <t>t</t>
  </si>
  <si>
    <t>Résultat</t>
  </si>
  <si>
    <t>kg/kmol</t>
  </si>
  <si>
    <t>Masse moléculaire efficace</t>
  </si>
  <si>
    <t>k/(k-1)</t>
  </si>
  <si>
    <t>En cours…</t>
  </si>
  <si>
    <t>r</t>
  </si>
  <si>
    <t>KNSU</t>
  </si>
  <si>
    <t>KNSB</t>
  </si>
  <si>
    <t>À déterminer avec ProPEP</t>
  </si>
  <si>
    <t>À déterminer dans un abaque</t>
  </si>
  <si>
    <t>À déterminer avec ProPEP (ft/s)</t>
  </si>
  <si>
    <t>KNDX</t>
  </si>
  <si>
    <t>Poussée moyenne/idéale du moteur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</si>
</sst>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5" fontId="0" fillId="0" borderId="0" xfId="0" applyNumberFormat="1" applyAlignment="1">
      <alignment horizontal="center"/>
    </xf>
    <xf numFmtId="2" fontId="0" fillId="7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0" fontId="0" fillId="0" borderId="0" xfId="0" applyAlignment="1">
      <alignment horizontal="left"/>
    </xf>
    <xf numFmtId="2" fontId="0" fillId="5" borderId="0" xfId="0" applyNumberForma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Alignment="1">
      <alignment horizontal="left"/>
    </xf>
    <xf numFmtId="2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Poussée</a:t>
            </a:r>
            <a:r>
              <a:rPr lang="fr-FR" baseline="0"/>
              <a:t> moteur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1701444777966287E-2"/>
          <c:y val="0.16802395209580839"/>
          <c:w val="0.91413349574397118"/>
          <c:h val="0.75932827258868085"/>
        </c:manualLayout>
      </c:layout>
      <c:lineChart>
        <c:grouping val="standard"/>
        <c:varyColors val="0"/>
        <c:ser>
          <c:idx val="0"/>
          <c:order val="0"/>
          <c:tx>
            <c:strRef>
              <c:f>'Mesure poussée moteur'!$B$2</c:f>
              <c:strCache>
                <c:ptCount val="1"/>
                <c:pt idx="0">
                  <c:v>Pousée (N)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'Mesure poussée moteur'!$A$3:$A$23</c:f>
              <c:numCache>
                <c:formatCode>General</c:formatCode>
                <c:ptCount val="21"/>
                <c:pt idx="0" formatCode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</c:numCache>
            </c:numRef>
          </c:cat>
          <c:val>
            <c:numRef>
              <c:f>'Mesure poussée moteur'!$B$3:$B$23</c:f>
              <c:numCache>
                <c:formatCode>0.0</c:formatCode>
                <c:ptCount val="21"/>
                <c:pt idx="0" formatCode="General">
                  <c:v>0</c:v>
                </c:pt>
                <c:pt idx="1">
                  <c:v>19.62</c:v>
                </c:pt>
                <c:pt idx="2">
                  <c:v>39.24</c:v>
                </c:pt>
                <c:pt idx="3">
                  <c:v>38.259</c:v>
                </c:pt>
                <c:pt idx="4">
                  <c:v>29.43</c:v>
                </c:pt>
                <c:pt idx="5">
                  <c:v>33.353999999999999</c:v>
                </c:pt>
                <c:pt idx="6">
                  <c:v>41.201999999999998</c:v>
                </c:pt>
                <c:pt idx="7">
                  <c:v>49.05</c:v>
                </c:pt>
                <c:pt idx="8">
                  <c:v>57.878999999999998</c:v>
                </c:pt>
                <c:pt idx="9">
                  <c:v>78.48</c:v>
                </c:pt>
                <c:pt idx="10">
                  <c:v>127.53</c:v>
                </c:pt>
                <c:pt idx="11">
                  <c:v>200.124</c:v>
                </c:pt>
                <c:pt idx="12">
                  <c:v>245.25</c:v>
                </c:pt>
                <c:pt idx="13">
                  <c:v>220.72499999999999</c:v>
                </c:pt>
                <c:pt idx="14">
                  <c:v>215.82</c:v>
                </c:pt>
                <c:pt idx="15">
                  <c:v>105.94799999999999</c:v>
                </c:pt>
                <c:pt idx="16">
                  <c:v>62.783999999999999</c:v>
                </c:pt>
                <c:pt idx="17">
                  <c:v>40.220999999999997</c:v>
                </c:pt>
                <c:pt idx="18">
                  <c:v>14.715</c:v>
                </c:pt>
                <c:pt idx="19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22-4DF2-873A-E3EC4D8E8282}"/>
            </c:ext>
          </c:extLst>
        </c:ser>
        <c:ser>
          <c:idx val="1"/>
          <c:order val="1"/>
          <c:tx>
            <c:strRef>
              <c:f>'Mesure poussée moteur'!$C$2</c:f>
              <c:strCache>
                <c:ptCount val="1"/>
                <c:pt idx="0">
                  <c:v>Poussée (kg)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'Mesure poussée moteur'!$A$3:$A$23</c:f>
              <c:numCache>
                <c:formatCode>General</c:formatCode>
                <c:ptCount val="21"/>
                <c:pt idx="0" formatCode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</c:numCache>
            </c:numRef>
          </c:cat>
          <c:val>
            <c:numRef>
              <c:f>'Mesure poussée moteur'!$C$3:$C$23</c:f>
              <c:numCache>
                <c:formatCode>0.0</c:formatCode>
                <c:ptCount val="2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3.9</c:v>
                </c:pt>
                <c:pt idx="4">
                  <c:v>3</c:v>
                </c:pt>
                <c:pt idx="5">
                  <c:v>3.4</c:v>
                </c:pt>
                <c:pt idx="6">
                  <c:v>4.1999999999999993</c:v>
                </c:pt>
                <c:pt idx="7">
                  <c:v>4.9999999999999991</c:v>
                </c:pt>
                <c:pt idx="8">
                  <c:v>5.8999999999999995</c:v>
                </c:pt>
                <c:pt idx="9">
                  <c:v>8</c:v>
                </c:pt>
                <c:pt idx="10">
                  <c:v>13</c:v>
                </c:pt>
                <c:pt idx="11">
                  <c:v>20.399999999999999</c:v>
                </c:pt>
                <c:pt idx="12">
                  <c:v>25</c:v>
                </c:pt>
                <c:pt idx="13">
                  <c:v>22.5</c:v>
                </c:pt>
                <c:pt idx="14">
                  <c:v>21.999999999999996</c:v>
                </c:pt>
                <c:pt idx="15">
                  <c:v>10.799999999999999</c:v>
                </c:pt>
                <c:pt idx="16">
                  <c:v>6.3999999999999995</c:v>
                </c:pt>
                <c:pt idx="17">
                  <c:v>4.0999999999999996</c:v>
                </c:pt>
                <c:pt idx="18">
                  <c:v>1.5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22-4DF2-873A-E3EC4D8E8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701064"/>
        <c:axId val="434705328"/>
      </c:lineChart>
      <c:catAx>
        <c:axId val="434701064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4705328"/>
        <c:crosses val="autoZero"/>
        <c:auto val="1"/>
        <c:lblAlgn val="ctr"/>
        <c:lblOffset val="100"/>
        <c:noMultiLvlLbl val="0"/>
      </c:catAx>
      <c:valAx>
        <c:axId val="43470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4701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1028699</xdr:colOff>
      <xdr:row>6</xdr:row>
      <xdr:rowOff>190499</xdr:rowOff>
    </xdr:from>
    <xdr:to>
      <xdr:col>11</xdr:col>
      <xdr:colOff>9525</xdr:colOff>
      <xdr:row>25</xdr:row>
      <xdr:rowOff>9525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>
      <selection activeCell="F32" sqref="F32"/>
    </sheetView>
  </sheetViews>
  <sheetFormatPr baseColWidth="10" defaultRowHeight="15" x14ac:dyDescent="0.25"/>
  <cols>
    <col min="1" max="1" width="10.5703125" customWidth="1"/>
    <col min="3" max="3" width="12.28515625" customWidth="1"/>
    <col min="4" max="4" width="14.42578125" customWidth="1"/>
    <col min="5" max="5" width="15.42578125" customWidth="1"/>
    <col min="6" max="6" width="23.42578125" customWidth="1"/>
    <col min="7" max="7" width="19" customWidth="1"/>
    <col min="9" max="9" width="27.140625" customWidth="1"/>
    <col min="10" max="10" width="11.7109375" customWidth="1"/>
    <col min="14" max="14" width="14.85546875" customWidth="1"/>
  </cols>
  <sheetData>
    <row r="1" spans="1:17" x14ac:dyDescent="0.25">
      <c r="A1" s="1"/>
      <c r="B1" s="1"/>
      <c r="C1" s="1"/>
      <c r="D1" s="1" t="s">
        <v>18</v>
      </c>
      <c r="E1" s="1" t="s">
        <v>17</v>
      </c>
      <c r="F1" s="1"/>
      <c r="G1" s="1"/>
      <c r="H1" s="1"/>
      <c r="I1" s="1"/>
    </row>
    <row r="2" spans="1:17" x14ac:dyDescent="0.25">
      <c r="A2" s="2" t="s">
        <v>15</v>
      </c>
      <c r="B2" s="5" t="s">
        <v>0</v>
      </c>
      <c r="C2" s="5" t="s">
        <v>1</v>
      </c>
      <c r="D2" s="4" t="s">
        <v>16</v>
      </c>
      <c r="E2" s="4" t="s">
        <v>16</v>
      </c>
      <c r="F2" s="3" t="s">
        <v>12</v>
      </c>
      <c r="G2" s="3" t="s">
        <v>13</v>
      </c>
      <c r="H2" s="1"/>
      <c r="I2" s="25" t="s">
        <v>2</v>
      </c>
      <c r="J2" s="25"/>
      <c r="K2" s="25"/>
      <c r="M2" s="1"/>
      <c r="N2" s="9" t="s">
        <v>8</v>
      </c>
      <c r="O2" s="9" t="s">
        <v>9</v>
      </c>
      <c r="P2" s="9" t="s">
        <v>11</v>
      </c>
      <c r="Q2" s="9" t="s">
        <v>10</v>
      </c>
    </row>
    <row r="3" spans="1:17" x14ac:dyDescent="0.25">
      <c r="A3" s="6">
        <v>0</v>
      </c>
      <c r="B3" s="1">
        <v>0</v>
      </c>
      <c r="C3" s="10">
        <f t="shared" ref="C3:C22" si="0">B3/cg</f>
        <v>0</v>
      </c>
      <c r="D3" s="1">
        <v>0</v>
      </c>
      <c r="E3" s="1">
        <v>0</v>
      </c>
      <c r="F3" s="1">
        <v>0.05</v>
      </c>
      <c r="G3" s="7">
        <v>9.81</v>
      </c>
      <c r="H3" s="1"/>
      <c r="I3" s="8" t="s">
        <v>3</v>
      </c>
      <c r="J3" s="10">
        <f>SUM(B4:B22)/(F5/Te)</f>
        <v>85.243736842105278</v>
      </c>
      <c r="K3" s="1"/>
      <c r="N3" s="1"/>
      <c r="O3" s="1"/>
      <c r="P3" s="1"/>
      <c r="Q3" s="1"/>
    </row>
    <row r="4" spans="1:17" x14ac:dyDescent="0.25">
      <c r="A4" s="1">
        <f t="shared" ref="A4:A22" si="1">A3+Te</f>
        <v>0.05</v>
      </c>
      <c r="B4" s="10">
        <v>19.62</v>
      </c>
      <c r="C4" s="10">
        <f t="shared" si="0"/>
        <v>2</v>
      </c>
      <c r="D4" s="10">
        <f>P4-Q4</f>
        <v>0.49050000000000005</v>
      </c>
      <c r="E4" s="10">
        <f t="shared" ref="E4:E22" si="2">((B3+B4)*Te)/2</f>
        <v>0.49050000000000005</v>
      </c>
      <c r="F4" s="3" t="s">
        <v>14</v>
      </c>
      <c r="G4" s="3" t="s">
        <v>7</v>
      </c>
      <c r="H4" s="1"/>
      <c r="I4" s="8" t="s">
        <v>4</v>
      </c>
      <c r="J4" s="10">
        <f>SUM(C3:C23)/(F5/Te)</f>
        <v>8.6894736842105278</v>
      </c>
      <c r="K4" s="1"/>
      <c r="N4" s="1">
        <f t="shared" ref="N4:N22" si="3">(B4-B3)/Te</f>
        <v>392.4</v>
      </c>
      <c r="O4" s="1">
        <f>B3</f>
        <v>0</v>
      </c>
      <c r="P4" s="10">
        <f>0.5*N4*A4*A4+O4*A4</f>
        <v>0.49050000000000005</v>
      </c>
      <c r="Q4" s="1">
        <f>0.5*N4*A3*A3+O4*A3</f>
        <v>0</v>
      </c>
    </row>
    <row r="5" spans="1:17" x14ac:dyDescent="0.25">
      <c r="A5" s="1">
        <f t="shared" si="1"/>
        <v>0.1</v>
      </c>
      <c r="B5" s="10">
        <v>39.24</v>
      </c>
      <c r="C5" s="10">
        <f t="shared" si="0"/>
        <v>4</v>
      </c>
      <c r="D5" s="10">
        <f t="shared" ref="D5:D22" si="4">P5-Q5</f>
        <v>1.4715000000000003</v>
      </c>
      <c r="E5" s="10">
        <f t="shared" si="2"/>
        <v>1.4715</v>
      </c>
      <c r="F5" s="1">
        <v>0.95</v>
      </c>
      <c r="G5" s="1">
        <v>95</v>
      </c>
      <c r="H5" s="1"/>
      <c r="I5" s="8" t="s">
        <v>5</v>
      </c>
      <c r="J5" s="10">
        <f>SUM(D3:D22)</f>
        <v>80.981550000000141</v>
      </c>
      <c r="K5" s="11">
        <f>SUM(E3:E22)</f>
        <v>80.981550000000013</v>
      </c>
      <c r="N5" s="1">
        <f t="shared" si="3"/>
        <v>392.4</v>
      </c>
      <c r="O5" s="1">
        <f>B4-N5*A4</f>
        <v>0</v>
      </c>
      <c r="P5" s="10">
        <f t="shared" ref="P5:P22" si="5">0.5*N5*A5*A5+O5*A5</f>
        <v>1.9620000000000002</v>
      </c>
      <c r="Q5" s="10">
        <f t="shared" ref="Q5:Q22" si="6">0.5*N5*A4*A4+O5*A4</f>
        <v>0.49050000000000005</v>
      </c>
    </row>
    <row r="6" spans="1:17" x14ac:dyDescent="0.25">
      <c r="A6" s="1">
        <f t="shared" si="1"/>
        <v>0.15000000000000002</v>
      </c>
      <c r="B6" s="10">
        <v>38.259</v>
      </c>
      <c r="C6" s="10">
        <f t="shared" si="0"/>
        <v>3.9</v>
      </c>
      <c r="D6" s="10">
        <f t="shared" si="4"/>
        <v>1.9374750000000009</v>
      </c>
      <c r="E6" s="10">
        <f t="shared" si="2"/>
        <v>1.9374750000000001</v>
      </c>
      <c r="F6" s="1"/>
      <c r="G6" s="1"/>
      <c r="H6" s="1"/>
      <c r="I6" s="8" t="s">
        <v>6</v>
      </c>
      <c r="J6" s="10">
        <f>J3/(((G5*0.001)/F5)*cg)</f>
        <v>86.894736842105274</v>
      </c>
      <c r="K6" s="11">
        <f>J5/(G5*0.001*cg)</f>
        <v>86.894736842105402</v>
      </c>
      <c r="N6" s="10">
        <f t="shared" si="3"/>
        <v>-19.620000000000033</v>
      </c>
      <c r="O6" s="10">
        <f t="shared" ref="O6:O22" si="7">B5-N6*A5</f>
        <v>41.202000000000005</v>
      </c>
      <c r="P6" s="10">
        <f t="shared" si="5"/>
        <v>5.959575000000001</v>
      </c>
      <c r="Q6" s="10">
        <f t="shared" si="6"/>
        <v>4.0221</v>
      </c>
    </row>
    <row r="7" spans="1:17" x14ac:dyDescent="0.25">
      <c r="A7" s="1">
        <f t="shared" si="1"/>
        <v>0.2</v>
      </c>
      <c r="B7" s="10">
        <v>29.43</v>
      </c>
      <c r="C7" s="10">
        <f t="shared" si="0"/>
        <v>3</v>
      </c>
      <c r="D7" s="10">
        <f t="shared" si="4"/>
        <v>1.6922249999999988</v>
      </c>
      <c r="E7" s="10">
        <f t="shared" si="2"/>
        <v>1.6922249999999999</v>
      </c>
      <c r="F7" s="1"/>
      <c r="G7" s="1"/>
      <c r="H7" s="1"/>
      <c r="I7" s="1"/>
      <c r="N7" s="10">
        <f t="shared" si="3"/>
        <v>-176.58</v>
      </c>
      <c r="O7" s="10">
        <f t="shared" si="7"/>
        <v>64.746000000000009</v>
      </c>
      <c r="P7" s="10">
        <f t="shared" si="5"/>
        <v>9.417600000000002</v>
      </c>
      <c r="Q7" s="10">
        <f t="shared" si="6"/>
        <v>7.7253750000000032</v>
      </c>
    </row>
    <row r="8" spans="1:17" x14ac:dyDescent="0.25">
      <c r="A8" s="1">
        <f t="shared" si="1"/>
        <v>0.25</v>
      </c>
      <c r="B8" s="10">
        <v>33.353999999999999</v>
      </c>
      <c r="C8" s="10">
        <f t="shared" si="0"/>
        <v>3.4</v>
      </c>
      <c r="D8" s="10">
        <f t="shared" si="4"/>
        <v>1.5696000000000003</v>
      </c>
      <c r="E8" s="10">
        <f t="shared" si="2"/>
        <v>1.5696000000000001</v>
      </c>
      <c r="F8" s="1"/>
      <c r="G8" s="1"/>
      <c r="H8" s="1"/>
      <c r="I8" s="1"/>
      <c r="N8" s="10">
        <f t="shared" si="3"/>
        <v>78.47999999999999</v>
      </c>
      <c r="O8" s="10">
        <f t="shared" si="7"/>
        <v>13.734000000000002</v>
      </c>
      <c r="P8" s="10">
        <f t="shared" si="5"/>
        <v>5.8860000000000001</v>
      </c>
      <c r="Q8" s="10">
        <f t="shared" si="6"/>
        <v>4.3163999999999998</v>
      </c>
    </row>
    <row r="9" spans="1:17" x14ac:dyDescent="0.25">
      <c r="A9" s="1">
        <f t="shared" si="1"/>
        <v>0.3</v>
      </c>
      <c r="B9" s="10">
        <v>41.201999999999998</v>
      </c>
      <c r="C9" s="10">
        <f t="shared" si="0"/>
        <v>4.1999999999999993</v>
      </c>
      <c r="D9" s="10">
        <f t="shared" si="4"/>
        <v>1.8639000000000001</v>
      </c>
      <c r="E9" s="10">
        <f t="shared" si="2"/>
        <v>1.8639000000000001</v>
      </c>
      <c r="F9" s="1"/>
      <c r="G9" s="1"/>
      <c r="H9" s="1"/>
      <c r="I9" s="1"/>
      <c r="N9" s="10">
        <f t="shared" si="3"/>
        <v>156.95999999999998</v>
      </c>
      <c r="O9" s="10">
        <f t="shared" si="7"/>
        <v>-5.8859999999999957</v>
      </c>
      <c r="P9" s="10">
        <f t="shared" si="5"/>
        <v>5.2974000000000006</v>
      </c>
      <c r="Q9" s="10">
        <f t="shared" si="6"/>
        <v>3.4335000000000004</v>
      </c>
    </row>
    <row r="10" spans="1:17" x14ac:dyDescent="0.25">
      <c r="A10" s="1">
        <f t="shared" si="1"/>
        <v>0.35</v>
      </c>
      <c r="B10" s="10">
        <v>49.05</v>
      </c>
      <c r="C10" s="10">
        <f t="shared" si="0"/>
        <v>4.9999999999999991</v>
      </c>
      <c r="D10" s="10">
        <f t="shared" si="4"/>
        <v>2.2562999999999986</v>
      </c>
      <c r="E10" s="10">
        <f t="shared" si="2"/>
        <v>2.2563</v>
      </c>
      <c r="F10" s="1"/>
      <c r="G10" s="1"/>
      <c r="H10" s="1"/>
      <c r="I10" s="1"/>
      <c r="N10" s="10">
        <f t="shared" si="3"/>
        <v>156.95999999999998</v>
      </c>
      <c r="O10" s="10">
        <f t="shared" si="7"/>
        <v>-5.8859999999999957</v>
      </c>
      <c r="P10" s="10">
        <f t="shared" si="5"/>
        <v>7.5536999999999992</v>
      </c>
      <c r="Q10" s="10">
        <f t="shared" si="6"/>
        <v>5.2974000000000006</v>
      </c>
    </row>
    <row r="11" spans="1:17" x14ac:dyDescent="0.25">
      <c r="A11" s="1">
        <f t="shared" si="1"/>
        <v>0.39999999999999997</v>
      </c>
      <c r="B11" s="10">
        <v>57.878999999999998</v>
      </c>
      <c r="C11" s="10">
        <f t="shared" si="0"/>
        <v>5.8999999999999995</v>
      </c>
      <c r="D11" s="10">
        <f t="shared" si="4"/>
        <v>2.6732250000000022</v>
      </c>
      <c r="E11" s="10">
        <f t="shared" si="2"/>
        <v>2.6732250000000004</v>
      </c>
      <c r="F11" s="1"/>
      <c r="G11" s="1"/>
      <c r="H11" s="1"/>
      <c r="I11" s="1"/>
      <c r="N11" s="10">
        <f t="shared" si="3"/>
        <v>176.58</v>
      </c>
      <c r="O11" s="10">
        <f t="shared" si="7"/>
        <v>-12.753</v>
      </c>
      <c r="P11" s="10">
        <f t="shared" si="5"/>
        <v>9.0252000000000017</v>
      </c>
      <c r="Q11" s="10">
        <f t="shared" si="6"/>
        <v>6.3519749999999995</v>
      </c>
    </row>
    <row r="12" spans="1:17" x14ac:dyDescent="0.25">
      <c r="A12" s="1">
        <f t="shared" si="1"/>
        <v>0.44999999999999996</v>
      </c>
      <c r="B12" s="10">
        <v>78.48</v>
      </c>
      <c r="C12" s="10">
        <f t="shared" si="0"/>
        <v>8</v>
      </c>
      <c r="D12" s="10">
        <f t="shared" si="4"/>
        <v>3.408974999999991</v>
      </c>
      <c r="E12" s="10">
        <f t="shared" si="2"/>
        <v>3.4089750000000003</v>
      </c>
      <c r="F12" s="1"/>
      <c r="G12" s="1"/>
      <c r="H12" s="1"/>
      <c r="I12" s="1"/>
      <c r="N12" s="10">
        <f t="shared" si="3"/>
        <v>412.0200000000001</v>
      </c>
      <c r="O12" s="10">
        <f t="shared" si="7"/>
        <v>-106.92900000000003</v>
      </c>
      <c r="P12" s="10">
        <f t="shared" si="5"/>
        <v>-6.4010250000000113</v>
      </c>
      <c r="Q12" s="10">
        <f t="shared" si="6"/>
        <v>-9.8100000000000023</v>
      </c>
    </row>
    <row r="13" spans="1:17" x14ac:dyDescent="0.25">
      <c r="A13" s="1">
        <f t="shared" si="1"/>
        <v>0.49999999999999994</v>
      </c>
      <c r="B13" s="10">
        <v>127.53</v>
      </c>
      <c r="C13" s="10">
        <f t="shared" si="0"/>
        <v>13</v>
      </c>
      <c r="D13" s="10">
        <f t="shared" si="4"/>
        <v>5.1502499999999998</v>
      </c>
      <c r="E13" s="10">
        <f t="shared" si="2"/>
        <v>5.1502499999999998</v>
      </c>
      <c r="F13" s="1"/>
      <c r="G13" s="1"/>
      <c r="H13" s="1"/>
      <c r="I13" s="1"/>
      <c r="N13" s="10">
        <f t="shared" si="3"/>
        <v>980.99999999999989</v>
      </c>
      <c r="O13" s="10">
        <f t="shared" si="7"/>
        <v>-362.96999999999991</v>
      </c>
      <c r="P13" s="10">
        <f t="shared" si="5"/>
        <v>-58.859999999999971</v>
      </c>
      <c r="Q13" s="10">
        <f t="shared" si="6"/>
        <v>-64.010249999999971</v>
      </c>
    </row>
    <row r="14" spans="1:17" x14ac:dyDescent="0.25">
      <c r="A14" s="1">
        <f t="shared" si="1"/>
        <v>0.54999999999999993</v>
      </c>
      <c r="B14" s="10">
        <v>200.124</v>
      </c>
      <c r="C14" s="10">
        <f t="shared" si="0"/>
        <v>20.399999999999999</v>
      </c>
      <c r="D14" s="10">
        <f t="shared" si="4"/>
        <v>8.1913499999999999</v>
      </c>
      <c r="E14" s="10">
        <f t="shared" si="2"/>
        <v>8.1913499999999999</v>
      </c>
      <c r="F14" s="1"/>
      <c r="G14" s="1"/>
      <c r="H14" s="1"/>
      <c r="I14" s="1"/>
      <c r="N14" s="10">
        <f t="shared" si="3"/>
        <v>1451.8799999999999</v>
      </c>
      <c r="O14" s="10">
        <f t="shared" si="7"/>
        <v>-598.40999999999985</v>
      </c>
      <c r="P14" s="10">
        <f t="shared" si="5"/>
        <v>-109.52864999999994</v>
      </c>
      <c r="Q14" s="10">
        <f t="shared" si="6"/>
        <v>-117.71999999999994</v>
      </c>
    </row>
    <row r="15" spans="1:17" x14ac:dyDescent="0.25">
      <c r="A15" s="1">
        <f t="shared" si="1"/>
        <v>0.6</v>
      </c>
      <c r="B15" s="10">
        <v>245.25</v>
      </c>
      <c r="C15" s="10">
        <f t="shared" si="0"/>
        <v>25</v>
      </c>
      <c r="D15" s="10">
        <f t="shared" si="4"/>
        <v>11.134350000000069</v>
      </c>
      <c r="E15" s="10">
        <f t="shared" si="2"/>
        <v>11.134350000000001</v>
      </c>
      <c r="F15" s="1"/>
      <c r="G15" s="1"/>
      <c r="H15" s="1"/>
      <c r="I15" s="1"/>
      <c r="N15" s="10">
        <f t="shared" si="3"/>
        <v>902.5200000000001</v>
      </c>
      <c r="O15" s="10">
        <f t="shared" si="7"/>
        <v>-296.26199999999994</v>
      </c>
      <c r="P15" s="10">
        <f t="shared" si="5"/>
        <v>-15.303599999999932</v>
      </c>
      <c r="Q15" s="10">
        <f t="shared" si="6"/>
        <v>-26.437950000000001</v>
      </c>
    </row>
    <row r="16" spans="1:17" x14ac:dyDescent="0.25">
      <c r="A16" s="1">
        <f t="shared" si="1"/>
        <v>0.65</v>
      </c>
      <c r="B16" s="10">
        <v>220.72499999999999</v>
      </c>
      <c r="C16" s="10">
        <f t="shared" si="0"/>
        <v>22.5</v>
      </c>
      <c r="D16" s="10">
        <f t="shared" si="4"/>
        <v>11.64937500000002</v>
      </c>
      <c r="E16" s="10">
        <f t="shared" si="2"/>
        <v>11.649375000000001</v>
      </c>
      <c r="F16" s="1"/>
      <c r="G16" s="1"/>
      <c r="H16" s="1"/>
      <c r="I16" s="1"/>
      <c r="N16" s="1">
        <f t="shared" si="3"/>
        <v>-490.50000000000011</v>
      </c>
      <c r="O16" s="10">
        <f t="shared" si="7"/>
        <v>539.55000000000007</v>
      </c>
      <c r="P16" s="10">
        <f t="shared" si="5"/>
        <v>247.08937500000002</v>
      </c>
      <c r="Q16" s="10">
        <f t="shared" si="6"/>
        <v>235.44</v>
      </c>
    </row>
    <row r="17" spans="1:17" x14ac:dyDescent="0.25">
      <c r="A17" s="1">
        <f t="shared" si="1"/>
        <v>0.70000000000000007</v>
      </c>
      <c r="B17" s="10">
        <v>215.82</v>
      </c>
      <c r="C17" s="10">
        <f t="shared" si="0"/>
        <v>21.999999999999996</v>
      </c>
      <c r="D17" s="10">
        <f t="shared" si="4"/>
        <v>10.913624999999996</v>
      </c>
      <c r="E17" s="10">
        <f t="shared" si="2"/>
        <v>10.913625</v>
      </c>
      <c r="F17" s="1"/>
      <c r="G17" s="1"/>
      <c r="H17" s="1"/>
      <c r="I17" s="1"/>
      <c r="N17" s="1">
        <f t="shared" si="3"/>
        <v>-98.100000000000023</v>
      </c>
      <c r="O17" s="10">
        <f t="shared" si="7"/>
        <v>284.49</v>
      </c>
      <c r="P17" s="10">
        <f t="shared" si="5"/>
        <v>175.10850000000002</v>
      </c>
      <c r="Q17" s="10">
        <f t="shared" si="6"/>
        <v>164.19487500000002</v>
      </c>
    </row>
    <row r="18" spans="1:17" x14ac:dyDescent="0.25">
      <c r="A18" s="1">
        <f t="shared" si="1"/>
        <v>0.75000000000000011</v>
      </c>
      <c r="B18" s="10">
        <v>105.94799999999999</v>
      </c>
      <c r="C18" s="10">
        <f t="shared" si="0"/>
        <v>10.799999999999999</v>
      </c>
      <c r="D18" s="10">
        <f t="shared" si="4"/>
        <v>8.0442000000000462</v>
      </c>
      <c r="E18" s="10">
        <f t="shared" si="2"/>
        <v>8.0442</v>
      </c>
      <c r="F18" s="1"/>
      <c r="G18" s="1"/>
      <c r="H18" s="1"/>
      <c r="I18" s="1"/>
      <c r="N18" s="10">
        <f t="shared" si="3"/>
        <v>-2197.44</v>
      </c>
      <c r="O18" s="10">
        <f t="shared" si="7"/>
        <v>1754.028</v>
      </c>
      <c r="P18" s="10">
        <f t="shared" si="5"/>
        <v>697.49099999999999</v>
      </c>
      <c r="Q18" s="10">
        <f t="shared" si="6"/>
        <v>689.44679999999994</v>
      </c>
    </row>
    <row r="19" spans="1:17" x14ac:dyDescent="0.25">
      <c r="A19" s="1">
        <f t="shared" si="1"/>
        <v>0.80000000000000016</v>
      </c>
      <c r="B19" s="10">
        <v>62.783999999999999</v>
      </c>
      <c r="C19" s="10">
        <f t="shared" si="0"/>
        <v>6.3999999999999995</v>
      </c>
      <c r="D19" s="10">
        <f t="shared" si="4"/>
        <v>4.2183000000000561</v>
      </c>
      <c r="E19" s="10">
        <f t="shared" si="2"/>
        <v>4.2183000000000002</v>
      </c>
      <c r="F19" s="1"/>
      <c r="G19" s="1"/>
      <c r="H19" s="1"/>
      <c r="I19" s="1"/>
      <c r="N19" s="10">
        <f t="shared" si="3"/>
        <v>-863.27999999999986</v>
      </c>
      <c r="O19" s="10">
        <f t="shared" si="7"/>
        <v>753.40800000000002</v>
      </c>
      <c r="P19" s="10">
        <f t="shared" si="5"/>
        <v>326.47680000000008</v>
      </c>
      <c r="Q19" s="10">
        <f t="shared" si="6"/>
        <v>322.25850000000003</v>
      </c>
    </row>
    <row r="20" spans="1:17" x14ac:dyDescent="0.25">
      <c r="A20" s="1">
        <f t="shared" si="1"/>
        <v>0.8500000000000002</v>
      </c>
      <c r="B20" s="10">
        <v>40.220999999999997</v>
      </c>
      <c r="C20" s="10">
        <f t="shared" si="0"/>
        <v>4.0999999999999996</v>
      </c>
      <c r="D20" s="10">
        <f t="shared" si="4"/>
        <v>2.5751249999999288</v>
      </c>
      <c r="E20" s="10">
        <f t="shared" si="2"/>
        <v>2.5751249999999999</v>
      </c>
      <c r="F20" s="1"/>
      <c r="G20" s="1"/>
      <c r="H20" s="1"/>
      <c r="I20" s="1"/>
      <c r="N20" s="10">
        <f t="shared" si="3"/>
        <v>-451.26000000000005</v>
      </c>
      <c r="O20" s="10">
        <f t="shared" si="7"/>
        <v>423.79200000000009</v>
      </c>
      <c r="P20" s="10">
        <f t="shared" si="5"/>
        <v>197.20552500000002</v>
      </c>
      <c r="Q20" s="10">
        <f t="shared" si="6"/>
        <v>194.63040000000009</v>
      </c>
    </row>
    <row r="21" spans="1:17" x14ac:dyDescent="0.25">
      <c r="A21" s="1">
        <f t="shared" si="1"/>
        <v>0.90000000000000024</v>
      </c>
      <c r="B21" s="10">
        <v>14.715</v>
      </c>
      <c r="C21" s="10">
        <f t="shared" si="0"/>
        <v>1.5</v>
      </c>
      <c r="D21" s="10">
        <f t="shared" si="4"/>
        <v>1.3734000000000322</v>
      </c>
      <c r="E21" s="10">
        <f t="shared" si="2"/>
        <v>1.3734</v>
      </c>
      <c r="F21" s="1"/>
      <c r="G21" s="1"/>
      <c r="H21" s="1"/>
      <c r="I21" s="1"/>
      <c r="N21" s="10">
        <f t="shared" si="3"/>
        <v>-510.11999999999989</v>
      </c>
      <c r="O21" s="10">
        <f t="shared" si="7"/>
        <v>473.82300000000004</v>
      </c>
      <c r="P21" s="10">
        <f t="shared" si="5"/>
        <v>219.8421000000001</v>
      </c>
      <c r="Q21" s="10">
        <f t="shared" si="6"/>
        <v>218.46870000000007</v>
      </c>
    </row>
    <row r="22" spans="1:17" x14ac:dyDescent="0.25">
      <c r="A22" s="1">
        <f t="shared" si="1"/>
        <v>0.95000000000000029</v>
      </c>
      <c r="B22" s="1">
        <v>0</v>
      </c>
      <c r="C22" s="10">
        <f t="shared" si="0"/>
        <v>0</v>
      </c>
      <c r="D22" s="10">
        <f t="shared" si="4"/>
        <v>0.36787499999999795</v>
      </c>
      <c r="E22" s="10">
        <f t="shared" si="2"/>
        <v>0.36787500000000001</v>
      </c>
      <c r="F22" s="1"/>
      <c r="G22" s="1"/>
      <c r="H22" s="1"/>
      <c r="I22" s="1"/>
      <c r="N22" s="1">
        <f t="shared" si="3"/>
        <v>-294.29999999999995</v>
      </c>
      <c r="O22" s="10">
        <f t="shared" si="7"/>
        <v>279.58499999999998</v>
      </c>
      <c r="P22" s="10">
        <f t="shared" si="5"/>
        <v>132.802875</v>
      </c>
      <c r="Q22" s="10">
        <f t="shared" si="6"/>
        <v>132.435</v>
      </c>
    </row>
    <row r="23" spans="1:17" x14ac:dyDescent="0.25">
      <c r="A23" s="1"/>
      <c r="B23" s="1"/>
      <c r="C23" s="7"/>
      <c r="D23" s="1"/>
      <c r="E23" s="1"/>
      <c r="F23" s="1"/>
      <c r="G23" s="1"/>
      <c r="H23" s="1"/>
      <c r="I23" s="1"/>
      <c r="N23" s="1"/>
      <c r="O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mergeCells count="1">
    <mergeCell ref="I2:K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H17" sqref="H17"/>
    </sheetView>
  </sheetViews>
  <sheetFormatPr baseColWidth="10" defaultRowHeight="15" x14ac:dyDescent="0.25"/>
  <cols>
    <col min="1" max="1" width="19.85546875" customWidth="1"/>
    <col min="2" max="2" width="8.140625" customWidth="1"/>
    <col min="3" max="3" width="20.85546875" customWidth="1"/>
    <col min="4" max="4" width="7.85546875" customWidth="1"/>
  </cols>
  <sheetData>
    <row r="1" spans="1:4" x14ac:dyDescent="0.25">
      <c r="A1" s="26" t="s">
        <v>58</v>
      </c>
      <c r="B1" s="26"/>
      <c r="C1" s="4" t="s">
        <v>24</v>
      </c>
      <c r="D1" s="1"/>
    </row>
    <row r="2" spans="1:4" x14ac:dyDescent="0.25">
      <c r="A2" s="1" t="s">
        <v>19</v>
      </c>
      <c r="B2" s="14">
        <v>1.2306999999999999</v>
      </c>
      <c r="C2" s="1" t="s">
        <v>28</v>
      </c>
      <c r="D2" s="1"/>
    </row>
    <row r="3" spans="1:4" x14ac:dyDescent="0.25">
      <c r="A3" s="1" t="s">
        <v>20</v>
      </c>
      <c r="B3" s="14">
        <v>4</v>
      </c>
      <c r="C3" s="1" t="s">
        <v>26</v>
      </c>
      <c r="D3" s="1"/>
    </row>
    <row r="4" spans="1:4" x14ac:dyDescent="0.25">
      <c r="A4" s="1" t="s">
        <v>21</v>
      </c>
      <c r="B4" s="14">
        <v>68.947599999999994</v>
      </c>
      <c r="C4" s="1" t="s">
        <v>25</v>
      </c>
      <c r="D4" s="1"/>
    </row>
    <row r="5" spans="1:4" x14ac:dyDescent="0.25">
      <c r="A5" s="1" t="s">
        <v>22</v>
      </c>
      <c r="B5" s="14">
        <v>1.0129999999999999</v>
      </c>
      <c r="C5" s="1" t="s">
        <v>25</v>
      </c>
      <c r="D5" s="1"/>
    </row>
    <row r="6" spans="1:4" x14ac:dyDescent="0.25">
      <c r="A6" s="1" t="s">
        <v>23</v>
      </c>
      <c r="B6" s="15">
        <f>3.1416*((B3^2)/4)</f>
        <v>12.5664</v>
      </c>
      <c r="C6" s="1" t="s">
        <v>27</v>
      </c>
      <c r="D6" s="1"/>
    </row>
    <row r="7" spans="1:4" x14ac:dyDescent="0.25">
      <c r="A7" s="1"/>
      <c r="B7" s="1"/>
      <c r="C7" s="1"/>
      <c r="D7" s="1"/>
    </row>
    <row r="8" spans="1:4" x14ac:dyDescent="0.25">
      <c r="A8" s="27" t="s">
        <v>42</v>
      </c>
      <c r="B8" s="27"/>
      <c r="C8" s="3" t="s">
        <v>41</v>
      </c>
      <c r="D8" s="3" t="s">
        <v>24</v>
      </c>
    </row>
    <row r="9" spans="1:4" x14ac:dyDescent="0.25">
      <c r="A9" s="1" t="s">
        <v>29</v>
      </c>
      <c r="B9" s="7">
        <f>((B2+1)/2)^((1/(B2-1)))</f>
        <v>1.6051294512682439</v>
      </c>
      <c r="C9" s="1"/>
      <c r="D9" s="1"/>
    </row>
    <row r="10" spans="1:4" x14ac:dyDescent="0.25">
      <c r="A10" s="1" t="s">
        <v>30</v>
      </c>
      <c r="B10" s="13">
        <f>(B5/B4)^(1/B2)</f>
        <v>3.2409854983478335E-2</v>
      </c>
      <c r="C10" s="1"/>
      <c r="D10" s="1"/>
    </row>
    <row r="11" spans="1:4" x14ac:dyDescent="0.25">
      <c r="A11" s="1" t="s">
        <v>31</v>
      </c>
      <c r="B11" s="7">
        <f>((B2+1)/(B2-1))</f>
        <v>9.66926744690074</v>
      </c>
      <c r="C11" s="1"/>
      <c r="D11" s="1"/>
    </row>
    <row r="12" spans="1:4" x14ac:dyDescent="0.25">
      <c r="A12" s="1" t="s">
        <v>32</v>
      </c>
      <c r="B12" s="7">
        <f>1-(B5/B4)^((B2-1)/B2)</f>
        <v>0.54667131119645651</v>
      </c>
      <c r="C12" s="1"/>
      <c r="D12" s="1"/>
    </row>
    <row r="13" spans="1:4" x14ac:dyDescent="0.25">
      <c r="A13" s="1" t="s">
        <v>33</v>
      </c>
      <c r="B13" s="7">
        <f>B9*B10</f>
        <v>5.2022012745313942E-2</v>
      </c>
      <c r="C13" s="1"/>
      <c r="D13" s="1"/>
    </row>
    <row r="14" spans="1:4" x14ac:dyDescent="0.25">
      <c r="A14" s="1" t="s">
        <v>34</v>
      </c>
      <c r="B14" s="7">
        <f>(B11*B12)^0.5</f>
        <v>2.2991109397996525</v>
      </c>
      <c r="C14" s="1"/>
      <c r="D14" s="1"/>
    </row>
    <row r="15" spans="1:4" x14ac:dyDescent="0.25">
      <c r="A15" s="1" t="s">
        <v>35</v>
      </c>
      <c r="B15" s="15">
        <f>B13*B14</f>
        <v>0.11960437861314824</v>
      </c>
      <c r="C15" s="1" t="s">
        <v>36</v>
      </c>
      <c r="D15" s="1" t="s">
        <v>28</v>
      </c>
    </row>
    <row r="16" spans="1:4" x14ac:dyDescent="0.25">
      <c r="A16" s="1" t="s">
        <v>37</v>
      </c>
      <c r="B16" s="15">
        <f>B6/B15</f>
        <v>105.06638758305928</v>
      </c>
      <c r="C16" s="1" t="s">
        <v>38</v>
      </c>
      <c r="D16" s="1" t="s">
        <v>27</v>
      </c>
    </row>
    <row r="17" spans="1:4" x14ac:dyDescent="0.25">
      <c r="A17" s="1" t="s">
        <v>40</v>
      </c>
      <c r="B17" s="15">
        <f>((B16*4)/3.1416)^0.5</f>
        <v>11.566086921278167</v>
      </c>
      <c r="C17" s="1" t="s">
        <v>39</v>
      </c>
      <c r="D17" s="1" t="s">
        <v>26</v>
      </c>
    </row>
    <row r="18" spans="1:4" x14ac:dyDescent="0.25">
      <c r="A18" s="1"/>
      <c r="B18" s="1"/>
      <c r="C18" s="1"/>
      <c r="D18" s="1"/>
    </row>
    <row r="19" spans="1:4" x14ac:dyDescent="0.25">
      <c r="A19" s="1" t="s">
        <v>51</v>
      </c>
      <c r="B19" s="14">
        <v>14</v>
      </c>
      <c r="C19" s="1" t="s">
        <v>50</v>
      </c>
      <c r="D19" s="1" t="s">
        <v>26</v>
      </c>
    </row>
    <row r="20" spans="1:4" x14ac:dyDescent="0.25">
      <c r="A20" s="1" t="s">
        <v>53</v>
      </c>
      <c r="B20" s="7">
        <f>B3/2</f>
        <v>2</v>
      </c>
      <c r="C20" s="1" t="s">
        <v>43</v>
      </c>
      <c r="D20" s="1" t="s">
        <v>26</v>
      </c>
    </row>
    <row r="21" spans="1:4" x14ac:dyDescent="0.25">
      <c r="A21" s="1" t="s">
        <v>52</v>
      </c>
      <c r="B21" s="7">
        <f>B17/2</f>
        <v>5.7830434606390835</v>
      </c>
      <c r="C21" s="1" t="s">
        <v>44</v>
      </c>
      <c r="D21" s="1" t="s">
        <v>26</v>
      </c>
    </row>
    <row r="22" spans="1:4" x14ac:dyDescent="0.25">
      <c r="A22" s="1" t="s">
        <v>54</v>
      </c>
      <c r="B22" s="7">
        <f>B21-B20</f>
        <v>3.7830434606390835</v>
      </c>
      <c r="C22" s="1" t="s">
        <v>45</v>
      </c>
      <c r="D22" s="1" t="s">
        <v>26</v>
      </c>
    </row>
    <row r="23" spans="1:4" x14ac:dyDescent="0.25">
      <c r="A23" s="1" t="s">
        <v>55</v>
      </c>
      <c r="B23" s="7">
        <f>B19</f>
        <v>14</v>
      </c>
      <c r="C23" s="1" t="s">
        <v>46</v>
      </c>
      <c r="D23" s="1" t="s">
        <v>26</v>
      </c>
    </row>
    <row r="24" spans="1:4" x14ac:dyDescent="0.25">
      <c r="A24" s="1" t="s">
        <v>56</v>
      </c>
      <c r="B24" s="7">
        <f>B22/B23</f>
        <v>0.27021739004564882</v>
      </c>
      <c r="C24" s="1" t="s">
        <v>47</v>
      </c>
      <c r="D24" s="1" t="s">
        <v>28</v>
      </c>
    </row>
    <row r="25" spans="1:4" x14ac:dyDescent="0.25">
      <c r="A25" s="1" t="s">
        <v>57</v>
      </c>
      <c r="B25" s="15">
        <f>ATAN(B24)*(180/3.1416)</f>
        <v>15.121148347273214</v>
      </c>
      <c r="C25" s="1" t="s">
        <v>48</v>
      </c>
      <c r="D25" s="1" t="s">
        <v>49</v>
      </c>
    </row>
  </sheetData>
  <mergeCells count="2">
    <mergeCell ref="A1:B1"/>
    <mergeCell ref="A8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E23" sqref="E23"/>
    </sheetView>
  </sheetViews>
  <sheetFormatPr baseColWidth="10" defaultRowHeight="15" x14ac:dyDescent="0.25"/>
  <cols>
    <col min="1" max="1" width="8.42578125" customWidth="1"/>
    <col min="2" max="2" width="8.28515625" customWidth="1"/>
    <col min="3" max="3" width="9" customWidth="1"/>
    <col min="4" max="4" width="45" customWidth="1"/>
    <col min="5" max="5" width="28.85546875" customWidth="1"/>
    <col min="6" max="6" width="9" customWidth="1"/>
    <col min="7" max="7" width="10" customWidth="1"/>
  </cols>
  <sheetData>
    <row r="1" spans="1:8" x14ac:dyDescent="0.25">
      <c r="A1" s="26" t="s">
        <v>58</v>
      </c>
      <c r="B1" s="26"/>
      <c r="C1" s="12" t="s">
        <v>24</v>
      </c>
      <c r="D1" s="12" t="s">
        <v>60</v>
      </c>
      <c r="E1" s="5" t="s">
        <v>74</v>
      </c>
      <c r="F1" s="2" t="s">
        <v>110</v>
      </c>
      <c r="G1" s="2" t="s">
        <v>109</v>
      </c>
      <c r="H1" s="2" t="s">
        <v>114</v>
      </c>
    </row>
    <row r="2" spans="1:8" x14ac:dyDescent="0.25">
      <c r="A2" s="18" t="s">
        <v>19</v>
      </c>
      <c r="B2" s="17">
        <v>1.1359999999999999</v>
      </c>
      <c r="C2" s="1" t="s">
        <v>28</v>
      </c>
      <c r="D2" s="16" t="s">
        <v>68</v>
      </c>
      <c r="E2" t="s">
        <v>111</v>
      </c>
      <c r="F2" s="7">
        <v>1.1359999999999999</v>
      </c>
      <c r="G2" s="22">
        <v>1.133</v>
      </c>
      <c r="H2" s="7">
        <v>1.127</v>
      </c>
    </row>
    <row r="3" spans="1:8" x14ac:dyDescent="0.25">
      <c r="A3" s="18" t="s">
        <v>90</v>
      </c>
      <c r="B3" s="17">
        <v>1602.88</v>
      </c>
      <c r="C3" s="1" t="s">
        <v>91</v>
      </c>
      <c r="D3" s="16" t="s">
        <v>92</v>
      </c>
      <c r="E3" t="s">
        <v>111</v>
      </c>
      <c r="F3" s="7">
        <v>1602.88</v>
      </c>
      <c r="G3" s="22">
        <v>1722.1489999999999</v>
      </c>
      <c r="H3" s="7">
        <v>1625</v>
      </c>
    </row>
    <row r="4" spans="1:8" x14ac:dyDescent="0.25">
      <c r="A4" s="18" t="s">
        <v>81</v>
      </c>
      <c r="B4" s="17">
        <v>4.1769999999999996</v>
      </c>
      <c r="C4" s="19" t="s">
        <v>86</v>
      </c>
      <c r="D4" s="16" t="s">
        <v>87</v>
      </c>
      <c r="E4" t="s">
        <v>112</v>
      </c>
      <c r="F4" s="7">
        <v>4.1769999999999996</v>
      </c>
      <c r="G4" s="22">
        <v>8.26</v>
      </c>
      <c r="H4" s="17">
        <v>1.0999999999999999E-2</v>
      </c>
    </row>
    <row r="5" spans="1:8" x14ac:dyDescent="0.25">
      <c r="A5" s="18" t="s">
        <v>82</v>
      </c>
      <c r="B5" s="17">
        <v>5.8999999999999997E-2</v>
      </c>
      <c r="C5" s="1" t="s">
        <v>28</v>
      </c>
      <c r="D5" s="16" t="s">
        <v>88</v>
      </c>
      <c r="E5" t="s">
        <v>112</v>
      </c>
      <c r="F5" s="7">
        <v>5.8999999999999997E-2</v>
      </c>
      <c r="G5" s="22">
        <v>0.31900000000000001</v>
      </c>
      <c r="H5" s="7">
        <v>0.44400000000000001</v>
      </c>
    </row>
    <row r="6" spans="1:8" x14ac:dyDescent="0.25">
      <c r="A6" s="18" t="s">
        <v>85</v>
      </c>
      <c r="B6" s="17">
        <v>924.45687599999997</v>
      </c>
      <c r="C6" s="1" t="s">
        <v>72</v>
      </c>
      <c r="D6" s="16" t="s">
        <v>89</v>
      </c>
      <c r="E6" t="s">
        <v>113</v>
      </c>
      <c r="F6" s="7">
        <v>924.45687599999997</v>
      </c>
      <c r="G6" s="22">
        <v>934.52</v>
      </c>
      <c r="H6" s="24"/>
    </row>
    <row r="7" spans="1:8" hidden="1" x14ac:dyDescent="0.25">
      <c r="A7" s="18" t="s">
        <v>21</v>
      </c>
      <c r="B7" s="17">
        <v>30</v>
      </c>
      <c r="C7" s="1" t="s">
        <v>25</v>
      </c>
      <c r="D7" s="16" t="s">
        <v>62</v>
      </c>
      <c r="F7" s="24"/>
      <c r="G7" s="20"/>
      <c r="H7" s="24"/>
    </row>
    <row r="8" spans="1:8" x14ac:dyDescent="0.25">
      <c r="A8" s="18" t="s">
        <v>94</v>
      </c>
      <c r="B8" s="17">
        <v>36.4</v>
      </c>
      <c r="C8" s="1" t="s">
        <v>104</v>
      </c>
      <c r="D8" s="16" t="s">
        <v>105</v>
      </c>
      <c r="E8" t="s">
        <v>111</v>
      </c>
      <c r="F8" s="7">
        <v>36.4</v>
      </c>
      <c r="G8" s="22">
        <v>37.19</v>
      </c>
      <c r="H8" s="24">
        <v>42.39</v>
      </c>
    </row>
    <row r="9" spans="1:8" x14ac:dyDescent="0.25">
      <c r="A9" s="18" t="s">
        <v>83</v>
      </c>
      <c r="B9" s="14">
        <v>1.581</v>
      </c>
      <c r="C9" s="1" t="s">
        <v>95</v>
      </c>
      <c r="D9" s="16" t="s">
        <v>84</v>
      </c>
      <c r="F9" s="24"/>
    </row>
    <row r="10" spans="1:8" x14ac:dyDescent="0.25">
      <c r="A10" s="18" t="s">
        <v>22</v>
      </c>
      <c r="B10" s="14">
        <v>1.0129999999999999</v>
      </c>
      <c r="C10" s="1" t="s">
        <v>25</v>
      </c>
      <c r="D10" s="16" t="s">
        <v>63</v>
      </c>
    </row>
    <row r="11" spans="1:8" x14ac:dyDescent="0.25">
      <c r="A11" s="18" t="s">
        <v>20</v>
      </c>
      <c r="B11" s="14">
        <v>4</v>
      </c>
      <c r="C11" s="1" t="s">
        <v>26</v>
      </c>
      <c r="D11" s="16" t="s">
        <v>61</v>
      </c>
    </row>
    <row r="12" spans="1:8" x14ac:dyDescent="0.25">
      <c r="A12" s="18" t="s">
        <v>77</v>
      </c>
      <c r="B12" s="14">
        <v>26</v>
      </c>
      <c r="C12" s="1" t="s">
        <v>26</v>
      </c>
      <c r="D12" s="16" t="s">
        <v>80</v>
      </c>
    </row>
    <row r="13" spans="1:8" x14ac:dyDescent="0.25">
      <c r="A13" s="18" t="s">
        <v>59</v>
      </c>
      <c r="B13" s="14">
        <v>1</v>
      </c>
      <c r="C13" s="1" t="s">
        <v>28</v>
      </c>
      <c r="D13" s="16" t="s">
        <v>64</v>
      </c>
    </row>
    <row r="14" spans="1:8" x14ac:dyDescent="0.25">
      <c r="A14" s="18"/>
      <c r="B14" s="22"/>
      <c r="C14" s="1"/>
    </row>
    <row r="15" spans="1:8" x14ac:dyDescent="0.25">
      <c r="A15" s="29" t="s">
        <v>103</v>
      </c>
      <c r="B15" s="30"/>
      <c r="C15" s="12" t="s">
        <v>24</v>
      </c>
      <c r="D15" s="12" t="s">
        <v>60</v>
      </c>
    </row>
    <row r="16" spans="1:8" x14ac:dyDescent="0.25">
      <c r="A16" s="18" t="s">
        <v>23</v>
      </c>
      <c r="B16" s="15">
        <f>3.1416*((B11^2)/4)</f>
        <v>12.5664</v>
      </c>
      <c r="C16" s="1" t="s">
        <v>27</v>
      </c>
      <c r="D16" t="s">
        <v>71</v>
      </c>
    </row>
    <row r="17" spans="1:4" x14ac:dyDescent="0.25">
      <c r="A17" s="18" t="s">
        <v>78</v>
      </c>
      <c r="B17" s="15">
        <f>3.1416*((B12^2)/4)</f>
        <v>530.93039999999996</v>
      </c>
      <c r="C17" s="1" t="s">
        <v>27</v>
      </c>
      <c r="D17" t="s">
        <v>79</v>
      </c>
    </row>
    <row r="18" spans="1:4" x14ac:dyDescent="0.25">
      <c r="A18" s="18" t="s">
        <v>37</v>
      </c>
      <c r="B18" s="15">
        <f>B16/D34</f>
        <v>13.279164896165888</v>
      </c>
      <c r="C18" s="1" t="s">
        <v>27</v>
      </c>
      <c r="D18" t="s">
        <v>38</v>
      </c>
    </row>
    <row r="19" spans="1:4" x14ac:dyDescent="0.25">
      <c r="A19" s="18" t="s">
        <v>97</v>
      </c>
      <c r="B19" s="15">
        <f>((B18*4)/3.1416)^0.5</f>
        <v>4.1118752813922796</v>
      </c>
      <c r="C19" s="1" t="s">
        <v>26</v>
      </c>
      <c r="D19" t="s">
        <v>98</v>
      </c>
    </row>
    <row r="20" spans="1:4" x14ac:dyDescent="0.25">
      <c r="A20" s="18" t="s">
        <v>65</v>
      </c>
      <c r="B20" s="15">
        <f>SQRT(2*B3*(8314/B8)*D38 *(1-((B10/B24)^D37)))</f>
        <v>769.11585689774597</v>
      </c>
      <c r="C20" s="1" t="s">
        <v>72</v>
      </c>
      <c r="D20" t="s">
        <v>70</v>
      </c>
    </row>
    <row r="21" spans="1:4" x14ac:dyDescent="0.25">
      <c r="A21" s="18" t="s">
        <v>66</v>
      </c>
      <c r="B21" s="15">
        <f>(B16/1000^2)*B24*100000*SQRT(D35*((D36)^D32)*(1-((B10/B24)^D37)))+(B24*100000-B10*100000)*B18/1000^2</f>
        <v>4.2071862826697553</v>
      </c>
      <c r="C21" s="1" t="s">
        <v>73</v>
      </c>
      <c r="D21" t="s">
        <v>115</v>
      </c>
    </row>
    <row r="22" spans="1:4" x14ac:dyDescent="0.25">
      <c r="A22" s="18" t="s">
        <v>67</v>
      </c>
      <c r="B22" s="15">
        <f>SQRT(D35*((D36)^D32)*(1-((B10/B24)^D37)))+((B24-B10)*B18)/(B16*B24)</f>
        <v>1.4130874839935572</v>
      </c>
      <c r="C22" s="1" t="s">
        <v>28</v>
      </c>
      <c r="D22" t="s">
        <v>69</v>
      </c>
    </row>
    <row r="23" spans="1:4" x14ac:dyDescent="0.25">
      <c r="A23" s="18" t="s">
        <v>75</v>
      </c>
      <c r="B23" s="15">
        <f>B17/B16</f>
        <v>42.25</v>
      </c>
      <c r="C23" s="1" t="s">
        <v>28</v>
      </c>
      <c r="D23" t="s">
        <v>76</v>
      </c>
    </row>
    <row r="24" spans="1:4" x14ac:dyDescent="0.25">
      <c r="A24" s="18" t="s">
        <v>21</v>
      </c>
      <c r="B24" s="15">
        <f>((B23*(B4/(1000000^B5))*B9*B6)^D29)/100000</f>
        <v>2.3692550361546654</v>
      </c>
      <c r="C24" s="1" t="s">
        <v>25</v>
      </c>
      <c r="D24" t="s">
        <v>62</v>
      </c>
    </row>
    <row r="25" spans="1:4" hidden="1" x14ac:dyDescent="0.25">
      <c r="A25" s="18" t="s">
        <v>102</v>
      </c>
      <c r="B25" s="15"/>
      <c r="C25" s="1"/>
      <c r="D25" t="s">
        <v>107</v>
      </c>
    </row>
    <row r="26" spans="1:4" hidden="1" x14ac:dyDescent="0.25">
      <c r="A26" s="18" t="s">
        <v>108</v>
      </c>
      <c r="B26" s="15">
        <f>(B4/1000)*((B24*100000)^B5)</f>
        <v>8.6689514796273216E-3</v>
      </c>
      <c r="C26" s="23"/>
    </row>
    <row r="28" spans="1:4" x14ac:dyDescent="0.25">
      <c r="A28" s="27" t="s">
        <v>42</v>
      </c>
      <c r="B28" s="27"/>
      <c r="C28" s="27"/>
      <c r="D28" s="20"/>
    </row>
    <row r="29" spans="1:4" x14ac:dyDescent="0.25">
      <c r="A29" s="31" t="s">
        <v>93</v>
      </c>
      <c r="B29" s="31"/>
      <c r="C29" s="31"/>
      <c r="D29" s="21">
        <f>1/(1-B5)</f>
        <v>1.0626992561105206</v>
      </c>
    </row>
    <row r="30" spans="1:4" x14ac:dyDescent="0.25">
      <c r="A30" s="31" t="s">
        <v>96</v>
      </c>
      <c r="B30" s="31"/>
      <c r="C30" s="31"/>
      <c r="D30" s="21">
        <f>((B2+1)/2)^((1/(B2-1)))</f>
        <v>1.6221191088316091</v>
      </c>
    </row>
    <row r="31" spans="1:4" x14ac:dyDescent="0.25">
      <c r="A31" s="31" t="s">
        <v>30</v>
      </c>
      <c r="B31" s="31"/>
      <c r="C31" s="31"/>
      <c r="D31" s="21">
        <f>((B10/B24)^(1/B2))</f>
        <v>0.4733408350771991</v>
      </c>
    </row>
    <row r="32" spans="1:4" x14ac:dyDescent="0.25">
      <c r="A32" s="31" t="s">
        <v>31</v>
      </c>
      <c r="B32" s="31"/>
      <c r="C32" s="31"/>
      <c r="D32" s="21">
        <f>((B2+1)/(B2-1))</f>
        <v>15.705882352941188</v>
      </c>
    </row>
    <row r="33" spans="1:4" x14ac:dyDescent="0.25">
      <c r="A33" s="31" t="s">
        <v>32</v>
      </c>
      <c r="B33" s="31"/>
      <c r="C33" s="31"/>
      <c r="D33" s="21">
        <f>1-((B10/B24)^((B2-1)/B2))</f>
        <v>9.6717367112050812E-2</v>
      </c>
    </row>
    <row r="34" spans="1:4" x14ac:dyDescent="0.25">
      <c r="A34" s="31" t="s">
        <v>35</v>
      </c>
      <c r="B34" s="31"/>
      <c r="C34" s="31"/>
      <c r="D34" s="21">
        <f>D30*D31*((D32*D33)^0.5)</f>
        <v>0.94632456922259578</v>
      </c>
    </row>
    <row r="35" spans="1:4" x14ac:dyDescent="0.25">
      <c r="A35" s="31" t="s">
        <v>99</v>
      </c>
      <c r="B35" s="31"/>
      <c r="C35" s="31"/>
      <c r="D35" s="21">
        <f>(2*(B2^2))/(B2-1)</f>
        <v>18.97788235294119</v>
      </c>
    </row>
    <row r="36" spans="1:4" x14ac:dyDescent="0.25">
      <c r="A36" s="31" t="s">
        <v>100</v>
      </c>
      <c r="B36" s="31"/>
      <c r="C36" s="31"/>
      <c r="D36" s="21">
        <f>2/(B2+1)</f>
        <v>0.93632958801498123</v>
      </c>
    </row>
    <row r="37" spans="1:4" x14ac:dyDescent="0.25">
      <c r="A37" s="31" t="s">
        <v>101</v>
      </c>
      <c r="B37" s="31"/>
      <c r="C37" s="31"/>
      <c r="D37" s="21">
        <f>(B2-1)/B2</f>
        <v>0.11971830985915485</v>
      </c>
    </row>
    <row r="38" spans="1:4" x14ac:dyDescent="0.25">
      <c r="A38" s="31" t="s">
        <v>106</v>
      </c>
      <c r="B38" s="31"/>
      <c r="C38" s="31"/>
      <c r="D38" s="21">
        <f>B2/(B2-1)</f>
        <v>8.3529411764705941</v>
      </c>
    </row>
    <row r="39" spans="1:4" x14ac:dyDescent="0.25">
      <c r="A39" s="28"/>
      <c r="B39" s="28"/>
      <c r="C39" s="28"/>
    </row>
  </sheetData>
  <mergeCells count="14">
    <mergeCell ref="A1:B1"/>
    <mergeCell ref="A28:C28"/>
    <mergeCell ref="A29:C29"/>
    <mergeCell ref="A30:C30"/>
    <mergeCell ref="A31:C31"/>
    <mergeCell ref="A39:C39"/>
    <mergeCell ref="A15:B15"/>
    <mergeCell ref="A34:C34"/>
    <mergeCell ref="A35:C35"/>
    <mergeCell ref="A36:C36"/>
    <mergeCell ref="A37:C37"/>
    <mergeCell ref="A38:C38"/>
    <mergeCell ref="A32:C32"/>
    <mergeCell ref="A33:C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Mesure poussée moteur</vt:lpstr>
      <vt:lpstr>Conception tuyère moteur</vt:lpstr>
      <vt:lpstr>Conception moteur end burner</vt:lpstr>
      <vt:lpstr>cg</vt:lpstr>
      <vt:lpstr>g</vt:lpstr>
      <vt:lpstr>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Titouan</dc:creator>
  <cp:lastModifiedBy>Titouan</cp:lastModifiedBy>
  <dcterms:created xsi:type="dcterms:W3CDTF">2020-06-08T18:16:02Z</dcterms:created>
  <dcterms:modified xsi:type="dcterms:W3CDTF">2020-06-12T11:29:01Z</dcterms:modified>
</cp:coreProperties>
</file>