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States/SC-IndivBusTax/data/"/>
    </mc:Choice>
  </mc:AlternateContent>
  <xr:revisionPtr revIDLastSave="0" documentId="8_{86A4FC62-E7E1-1A4F-8FD6-D12288024F62}" xr6:coauthVersionLast="47" xr6:coauthVersionMax="47" xr10:uidLastSave="{00000000-0000-0000-0000-000000000000}"/>
  <bookViews>
    <workbookView xWindow="29480" yWindow="5740" windowWidth="29660" windowHeight="17440" xr2:uid="{EFC944F9-A181-BC43-8A18-67589B198BBF}"/>
  </bookViews>
  <sheets>
    <sheet name="Tab13" sheetId="3" r:id="rId1"/>
    <sheet name="Sheet1" sheetId="1" r:id="rId2"/>
    <sheet name="Tabs 5a 5b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6" i="3"/>
  <c r="H6" i="3"/>
  <c r="I6" i="3"/>
  <c r="I8" i="3" s="1"/>
  <c r="J6" i="3"/>
  <c r="K6" i="3"/>
  <c r="L6" i="3"/>
  <c r="M6" i="3"/>
  <c r="M8" i="3" s="1"/>
  <c r="L5" i="3"/>
  <c r="K5" i="3"/>
  <c r="J5" i="3"/>
  <c r="I5" i="3"/>
  <c r="H5" i="3"/>
  <c r="G5" i="3"/>
  <c r="F5" i="3"/>
  <c r="M5" i="3"/>
  <c r="L4" i="3"/>
  <c r="K4" i="3"/>
  <c r="J4" i="3"/>
  <c r="I4" i="3"/>
  <c r="H4" i="3"/>
  <c r="G4" i="3"/>
  <c r="L3" i="3"/>
  <c r="K3" i="3"/>
  <c r="J3" i="3"/>
  <c r="I3" i="3"/>
  <c r="H3" i="3"/>
  <c r="G3" i="3"/>
  <c r="F3" i="3"/>
  <c r="L2" i="3"/>
  <c r="K2" i="3"/>
  <c r="J2" i="3"/>
  <c r="I2" i="3"/>
  <c r="I7" i="3" s="1"/>
  <c r="I11" i="3" s="1"/>
  <c r="H2" i="3"/>
  <c r="G2" i="3"/>
  <c r="F2" i="3"/>
  <c r="M2" i="3"/>
  <c r="M7" i="3" s="1"/>
  <c r="F20" i="2"/>
  <c r="F19" i="2"/>
  <c r="F18" i="2"/>
  <c r="F17" i="2"/>
  <c r="F16" i="2"/>
  <c r="F15" i="2"/>
  <c r="F11" i="2"/>
  <c r="F10" i="2"/>
  <c r="F9" i="2"/>
  <c r="F8" i="2"/>
  <c r="F7" i="2"/>
  <c r="F6" i="2"/>
  <c r="A30" i="1"/>
  <c r="A26" i="1"/>
  <c r="H21" i="1"/>
  <c r="J17" i="2"/>
  <c r="J16" i="2"/>
  <c r="I20" i="2"/>
  <c r="J20" i="2" s="1"/>
  <c r="I19" i="2"/>
  <c r="J19" i="2" s="1"/>
  <c r="I18" i="2"/>
  <c r="I17" i="2"/>
  <c r="I16" i="2"/>
  <c r="I15" i="2"/>
  <c r="I11" i="2"/>
  <c r="J11" i="2" s="1"/>
  <c r="I10" i="2"/>
  <c r="J10" i="2" s="1"/>
  <c r="I9" i="2"/>
  <c r="I8" i="2"/>
  <c r="J8" i="2" s="1"/>
  <c r="I7" i="2"/>
  <c r="J7" i="2" s="1"/>
  <c r="I6" i="2"/>
  <c r="Q17" i="1"/>
  <c r="P18" i="1"/>
  <c r="Q18" i="1" s="1"/>
  <c r="L21" i="1"/>
  <c r="F4" i="1" s="1"/>
  <c r="K21" i="1"/>
  <c r="F3" i="1" s="1"/>
  <c r="A4" i="1"/>
  <c r="A3" i="1"/>
  <c r="F7" i="3" l="1"/>
  <c r="F11" i="3" s="1"/>
  <c r="F18" i="3" s="1"/>
  <c r="F19" i="3" s="1"/>
  <c r="G7" i="3"/>
  <c r="G11" i="3" s="1"/>
  <c r="G15" i="3" s="1"/>
  <c r="G16" i="3" s="1"/>
  <c r="H8" i="3"/>
  <c r="F9" i="3"/>
  <c r="H7" i="3"/>
  <c r="H11" i="3" s="1"/>
  <c r="H15" i="3" s="1"/>
  <c r="H16" i="3" s="1"/>
  <c r="K9" i="3"/>
  <c r="J9" i="3"/>
  <c r="K8" i="3"/>
  <c r="K7" i="3"/>
  <c r="K11" i="3" s="1"/>
  <c r="K12" i="3" s="1"/>
  <c r="L7" i="3"/>
  <c r="L11" i="3" s="1"/>
  <c r="L12" i="3" s="1"/>
  <c r="L8" i="3"/>
  <c r="F8" i="3"/>
  <c r="J8" i="3"/>
  <c r="I9" i="3"/>
  <c r="H9" i="3"/>
  <c r="J7" i="3"/>
  <c r="J11" i="3" s="1"/>
  <c r="J18" i="3" s="1"/>
  <c r="J19" i="3" s="1"/>
  <c r="G8" i="3"/>
  <c r="G18" i="3"/>
  <c r="G19" i="3" s="1"/>
  <c r="H12" i="3"/>
  <c r="H18" i="3"/>
  <c r="H19" i="3" s="1"/>
  <c r="I12" i="3"/>
  <c r="I18" i="3"/>
  <c r="I19" i="3" s="1"/>
  <c r="I15" i="3"/>
  <c r="I16" i="3" s="1"/>
  <c r="J15" i="3"/>
  <c r="J16" i="3" s="1"/>
  <c r="G9" i="3"/>
  <c r="L9" i="3"/>
  <c r="M9" i="3"/>
  <c r="F15" i="3" l="1"/>
  <c r="F16" i="3" s="1"/>
  <c r="F12" i="3"/>
  <c r="K18" i="3"/>
  <c r="K19" i="3" s="1"/>
  <c r="G12" i="3"/>
  <c r="K15" i="3"/>
  <c r="K16" i="3" s="1"/>
  <c r="J12" i="3"/>
  <c r="L18" i="3"/>
  <c r="L19" i="3" s="1"/>
  <c r="L15" i="3"/>
  <c r="L16" i="3" s="1"/>
  <c r="M16" i="3"/>
  <c r="M19" i="3"/>
  <c r="M12" i="3" l="1"/>
  <c r="M13" i="3" s="1"/>
  <c r="G13" i="3" l="1"/>
  <c r="L13" i="3"/>
  <c r="F13" i="3"/>
  <c r="H13" i="3"/>
  <c r="J13" i="3"/>
  <c r="I13" i="3"/>
  <c r="K13" i="3"/>
</calcChain>
</file>

<file path=xl/sharedStrings.xml><?xml version="1.0" encoding="utf-8"?>
<sst xmlns="http://schemas.openxmlformats.org/spreadsheetml/2006/main" count="134" uniqueCount="118">
  <si>
    <t>FY 2023 Corporate Income Tax Revenue</t>
  </si>
  <si>
    <t>low income percent</t>
  </si>
  <si>
    <t>middle income percent</t>
  </si>
  <si>
    <t>high income percent</t>
  </si>
  <si>
    <t>Single</t>
  </si>
  <si>
    <t>head of house</t>
  </si>
  <si>
    <t>Married other</t>
  </si>
  <si>
    <t>Total 2024 revenue from individual income tax</t>
  </si>
  <si>
    <t>top 10% AGI</t>
  </si>
  <si>
    <t>next 40% total AGI</t>
  </si>
  <si>
    <t>SC net tax liability</t>
  </si>
  <si>
    <t>Baseline</t>
  </si>
  <si>
    <t>Reform</t>
  </si>
  <si>
    <t>Change in state tax liability</t>
  </si>
  <si>
    <r>
      <t>After-tax income</t>
    </r>
    <r>
      <rPr>
        <b/>
        <vertAlign val="superscript"/>
        <sz val="7.2"/>
        <color rgb="FF000000"/>
        <rFont val="Arial"/>
        <family val="2"/>
      </rPr>
      <t>a</t>
    </r>
  </si>
  <si>
    <t>Dollars</t>
  </si>
  <si>
    <t>Percentage</t>
  </si>
  <si>
    <t>filer type (no children)</t>
  </si>
  <si>
    <t>before-tax income</t>
  </si>
  <si>
    <t>Single, low income</t>
  </si>
  <si>
    <t>Single, middle income</t>
  </si>
  <si>
    <t>Single, high income</t>
  </si>
  <si>
    <t>Married filing jointly, low income</t>
  </si>
  <si>
    <t>Married filing jointly, middle income</t>
  </si>
  <si>
    <t>Married filing jointly, high income</t>
  </si>
  <si>
    <t>filer type (two children)</t>
  </si>
  <si>
    <t>Head of household, low income</t>
  </si>
  <si>
    <t>Head of household, middle income</t>
  </si>
  <si>
    <t>Head of household, high income</t>
  </si>
  <si>
    <t>Total number of South Carolina filers</t>
  </si>
  <si>
    <t>5% flat</t>
  </si>
  <si>
    <t>dollar change</t>
  </si>
  <si>
    <t>SC liability</t>
  </si>
  <si>
    <t>IRS SOI South Carolina 2021</t>
  </si>
  <si>
    <t>TOTAL_AGI</t>
  </si>
  <si>
    <t>Total amount of AGI</t>
  </si>
  <si>
    <t>SUM_AGI_01</t>
  </si>
  <si>
    <t>Total amount of AGI for top 1 percent</t>
  </si>
  <si>
    <t>SUM_AGI_05</t>
  </si>
  <si>
    <t>Total amount of AGI for top 5 percent</t>
  </si>
  <si>
    <t>SUM_AGI_10</t>
  </si>
  <si>
    <t>Total amount of AGI for top 10 percent</t>
  </si>
  <si>
    <t>SUM_AGI_25</t>
  </si>
  <si>
    <t>Total amount of AGI for top 25 percent</t>
  </si>
  <si>
    <t>SUM_AGI_50</t>
  </si>
  <si>
    <t>Total amount of AGI for top 50 percent</t>
  </si>
  <si>
    <t>SUM_AGI_75</t>
  </si>
  <si>
    <t>Total amount of AGI for top 75 percent</t>
  </si>
  <si>
    <t>TOTAL_TAX</t>
  </si>
  <si>
    <t>Total amount of income tax</t>
  </si>
  <si>
    <t>SUM_TAX_01</t>
  </si>
  <si>
    <t>Total amount of income tax for top 1 percent</t>
  </si>
  <si>
    <t>SUM_TAX_05</t>
  </si>
  <si>
    <t>Total amount of income tax for top 5 percent</t>
  </si>
  <si>
    <t>SUM_TAX_10</t>
  </si>
  <si>
    <t>Total amount of income tax for top 10 percent</t>
  </si>
  <si>
    <t>SUM_TAX_25</t>
  </si>
  <si>
    <t>Total amount of income tax for top 25 percent</t>
  </si>
  <si>
    <t>SUM_TAX_50</t>
  </si>
  <si>
    <t>Total amount of income tax for top 50 percent</t>
  </si>
  <si>
    <t>SUM_TAX_75</t>
  </si>
  <si>
    <t>Total amount of income tax for top 75 percent</t>
  </si>
  <si>
    <t>TOTAL</t>
  </si>
  <si>
    <t>Total number of returns</t>
  </si>
  <si>
    <t>TOP_01</t>
  </si>
  <si>
    <t>Number of returns for top 1 percent</t>
  </si>
  <si>
    <t>TOP_05</t>
  </si>
  <si>
    <t>Number of returns for top 5 percent</t>
  </si>
  <si>
    <t>TOP_10</t>
  </si>
  <si>
    <t>Number of returns for top 10 percent</t>
  </si>
  <si>
    <t>TOP_25</t>
  </si>
  <si>
    <t>Number of returns for top 25 percent</t>
  </si>
  <si>
    <t>TOP_50</t>
  </si>
  <si>
    <t>Number of returns for top 50 percent</t>
  </si>
  <si>
    <t>TOP_75</t>
  </si>
  <si>
    <t>Number of returns for top 75 percent</t>
  </si>
  <si>
    <t>AGI_01</t>
  </si>
  <si>
    <t>Adjusted gross income (AGI) cutoff for top 1 percent</t>
  </si>
  <si>
    <t>AGI_05</t>
  </si>
  <si>
    <t>Adjusted gross income (AGI) cutoff for top 5 percent</t>
  </si>
  <si>
    <t>AGI_10</t>
  </si>
  <si>
    <t>Adjusted gross income (AGI) cutoff for top 10 percent</t>
  </si>
  <si>
    <t>AGI_25</t>
  </si>
  <si>
    <t>Adjusted gross income (AGI) cutoff for top 25 percent</t>
  </si>
  <si>
    <t>AGI_50</t>
  </si>
  <si>
    <t>Adjusted gross income (AGI) cutoff for top 50 percent</t>
  </si>
  <si>
    <t>AGI_75</t>
  </si>
  <si>
    <t>Adjusted gross income (AGI) cutoff for top 75 percent</t>
  </si>
  <si>
    <t>0-25%</t>
  </si>
  <si>
    <t>25-50%</t>
  </si>
  <si>
    <t>50-75%</t>
  </si>
  <si>
    <t>75-90%</t>
  </si>
  <si>
    <t>90-95%</t>
  </si>
  <si>
    <t>95-99%</t>
  </si>
  <si>
    <t>99-100%</t>
  </si>
  <si>
    <t>Total</t>
  </si>
  <si>
    <t>5% flat tax maximum percent reduction in tax liability</t>
  </si>
  <si>
    <t>4% flat tax maximum percent reduction in tax liability</t>
  </si>
  <si>
    <t>Effective tax rate</t>
  </si>
  <si>
    <t>2024 reweighting factor</t>
  </si>
  <si>
    <t>Lower bound SC 2021 federal AGI cutoff</t>
  </si>
  <si>
    <t>Total amount of SC 2021 federal AGI</t>
  </si>
  <si>
    <t>Total 2021 amount of federal income tax</t>
  </si>
  <si>
    <t>Number of 2021 returns</t>
  </si>
  <si>
    <t>Average 2021 federal AGI per filer</t>
  </si>
  <si>
    <t>Average 2021 federal income tax per filer</t>
  </si>
  <si>
    <t>Percent of 2021 US tax revenue from SC</t>
  </si>
  <si>
    <t>2024 SC baseline effective tax rate</t>
  </si>
  <si>
    <t>2024 SC average baseline tax liability</t>
  </si>
  <si>
    <t>Total 2024 SC baseline tax liability</t>
  </si>
  <si>
    <t>Percent of 2024 SC baseline tax revenue</t>
  </si>
  <si>
    <t>Average percent decrease in 2024 SC tax liability from 5% flat tax</t>
  </si>
  <si>
    <t>Average dollar decrease in 2024 SC tax liability from 5% flat tax</t>
  </si>
  <si>
    <t>Total dollar decrease in 2024 SC tax liability from 5% flat tax</t>
  </si>
  <si>
    <t>Average percent decrease in 2024 SC tax liability from 4% flat tax</t>
  </si>
  <si>
    <t>Average dollar decrease in 2024 SC tax liability from 4% flat tax</t>
  </si>
  <si>
    <t>Total dollar decrease in 2024 SC tax liability from 4% flat tax</t>
  </si>
  <si>
    <t>reweighting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</si>
</sst>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8" formatCode="&quot;$&quot;#,##0"/>
    <numFmt numFmtId="169" formatCode="&quot;$&quot;#,##0.0_);[Red]\(&quot;$&quot;#,##0.0\)"/>
    <numFmt numFmtId="170" formatCode="0.0%"/>
  </numFmts>
  <fonts count="5" x14ac:knownFonts="1">
    <font>
      <sz val="12"/>
      <color theme="1"/>
      <name val="Aptos Narrow"/>
      <family val="2"/>
      <scheme val="minor"/>
    </font>
    <font>
      <b/>
      <sz val="8"/>
      <color rgb="FF000000"/>
      <name val="Arial"/>
      <family val="2"/>
    </font>
    <font>
      <b/>
      <vertAlign val="superscript"/>
      <sz val="7.2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6" fontId="0" fillId="0" borderId="0" xfId="0" applyNumberFormat="1"/>
    <xf numFmtId="6" fontId="3" fillId="0" borderId="0" xfId="0" applyNumberFormat="1" applyFont="1"/>
    <xf numFmtId="10" fontId="3" fillId="0" borderId="0" xfId="0" applyNumberFormat="1" applyFont="1"/>
    <xf numFmtId="0" fontId="1" fillId="0" borderId="0" xfId="0" applyFont="1" applyAlignment="1"/>
    <xf numFmtId="6" fontId="3" fillId="0" borderId="0" xfId="0" applyNumberFormat="1" applyFont="1" applyAlignment="1"/>
    <xf numFmtId="10" fontId="3" fillId="0" borderId="0" xfId="0" applyNumberFormat="1" applyFont="1" applyAlignment="1"/>
    <xf numFmtId="168" fontId="3" fillId="0" borderId="0" xfId="0" applyNumberFormat="1" applyFont="1" applyAlignment="1"/>
    <xf numFmtId="3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8" fontId="0" fillId="0" borderId="0" xfId="0" applyNumberFormat="1"/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0" fontId="3" fillId="0" borderId="0" xfId="0" applyNumberFormat="1" applyFont="1"/>
    <xf numFmtId="17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A07A-D7E9-C944-AD3E-E6A8F2DD85F4}">
  <dimension ref="A1:P41"/>
  <sheetViews>
    <sheetView tabSelected="1" zoomScale="120" zoomScaleNormal="120" workbookViewId="0">
      <selection activeCell="E23" sqref="E23"/>
    </sheetView>
  </sheetViews>
  <sheetFormatPr baseColWidth="10" defaultRowHeight="16" x14ac:dyDescent="0.2"/>
  <cols>
    <col min="5" max="5" width="33" customWidth="1"/>
    <col min="6" max="6" width="14.33203125" bestFit="1" customWidth="1"/>
    <col min="7" max="7" width="16.5" customWidth="1"/>
    <col min="8" max="8" width="15.5" customWidth="1"/>
    <col min="9" max="10" width="17.5" customWidth="1"/>
    <col min="11" max="11" width="16.83203125" customWidth="1"/>
    <col min="12" max="12" width="16.5" customWidth="1"/>
    <col min="13" max="13" width="16.5" bestFit="1" customWidth="1"/>
    <col min="14" max="14" width="17" bestFit="1" customWidth="1"/>
    <col min="16" max="16" width="12.83203125" bestFit="1" customWidth="1"/>
  </cols>
  <sheetData>
    <row r="1" spans="1:15" x14ac:dyDescent="0.2">
      <c r="A1" t="s">
        <v>33</v>
      </c>
      <c r="F1" s="13" t="s">
        <v>88</v>
      </c>
      <c r="G1" s="13" t="s">
        <v>89</v>
      </c>
      <c r="H1" s="13" t="s">
        <v>90</v>
      </c>
      <c r="I1" s="13" t="s">
        <v>91</v>
      </c>
      <c r="J1" s="13" t="s">
        <v>92</v>
      </c>
      <c r="K1" s="13" t="s">
        <v>93</v>
      </c>
      <c r="L1" s="13" t="s">
        <v>94</v>
      </c>
      <c r="M1" s="13" t="s">
        <v>95</v>
      </c>
      <c r="O1" s="12">
        <v>2024</v>
      </c>
    </row>
    <row r="2" spans="1:15" x14ac:dyDescent="0.2">
      <c r="E2" t="s">
        <v>103</v>
      </c>
      <c r="F2" s="1">
        <f>$C$3-$C$9</f>
        <v>568420</v>
      </c>
      <c r="G2" s="1">
        <f>$C$9-$C$8</f>
        <v>568419</v>
      </c>
      <c r="H2" s="1">
        <f>$C$8-$C$7</f>
        <v>568420</v>
      </c>
      <c r="I2" s="1">
        <f>$C$7-$C$6</f>
        <v>341052</v>
      </c>
      <c r="J2" s="1">
        <f>$C$6-$C$5</f>
        <v>113684</v>
      </c>
      <c r="K2" s="1">
        <f>$C$5-$C$4</f>
        <v>90947</v>
      </c>
      <c r="L2" s="1">
        <f>$C$4</f>
        <v>22737</v>
      </c>
      <c r="M2" s="1">
        <f>$C$3</f>
        <v>2273679</v>
      </c>
      <c r="N2" s="1"/>
      <c r="O2" s="12" t="s">
        <v>117</v>
      </c>
    </row>
    <row r="3" spans="1:15" x14ac:dyDescent="0.2">
      <c r="A3" s="3" t="s">
        <v>62</v>
      </c>
      <c r="B3" s="3" t="s">
        <v>63</v>
      </c>
      <c r="C3" s="11">
        <v>2273679</v>
      </c>
      <c r="E3" t="s">
        <v>99</v>
      </c>
      <c r="F3">
        <f>$O$3</f>
        <v>0.98176346329999997</v>
      </c>
      <c r="G3">
        <f>$O$3</f>
        <v>0.98176346329999997</v>
      </c>
      <c r="H3">
        <f>$O$3</f>
        <v>0.98176346329999997</v>
      </c>
      <c r="I3">
        <f>$O$3</f>
        <v>0.98176346329999997</v>
      </c>
      <c r="J3">
        <f>$O$3</f>
        <v>0.98176346329999997</v>
      </c>
      <c r="K3">
        <f>$O$3</f>
        <v>0.98176346329999997</v>
      </c>
      <c r="L3">
        <f>$O$3</f>
        <v>0.98176346329999997</v>
      </c>
      <c r="O3">
        <v>0.98176346329999997</v>
      </c>
    </row>
    <row r="4" spans="1:15" x14ac:dyDescent="0.2">
      <c r="A4" s="3" t="s">
        <v>64</v>
      </c>
      <c r="B4" s="3" t="s">
        <v>65</v>
      </c>
      <c r="C4" s="11">
        <v>22737</v>
      </c>
      <c r="E4" t="s">
        <v>100</v>
      </c>
      <c r="F4">
        <v>0</v>
      </c>
      <c r="G4" s="4">
        <f>$C$16</f>
        <v>21544</v>
      </c>
      <c r="H4" s="4">
        <f>$C$15</f>
        <v>42979</v>
      </c>
      <c r="I4" s="4">
        <f>$C$14</f>
        <v>85759</v>
      </c>
      <c r="J4" s="4">
        <f>$C$13</f>
        <v>149845</v>
      </c>
      <c r="K4" s="4">
        <f>$C$12</f>
        <v>215567</v>
      </c>
      <c r="L4" s="4">
        <f>$C$11</f>
        <v>542390</v>
      </c>
    </row>
    <row r="5" spans="1:15" x14ac:dyDescent="0.2">
      <c r="A5" s="3" t="s">
        <v>66</v>
      </c>
      <c r="B5" s="3" t="s">
        <v>67</v>
      </c>
      <c r="C5" s="11">
        <v>113684</v>
      </c>
      <c r="E5" t="s">
        <v>101</v>
      </c>
      <c r="F5" s="4">
        <f>($C$18-$C$24)*1000</f>
        <v>6668624000</v>
      </c>
      <c r="G5" s="4">
        <f>($C$24-$C$23)*1000</f>
        <v>18023489000</v>
      </c>
      <c r="H5" s="4">
        <f>($C$23-$C$22)*1000</f>
        <v>34751824000</v>
      </c>
      <c r="I5" s="4">
        <f>($C$22-$C$21)*1000</f>
        <v>38259286000</v>
      </c>
      <c r="J5" s="4">
        <f>($C$21-$C$20)*1000</f>
        <v>20094528000</v>
      </c>
      <c r="K5" s="4">
        <f>($C$20-$C$19)*1000</f>
        <v>28233883000</v>
      </c>
      <c r="L5" s="4">
        <f>$C$19*1000</f>
        <v>38420006000</v>
      </c>
      <c r="M5" s="4">
        <f>$C$18*1000</f>
        <v>184451640000</v>
      </c>
      <c r="N5" s="4"/>
    </row>
    <row r="6" spans="1:15" x14ac:dyDescent="0.2">
      <c r="A6" s="3" t="s">
        <v>68</v>
      </c>
      <c r="B6" s="3" t="s">
        <v>69</v>
      </c>
      <c r="C6" s="11">
        <v>227368</v>
      </c>
      <c r="E6" t="s">
        <v>102</v>
      </c>
      <c r="F6" s="4">
        <f>($C$26-$C$32)*1000</f>
        <v>675594000</v>
      </c>
      <c r="G6" s="4">
        <f>($C$32-$C$31)*1000</f>
        <v>0</v>
      </c>
      <c r="H6" s="4">
        <f>($C$31-$C$30)*1000</f>
        <v>2308604000</v>
      </c>
      <c r="I6" s="4">
        <f>($C$30-$C$29)*1000</f>
        <v>3546254000</v>
      </c>
      <c r="J6" s="4">
        <f>($C$29-$C$28)*1000</f>
        <v>2596866000</v>
      </c>
      <c r="K6" s="4">
        <f>($C$28-$C$27)*1000</f>
        <v>4787621000</v>
      </c>
      <c r="L6" s="4">
        <f>$C$27*1000</f>
        <v>9380670000</v>
      </c>
      <c r="M6" s="4">
        <f>$C$26*1000</f>
        <v>23295609000</v>
      </c>
      <c r="N6" s="4"/>
    </row>
    <row r="7" spans="1:15" x14ac:dyDescent="0.2">
      <c r="A7" s="3" t="s">
        <v>70</v>
      </c>
      <c r="B7" s="3" t="s">
        <v>71</v>
      </c>
      <c r="C7" s="11">
        <v>568420</v>
      </c>
      <c r="E7" t="s">
        <v>104</v>
      </c>
      <c r="F7" s="17">
        <f>F5/F2</f>
        <v>11731.860244185636</v>
      </c>
      <c r="G7" s="17">
        <f t="shared" ref="G7:M7" si="0">G5/G2</f>
        <v>31708.10440889555</v>
      </c>
      <c r="H7" s="17">
        <f t="shared" si="0"/>
        <v>61137.581365891419</v>
      </c>
      <c r="I7" s="17">
        <f t="shared" si="0"/>
        <v>112180.21298804875</v>
      </c>
      <c r="J7" s="17">
        <f t="shared" si="0"/>
        <v>176757.74955138806</v>
      </c>
      <c r="K7" s="17">
        <f t="shared" si="0"/>
        <v>310443.25816134672</v>
      </c>
      <c r="L7" s="17">
        <f t="shared" si="0"/>
        <v>1689757.0479834632</v>
      </c>
      <c r="M7" s="17">
        <f t="shared" si="0"/>
        <v>81124.749799773854</v>
      </c>
    </row>
    <row r="8" spans="1:15" x14ac:dyDescent="0.2">
      <c r="A8" s="3" t="s">
        <v>72</v>
      </c>
      <c r="B8" s="3" t="s">
        <v>73</v>
      </c>
      <c r="C8" s="11">
        <v>1136840</v>
      </c>
      <c r="E8" t="s">
        <v>105</v>
      </c>
      <c r="F8" s="14">
        <f>F6/F2</f>
        <v>1188.5472010133351</v>
      </c>
      <c r="G8" s="14">
        <f t="shared" ref="G8:M8" si="1">G6/G2</f>
        <v>0</v>
      </c>
      <c r="H8" s="14">
        <f t="shared" si="1"/>
        <v>4061.4404841490446</v>
      </c>
      <c r="I8" s="14">
        <f t="shared" si="1"/>
        <v>10397.986230838698</v>
      </c>
      <c r="J8" s="14">
        <f t="shared" si="1"/>
        <v>22842.84507934274</v>
      </c>
      <c r="K8" s="14">
        <f t="shared" si="1"/>
        <v>52641.879336316757</v>
      </c>
      <c r="L8" s="14">
        <f t="shared" si="1"/>
        <v>412572.89879931387</v>
      </c>
      <c r="M8" s="14">
        <f t="shared" si="1"/>
        <v>10245.777438239962</v>
      </c>
    </row>
    <row r="9" spans="1:15" x14ac:dyDescent="0.2">
      <c r="A9" s="3" t="s">
        <v>74</v>
      </c>
      <c r="B9" s="3" t="s">
        <v>75</v>
      </c>
      <c r="C9" s="11">
        <v>1705259</v>
      </c>
      <c r="E9" t="s">
        <v>106</v>
      </c>
      <c r="F9" s="16">
        <f>F6/$M$6</f>
        <v>2.9000916009536391E-2</v>
      </c>
      <c r="G9" s="16">
        <f t="shared" ref="G9:M9" si="2">G6/$M$6</f>
        <v>0</v>
      </c>
      <c r="H9" s="16">
        <f t="shared" si="2"/>
        <v>9.9100392696323161E-2</v>
      </c>
      <c r="I9" s="16">
        <f t="shared" si="2"/>
        <v>0.15222843068837566</v>
      </c>
      <c r="J9" s="16">
        <f t="shared" si="2"/>
        <v>0.11147448431161426</v>
      </c>
      <c r="K9" s="16">
        <f t="shared" si="2"/>
        <v>0.20551602664691015</v>
      </c>
      <c r="L9" s="16">
        <f t="shared" si="2"/>
        <v>0.4026797496472404</v>
      </c>
      <c r="M9" s="16">
        <f t="shared" si="2"/>
        <v>1</v>
      </c>
    </row>
    <row r="10" spans="1:15" x14ac:dyDescent="0.2">
      <c r="E10" t="s">
        <v>107</v>
      </c>
      <c r="F10" s="16">
        <v>0</v>
      </c>
      <c r="G10" s="16">
        <v>8.0000000000000002E-3</v>
      </c>
      <c r="H10" s="16">
        <v>1.9E-2</v>
      </c>
      <c r="I10" s="16">
        <v>4.3999999999999997E-2</v>
      </c>
      <c r="J10" s="16">
        <v>4.4999999999999998E-2</v>
      </c>
      <c r="K10" s="16">
        <v>4.4999999999999998E-2</v>
      </c>
      <c r="L10" s="16">
        <v>4.4999999999999998E-2</v>
      </c>
    </row>
    <row r="11" spans="1:15" x14ac:dyDescent="0.2">
      <c r="A11" s="3" t="s">
        <v>76</v>
      </c>
      <c r="B11" s="3" t="s">
        <v>77</v>
      </c>
      <c r="C11" s="5">
        <v>542390</v>
      </c>
      <c r="E11" t="s">
        <v>108</v>
      </c>
      <c r="F11" s="17">
        <f>F10*F7</f>
        <v>0</v>
      </c>
      <c r="G11" s="17">
        <f t="shared" ref="G11:L11" si="3">G10*G7</f>
        <v>253.66483527116441</v>
      </c>
      <c r="H11" s="17">
        <f t="shared" si="3"/>
        <v>1161.614045951937</v>
      </c>
      <c r="I11" s="17">
        <f t="shared" si="3"/>
        <v>4935.9293714741443</v>
      </c>
      <c r="J11" s="17">
        <f t="shared" si="3"/>
        <v>7954.0987298124619</v>
      </c>
      <c r="K11" s="17">
        <f t="shared" si="3"/>
        <v>13969.946617260603</v>
      </c>
      <c r="L11" s="17">
        <f t="shared" si="3"/>
        <v>76039.067159255836</v>
      </c>
    </row>
    <row r="12" spans="1:15" x14ac:dyDescent="0.2">
      <c r="A12" s="3" t="s">
        <v>78</v>
      </c>
      <c r="B12" s="3" t="s">
        <v>79</v>
      </c>
      <c r="C12" s="5">
        <v>215567</v>
      </c>
      <c r="E12" t="s">
        <v>109</v>
      </c>
      <c r="F12" s="17">
        <f>F11*F3*F2</f>
        <v>0</v>
      </c>
      <c r="G12" s="17">
        <f t="shared" ref="G12:L12" si="4">G11*G3*G2</f>
        <v>141558423.85111564</v>
      </c>
      <c r="H12" s="17">
        <f t="shared" si="4"/>
        <v>648243350.63840914</v>
      </c>
      <c r="I12" s="17">
        <f t="shared" si="4"/>
        <v>1652709041.5767887</v>
      </c>
      <c r="J12" s="17">
        <f t="shared" si="4"/>
        <v>887763303.11964691</v>
      </c>
      <c r="K12" s="17">
        <f t="shared" si="4"/>
        <v>1247354764.0419147</v>
      </c>
      <c r="L12" s="17">
        <f t="shared" si="4"/>
        <v>1697371116.7755048</v>
      </c>
      <c r="M12" s="17">
        <f>SUM(F12:L12)</f>
        <v>6275000000.0033808</v>
      </c>
    </row>
    <row r="13" spans="1:15" x14ac:dyDescent="0.2">
      <c r="A13" s="3" t="s">
        <v>80</v>
      </c>
      <c r="B13" s="3" t="s">
        <v>81</v>
      </c>
      <c r="C13" s="5">
        <v>149845</v>
      </c>
      <c r="E13" t="s">
        <v>110</v>
      </c>
      <c r="F13" s="16">
        <f>F12/$M$12</f>
        <v>0</v>
      </c>
      <c r="G13" s="16">
        <f t="shared" ref="G13:M13" si="5">G12/$M$12</f>
        <v>2.2559111370683567E-2</v>
      </c>
      <c r="H13" s="16">
        <f t="shared" si="5"/>
        <v>0.10330571324909321</v>
      </c>
      <c r="I13" s="16">
        <f t="shared" si="5"/>
        <v>0.26337992694436624</v>
      </c>
      <c r="J13" s="16">
        <f t="shared" si="5"/>
        <v>0.14147622360464837</v>
      </c>
      <c r="K13" s="16">
        <f t="shared" si="5"/>
        <v>0.19878163570378368</v>
      </c>
      <c r="L13" s="16">
        <f t="shared" si="5"/>
        <v>0.27049738912742477</v>
      </c>
      <c r="M13" s="16">
        <f t="shared" si="5"/>
        <v>1</v>
      </c>
    </row>
    <row r="14" spans="1:15" x14ac:dyDescent="0.2">
      <c r="A14" s="3" t="s">
        <v>82</v>
      </c>
      <c r="B14" s="3" t="s">
        <v>83</v>
      </c>
      <c r="C14" s="5">
        <v>85759</v>
      </c>
      <c r="E14" t="s">
        <v>111</v>
      </c>
      <c r="F14" s="16">
        <v>0</v>
      </c>
      <c r="G14" s="16">
        <v>0.05</v>
      </c>
      <c r="H14" s="16">
        <v>0.14000000000000001</v>
      </c>
      <c r="I14" s="16">
        <v>0.17299999999999999</v>
      </c>
      <c r="J14" s="16">
        <v>0.193</v>
      </c>
      <c r="K14" s="16">
        <v>0.193</v>
      </c>
      <c r="L14" s="16">
        <v>0.193</v>
      </c>
    </row>
    <row r="15" spans="1:15" x14ac:dyDescent="0.2">
      <c r="A15" s="3" t="s">
        <v>84</v>
      </c>
      <c r="B15" s="3" t="s">
        <v>85</v>
      </c>
      <c r="C15" s="5">
        <v>42979</v>
      </c>
      <c r="E15" t="s">
        <v>112</v>
      </c>
      <c r="F15" s="17">
        <f>F14*F11</f>
        <v>0</v>
      </c>
      <c r="G15" s="17">
        <f t="shared" ref="G15:L15" si="6">G14*G11</f>
        <v>12.683241763558222</v>
      </c>
      <c r="H15" s="17">
        <f t="shared" si="6"/>
        <v>162.6259664332712</v>
      </c>
      <c r="I15" s="17">
        <f t="shared" si="6"/>
        <v>853.91578126502691</v>
      </c>
      <c r="J15" s="17">
        <f t="shared" si="6"/>
        <v>1535.1410548538051</v>
      </c>
      <c r="K15" s="17">
        <f t="shared" si="6"/>
        <v>2696.1996971312965</v>
      </c>
      <c r="L15" s="17">
        <f t="shared" si="6"/>
        <v>14675.539961736376</v>
      </c>
      <c r="M15" s="17"/>
    </row>
    <row r="16" spans="1:15" x14ac:dyDescent="0.2">
      <c r="A16" s="3" t="s">
        <v>86</v>
      </c>
      <c r="B16" s="3" t="s">
        <v>87</v>
      </c>
      <c r="C16" s="5">
        <v>21544</v>
      </c>
      <c r="E16" t="s">
        <v>113</v>
      </c>
      <c r="F16" s="17">
        <f>F15*F3*F2</f>
        <v>0</v>
      </c>
      <c r="G16" s="17">
        <f t="shared" ref="G16:L16" si="7">G15*G3*G2</f>
        <v>7077921.1925557815</v>
      </c>
      <c r="H16" s="17">
        <f t="shared" si="7"/>
        <v>90754069.089377299</v>
      </c>
      <c r="I16" s="17">
        <f t="shared" si="7"/>
        <v>285918664.19278443</v>
      </c>
      <c r="J16" s="17">
        <f t="shared" si="7"/>
        <v>171338317.50209185</v>
      </c>
      <c r="K16" s="17">
        <f t="shared" si="7"/>
        <v>240739469.46008956</v>
      </c>
      <c r="L16" s="17">
        <f t="shared" si="7"/>
        <v>327592625.53767246</v>
      </c>
      <c r="M16" s="17">
        <f>SUM(F16:L16)</f>
        <v>1123421066.9745715</v>
      </c>
    </row>
    <row r="17" spans="1:16" x14ac:dyDescent="0.2">
      <c r="E17" t="s">
        <v>114</v>
      </c>
      <c r="F17" s="16">
        <v>0</v>
      </c>
      <c r="G17" s="16">
        <v>0.01</v>
      </c>
      <c r="H17" s="16">
        <v>0.24</v>
      </c>
      <c r="I17" s="16">
        <v>0.32</v>
      </c>
      <c r="J17" s="16">
        <v>0.34</v>
      </c>
      <c r="K17" s="16">
        <v>0.35</v>
      </c>
      <c r="L17" s="16">
        <v>0.35</v>
      </c>
    </row>
    <row r="18" spans="1:16" x14ac:dyDescent="0.2">
      <c r="A18" s="3" t="s">
        <v>34</v>
      </c>
      <c r="B18" s="3" t="s">
        <v>35</v>
      </c>
      <c r="C18" s="5">
        <v>184451640</v>
      </c>
      <c r="E18" t="s">
        <v>115</v>
      </c>
      <c r="F18" s="17">
        <f>F17*F11</f>
        <v>0</v>
      </c>
      <c r="G18" s="17">
        <f t="shared" ref="G18:L18" si="8">G17*G11</f>
        <v>2.5366483527116439</v>
      </c>
      <c r="H18" s="17">
        <f t="shared" si="8"/>
        <v>278.78737102846486</v>
      </c>
      <c r="I18" s="17">
        <f t="shared" si="8"/>
        <v>1579.4973988717263</v>
      </c>
      <c r="J18" s="17">
        <f t="shared" si="8"/>
        <v>2704.3935681362373</v>
      </c>
      <c r="K18" s="17">
        <f t="shared" si="8"/>
        <v>4889.4813160412104</v>
      </c>
      <c r="L18" s="17">
        <f t="shared" si="8"/>
        <v>26613.673505739542</v>
      </c>
      <c r="M18" s="17"/>
    </row>
    <row r="19" spans="1:16" x14ac:dyDescent="0.2">
      <c r="A19" s="3" t="s">
        <v>36</v>
      </c>
      <c r="B19" s="3" t="s">
        <v>37</v>
      </c>
      <c r="C19" s="5">
        <v>38420006</v>
      </c>
      <c r="E19" t="s">
        <v>116</v>
      </c>
      <c r="F19" s="17">
        <f>F18*F3*F2</f>
        <v>0</v>
      </c>
      <c r="G19" s="17">
        <f t="shared" ref="G19:L19" si="9">G18*G3*G2</f>
        <v>1415584.2385111561</v>
      </c>
      <c r="H19" s="17">
        <f t="shared" si="9"/>
        <v>155578404.15321818</v>
      </c>
      <c r="I19" s="17">
        <f t="shared" si="9"/>
        <v>528866893.3045724</v>
      </c>
      <c r="J19" s="17">
        <f t="shared" si="9"/>
        <v>301839523.06067997</v>
      </c>
      <c r="K19" s="17">
        <f t="shared" si="9"/>
        <v>436574167.41467011</v>
      </c>
      <c r="L19" s="17">
        <f t="shared" si="9"/>
        <v>594079890.8714267</v>
      </c>
      <c r="M19" s="17">
        <f>SUM(F19:L19)</f>
        <v>2018354463.0430784</v>
      </c>
    </row>
    <row r="20" spans="1:16" x14ac:dyDescent="0.2">
      <c r="A20" s="3" t="s">
        <v>38</v>
      </c>
      <c r="B20" s="3" t="s">
        <v>39</v>
      </c>
      <c r="C20" s="5">
        <v>66653889</v>
      </c>
    </row>
    <row r="21" spans="1:16" x14ac:dyDescent="0.2">
      <c r="A21" s="3" t="s">
        <v>40</v>
      </c>
      <c r="B21" s="3" t="s">
        <v>41</v>
      </c>
      <c r="C21" s="5">
        <v>86748417</v>
      </c>
    </row>
    <row r="22" spans="1:16" x14ac:dyDescent="0.2">
      <c r="A22" s="3" t="s">
        <v>42</v>
      </c>
      <c r="B22" s="3" t="s">
        <v>43</v>
      </c>
      <c r="C22" s="5">
        <v>125007703</v>
      </c>
    </row>
    <row r="23" spans="1:16" x14ac:dyDescent="0.2">
      <c r="A23" s="3" t="s">
        <v>44</v>
      </c>
      <c r="B23" s="3" t="s">
        <v>45</v>
      </c>
      <c r="C23" s="5">
        <v>159759527</v>
      </c>
      <c r="F23" s="13"/>
      <c r="G23" s="13"/>
      <c r="H23" s="13"/>
      <c r="I23" s="13"/>
      <c r="J23" s="13"/>
      <c r="K23" s="13"/>
      <c r="L23" s="13"/>
      <c r="M23" s="13"/>
      <c r="N23" s="13"/>
    </row>
    <row r="24" spans="1:16" x14ac:dyDescent="0.2">
      <c r="A24" s="3" t="s">
        <v>46</v>
      </c>
      <c r="B24" s="3" t="s">
        <v>47</v>
      </c>
      <c r="C24" s="5">
        <v>177783016</v>
      </c>
      <c r="F24" s="1"/>
      <c r="G24" s="1"/>
      <c r="H24" s="1"/>
      <c r="I24" s="1"/>
      <c r="J24" s="1"/>
      <c r="K24" s="1"/>
      <c r="L24" s="1"/>
      <c r="N24" s="1"/>
      <c r="P24" s="4"/>
    </row>
    <row r="25" spans="1:16" x14ac:dyDescent="0.2">
      <c r="G25" s="4"/>
      <c r="H25" s="4"/>
      <c r="I25" s="4"/>
      <c r="J25" s="4"/>
      <c r="K25" s="4"/>
      <c r="L25" s="4"/>
    </row>
    <row r="26" spans="1:16" x14ac:dyDescent="0.2">
      <c r="A26" s="3" t="s">
        <v>48</v>
      </c>
      <c r="B26" s="3" t="s">
        <v>49</v>
      </c>
      <c r="C26" s="5">
        <v>23295609</v>
      </c>
      <c r="F26" s="4"/>
      <c r="G26" s="4"/>
      <c r="H26" s="4"/>
      <c r="I26" s="4"/>
      <c r="J26" s="4"/>
      <c r="K26" s="4"/>
      <c r="L26" s="4"/>
      <c r="N26" s="4"/>
      <c r="P26" s="4"/>
    </row>
    <row r="27" spans="1:16" x14ac:dyDescent="0.2">
      <c r="A27" s="3" t="s">
        <v>50</v>
      </c>
      <c r="B27" s="3" t="s">
        <v>51</v>
      </c>
      <c r="C27" s="5">
        <v>9380670</v>
      </c>
      <c r="F27" s="4"/>
      <c r="G27" s="4"/>
      <c r="H27" s="4"/>
      <c r="I27" s="4"/>
      <c r="J27" s="4"/>
      <c r="K27" s="4"/>
      <c r="L27" s="4"/>
      <c r="N27" s="4"/>
      <c r="P27" s="4"/>
    </row>
    <row r="28" spans="1:16" x14ac:dyDescent="0.2">
      <c r="A28" s="3" t="s">
        <v>52</v>
      </c>
      <c r="B28" s="3" t="s">
        <v>53</v>
      </c>
      <c r="C28" s="5">
        <v>14168291</v>
      </c>
      <c r="F28" s="14"/>
      <c r="G28" s="14"/>
      <c r="H28" s="14"/>
      <c r="I28" s="14"/>
      <c r="J28" s="14"/>
      <c r="K28" s="14"/>
      <c r="L28" s="14"/>
    </row>
    <row r="29" spans="1:16" x14ac:dyDescent="0.2">
      <c r="A29" s="3" t="s">
        <v>54</v>
      </c>
      <c r="B29" s="3" t="s">
        <v>55</v>
      </c>
      <c r="C29" s="5">
        <v>16765157</v>
      </c>
      <c r="F29" s="14"/>
      <c r="G29" s="14"/>
      <c r="H29" s="14"/>
      <c r="I29" s="14"/>
      <c r="J29" s="14"/>
      <c r="K29" s="14"/>
      <c r="L29" s="14"/>
    </row>
    <row r="30" spans="1:16" x14ac:dyDescent="0.2">
      <c r="A30" s="3" t="s">
        <v>56</v>
      </c>
      <c r="B30" s="3" t="s">
        <v>57</v>
      </c>
      <c r="C30" s="5">
        <v>20311411</v>
      </c>
      <c r="F30" s="16"/>
      <c r="G30" s="16"/>
      <c r="H30" s="16"/>
      <c r="I30" s="16"/>
      <c r="J30" s="16"/>
      <c r="K30" s="16"/>
      <c r="L30" s="16"/>
      <c r="N30" s="16"/>
    </row>
    <row r="31" spans="1:16" x14ac:dyDescent="0.2">
      <c r="A31" s="3" t="s">
        <v>58</v>
      </c>
      <c r="B31" s="3" t="s">
        <v>59</v>
      </c>
      <c r="C31" s="5">
        <v>22620015</v>
      </c>
      <c r="F31" s="4"/>
      <c r="G31" s="4"/>
      <c r="H31" s="4"/>
      <c r="I31" s="4"/>
      <c r="J31" s="4"/>
      <c r="K31" s="4"/>
      <c r="L31" s="4"/>
    </row>
    <row r="32" spans="1:16" x14ac:dyDescent="0.2">
      <c r="A32" s="3" t="s">
        <v>60</v>
      </c>
      <c r="B32" s="3" t="s">
        <v>61</v>
      </c>
      <c r="C32" s="5">
        <v>22620015</v>
      </c>
      <c r="N32" s="17"/>
    </row>
    <row r="33" spans="6:14" x14ac:dyDescent="0.2">
      <c r="F33" s="16"/>
      <c r="G33" s="16"/>
      <c r="H33" s="16"/>
      <c r="I33" s="16"/>
      <c r="J33" s="16"/>
      <c r="K33" s="16"/>
      <c r="L33" s="16"/>
      <c r="N33" s="14"/>
    </row>
    <row r="34" spans="6:14" x14ac:dyDescent="0.2">
      <c r="F34" s="4"/>
      <c r="G34" s="4"/>
      <c r="H34" s="4"/>
      <c r="I34" s="4"/>
      <c r="J34" s="4"/>
      <c r="K34" s="4"/>
      <c r="L34" s="4"/>
    </row>
    <row r="35" spans="6:14" x14ac:dyDescent="0.2">
      <c r="F35" s="16"/>
      <c r="G35" s="16"/>
      <c r="H35" s="16"/>
      <c r="I35" s="16"/>
      <c r="J35" s="16"/>
      <c r="K35" s="16"/>
      <c r="L35" s="16"/>
    </row>
    <row r="36" spans="6:14" x14ac:dyDescent="0.2">
      <c r="F36" s="15"/>
      <c r="G36" s="15"/>
      <c r="H36" s="15"/>
      <c r="I36" s="15"/>
      <c r="J36" s="15"/>
      <c r="K36" s="15"/>
      <c r="L36" s="15"/>
      <c r="N36" s="14"/>
    </row>
    <row r="37" spans="6:14" x14ac:dyDescent="0.2">
      <c r="F37" s="14"/>
      <c r="G37" s="14"/>
      <c r="H37" s="14"/>
      <c r="I37" s="14"/>
      <c r="J37" s="14"/>
      <c r="K37" s="14"/>
      <c r="L37" s="14"/>
      <c r="N37" s="14"/>
    </row>
    <row r="38" spans="6:14" x14ac:dyDescent="0.2">
      <c r="F38" s="16"/>
      <c r="G38" s="16"/>
      <c r="H38" s="16"/>
      <c r="I38" s="16"/>
      <c r="J38" s="16"/>
      <c r="K38" s="16"/>
      <c r="L38" s="16"/>
    </row>
    <row r="41" spans="6:14" x14ac:dyDescent="0.2">
      <c r="F41" s="4"/>
      <c r="G41" s="4"/>
      <c r="H41" s="4"/>
      <c r="I41" s="4"/>
      <c r="J41" s="4"/>
      <c r="K41" s="4"/>
      <c r="L41" s="4"/>
      <c r="N41" s="1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718C-CFD3-0E4B-947F-4F987CFB0D12}">
  <dimension ref="A1:Q30"/>
  <sheetViews>
    <sheetView workbookViewId="0">
      <selection activeCell="A31" sqref="A31"/>
    </sheetView>
  </sheetViews>
  <sheetFormatPr baseColWidth="10" defaultRowHeight="16" x14ac:dyDescent="0.2"/>
  <cols>
    <col min="1" max="1" width="12.6640625" bestFit="1" customWidth="1"/>
    <col min="6" max="6" width="11.1640625" bestFit="1" customWidth="1"/>
    <col min="8" max="8" width="12.6640625" bestFit="1" customWidth="1"/>
    <col min="9" max="9" width="12.6640625" customWidth="1"/>
  </cols>
  <sheetData>
    <row r="1" spans="1:16" x14ac:dyDescent="0.2">
      <c r="A1" t="s">
        <v>0</v>
      </c>
      <c r="F1" t="s">
        <v>7</v>
      </c>
      <c r="M1" t="s">
        <v>29</v>
      </c>
    </row>
    <row r="2" spans="1:16" x14ac:dyDescent="0.2">
      <c r="A2" s="1">
        <v>1262221843</v>
      </c>
      <c r="F2">
        <v>6275000000</v>
      </c>
      <c r="M2">
        <v>2273679</v>
      </c>
    </row>
    <row r="3" spans="1:16" x14ac:dyDescent="0.2">
      <c r="A3" s="1">
        <f>(1/5)*A2</f>
        <v>252444368.60000002</v>
      </c>
      <c r="F3">
        <f>(K21/100)*F2</f>
        <v>549352405</v>
      </c>
    </row>
    <row r="4" spans="1:16" x14ac:dyDescent="0.2">
      <c r="A4" s="1">
        <f>(1.5/5)*A2</f>
        <v>378666552.89999998</v>
      </c>
      <c r="F4">
        <f>(L21/100)*F2</f>
        <v>1018989720.0000001</v>
      </c>
    </row>
    <row r="6" spans="1:16" x14ac:dyDescent="0.2">
      <c r="O6">
        <v>0.4</v>
      </c>
      <c r="P6">
        <v>0</v>
      </c>
    </row>
    <row r="8" spans="1:16" x14ac:dyDescent="0.2">
      <c r="O8">
        <v>0.4</v>
      </c>
    </row>
    <row r="9" spans="1:16" x14ac:dyDescent="0.2">
      <c r="H9" t="s">
        <v>11</v>
      </c>
      <c r="J9" t="s">
        <v>30</v>
      </c>
    </row>
    <row r="10" spans="1:16" x14ac:dyDescent="0.2">
      <c r="A10" t="s">
        <v>1</v>
      </c>
      <c r="B10" t="s">
        <v>2</v>
      </c>
      <c r="C10" t="s">
        <v>3</v>
      </c>
      <c r="H10" t="s">
        <v>32</v>
      </c>
      <c r="J10" t="s">
        <v>31</v>
      </c>
      <c r="O10">
        <v>0.2</v>
      </c>
    </row>
    <row r="11" spans="1:16" x14ac:dyDescent="0.2">
      <c r="A11">
        <v>0.4</v>
      </c>
      <c r="B11">
        <v>0.4</v>
      </c>
      <c r="C11">
        <v>0.2</v>
      </c>
      <c r="F11">
        <v>0.4</v>
      </c>
      <c r="G11">
        <v>0.45600000000000002</v>
      </c>
      <c r="H11">
        <v>0</v>
      </c>
      <c r="K11">
        <v>0</v>
      </c>
      <c r="L11">
        <v>0</v>
      </c>
    </row>
    <row r="12" spans="1:16" x14ac:dyDescent="0.2">
      <c r="G12">
        <v>0.14499999999999999</v>
      </c>
      <c r="H12">
        <v>0</v>
      </c>
      <c r="K12">
        <v>0</v>
      </c>
      <c r="L12">
        <v>0</v>
      </c>
    </row>
    <row r="13" spans="1:16" x14ac:dyDescent="0.2">
      <c r="A13" t="s">
        <v>4</v>
      </c>
      <c r="B13" t="s">
        <v>5</v>
      </c>
      <c r="C13" t="s">
        <v>6</v>
      </c>
      <c r="G13">
        <v>0.39900000000000002</v>
      </c>
      <c r="H13">
        <v>0</v>
      </c>
      <c r="K13">
        <v>0</v>
      </c>
      <c r="L13">
        <v>0</v>
      </c>
    </row>
    <row r="14" spans="1:16" x14ac:dyDescent="0.2">
      <c r="A14">
        <v>0.45600000000000002</v>
      </c>
      <c r="B14">
        <v>0.14499999999999999</v>
      </c>
      <c r="C14">
        <v>0.39900000000000002</v>
      </c>
      <c r="F14">
        <v>0.4</v>
      </c>
      <c r="G14">
        <v>0.45600000000000002</v>
      </c>
      <c r="H14">
        <v>916</v>
      </c>
      <c r="K14">
        <v>10.5</v>
      </c>
      <c r="L14">
        <v>19.7</v>
      </c>
    </row>
    <row r="15" spans="1:16" x14ac:dyDescent="0.2">
      <c r="G15">
        <v>0.14499999999999999</v>
      </c>
      <c r="H15">
        <v>1104</v>
      </c>
      <c r="K15">
        <v>12.5</v>
      </c>
      <c r="L15">
        <v>23.3</v>
      </c>
    </row>
    <row r="16" spans="1:16" x14ac:dyDescent="0.2">
      <c r="G16">
        <v>0.39900000000000002</v>
      </c>
      <c r="H16">
        <v>1067</v>
      </c>
      <c r="K16">
        <v>15.5</v>
      </c>
      <c r="L16">
        <v>28.8</v>
      </c>
    </row>
    <row r="17" spans="1:17" x14ac:dyDescent="0.2">
      <c r="F17">
        <v>0.2</v>
      </c>
      <c r="G17">
        <v>0.45600000000000002</v>
      </c>
      <c r="H17">
        <v>4016</v>
      </c>
      <c r="K17">
        <v>17.3</v>
      </c>
      <c r="L17">
        <v>31.9</v>
      </c>
      <c r="O17" t="s">
        <v>8</v>
      </c>
      <c r="P17">
        <v>86748417</v>
      </c>
      <c r="Q17">
        <f>0.062*P17</f>
        <v>5378401.8540000003</v>
      </c>
    </row>
    <row r="18" spans="1:17" x14ac:dyDescent="0.2">
      <c r="G18">
        <v>0.14499999999999999</v>
      </c>
      <c r="H18">
        <v>6670</v>
      </c>
      <c r="K18">
        <v>18.3</v>
      </c>
      <c r="L18">
        <v>33.5</v>
      </c>
      <c r="O18" t="s">
        <v>9</v>
      </c>
      <c r="P18">
        <f>159759527-P17</f>
        <v>73011110</v>
      </c>
      <c r="Q18">
        <f>0.035*P18</f>
        <v>2555388.85</v>
      </c>
    </row>
    <row r="19" spans="1:17" x14ac:dyDescent="0.2">
      <c r="G19">
        <v>0.39900000000000002</v>
      </c>
      <c r="H19">
        <v>8000</v>
      </c>
      <c r="K19">
        <v>19.2</v>
      </c>
      <c r="L19">
        <v>35.299999999999997</v>
      </c>
    </row>
    <row r="21" spans="1:17" x14ac:dyDescent="0.2">
      <c r="H21" s="1">
        <f>F11*(G11*H11+G12*H12+G13*H13) + F14*(G14*H14+G15*H15+G16*H16) + F17*(G17*H17+G18*H18+G19*H19)*M2</f>
        <v>2724070655.5704007</v>
      </c>
      <c r="I21" s="1"/>
      <c r="K21">
        <f>F11*(G11*K11+G12*K12+G13*K13) + F14*(G14*K14+G15*K15+G16*K16)+F17*(G17*K17+G18*K18+G19*K19)</f>
        <v>8.754620000000001</v>
      </c>
      <c r="L21">
        <f>F11*0+F14*(G14*L14+G15*L15+G16*L16)+F17*(G17*L17+G18*L18+G19*L19)</f>
        <v>16.238880000000002</v>
      </c>
    </row>
    <row r="25" spans="1:17" x14ac:dyDescent="0.2">
      <c r="A25" t="s">
        <v>96</v>
      </c>
    </row>
    <row r="26" spans="1:17" x14ac:dyDescent="0.2">
      <c r="A26">
        <f>1.2/6.2</f>
        <v>0.19354838709677419</v>
      </c>
    </row>
    <row r="29" spans="1:17" x14ac:dyDescent="0.2">
      <c r="A29" t="s">
        <v>97</v>
      </c>
    </row>
    <row r="30" spans="1:17" x14ac:dyDescent="0.2">
      <c r="A30">
        <f>2.2/6.2</f>
        <v>0.35483870967741937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71AC-9D43-974E-9375-267120895F2A}">
  <dimension ref="B4:J20"/>
  <sheetViews>
    <sheetView zoomScale="156" zoomScaleNormal="156" workbookViewId="0">
      <selection activeCell="F22" sqref="F22"/>
    </sheetView>
  </sheetViews>
  <sheetFormatPr baseColWidth="10" defaultRowHeight="16" x14ac:dyDescent="0.2"/>
  <sheetData>
    <row r="4" spans="2:10" x14ac:dyDescent="0.2">
      <c r="B4" s="2"/>
      <c r="C4" s="2"/>
      <c r="D4" s="2" t="s">
        <v>11</v>
      </c>
      <c r="E4" s="7"/>
      <c r="F4" s="7"/>
      <c r="G4" s="2" t="s">
        <v>12</v>
      </c>
      <c r="I4" s="2" t="s">
        <v>13</v>
      </c>
    </row>
    <row r="5" spans="2:10" x14ac:dyDescent="0.2">
      <c r="B5" s="2" t="s">
        <v>17</v>
      </c>
      <c r="C5" s="2" t="s">
        <v>18</v>
      </c>
      <c r="D5" s="7" t="s">
        <v>14</v>
      </c>
      <c r="E5" s="7" t="s">
        <v>10</v>
      </c>
      <c r="F5" s="7" t="s">
        <v>98</v>
      </c>
      <c r="G5" s="7" t="s">
        <v>14</v>
      </c>
      <c r="H5" s="7" t="s">
        <v>10</v>
      </c>
      <c r="I5" s="7" t="s">
        <v>15</v>
      </c>
      <c r="J5" s="7" t="s">
        <v>16</v>
      </c>
    </row>
    <row r="6" spans="2:10" x14ac:dyDescent="0.2">
      <c r="B6" s="3" t="s">
        <v>19</v>
      </c>
      <c r="C6" s="8">
        <v>13000</v>
      </c>
      <c r="D6" s="8">
        <v>14237</v>
      </c>
      <c r="E6" s="8">
        <v>0</v>
      </c>
      <c r="F6" s="19">
        <f>E6/C6</f>
        <v>0</v>
      </c>
      <c r="G6" s="8">
        <v>14237</v>
      </c>
      <c r="H6" s="8">
        <v>0</v>
      </c>
      <c r="I6" s="10">
        <f>H6-E6</f>
        <v>0</v>
      </c>
      <c r="J6" s="9">
        <v>0</v>
      </c>
    </row>
    <row r="7" spans="2:10" x14ac:dyDescent="0.2">
      <c r="B7" s="3" t="s">
        <v>20</v>
      </c>
      <c r="C7" s="8">
        <v>40000</v>
      </c>
      <c r="D7" s="8">
        <v>33208</v>
      </c>
      <c r="E7" s="8">
        <v>916</v>
      </c>
      <c r="F7" s="19">
        <f t="shared" ref="F7:F11" si="0">E7/C7</f>
        <v>2.29E-2</v>
      </c>
      <c r="G7" s="8">
        <v>33304</v>
      </c>
      <c r="H7" s="8">
        <v>820</v>
      </c>
      <c r="I7" s="10">
        <f t="shared" ref="I7:I11" si="1">H7-E7</f>
        <v>-96</v>
      </c>
      <c r="J7" s="9">
        <f>I7/E7</f>
        <v>-0.10480349344978165</v>
      </c>
    </row>
    <row r="8" spans="2:10" x14ac:dyDescent="0.2">
      <c r="B8" s="3" t="s">
        <v>21</v>
      </c>
      <c r="C8" s="8">
        <v>90000</v>
      </c>
      <c r="D8" s="8">
        <v>67458</v>
      </c>
      <c r="E8" s="8">
        <v>4016</v>
      </c>
      <c r="F8" s="19">
        <f t="shared" si="0"/>
        <v>4.4622222222222223E-2</v>
      </c>
      <c r="G8" s="8">
        <v>68154</v>
      </c>
      <c r="H8" s="8">
        <v>3320</v>
      </c>
      <c r="I8" s="10">
        <f t="shared" si="1"/>
        <v>-696</v>
      </c>
      <c r="J8" s="9">
        <f>I8/E8</f>
        <v>-0.17330677290836655</v>
      </c>
    </row>
    <row r="9" spans="2:10" x14ac:dyDescent="0.2">
      <c r="B9" s="3" t="s">
        <v>22</v>
      </c>
      <c r="C9" s="8">
        <v>22000</v>
      </c>
      <c r="D9" s="8">
        <v>22905</v>
      </c>
      <c r="E9" s="8">
        <v>0</v>
      </c>
      <c r="F9" s="19">
        <f t="shared" si="0"/>
        <v>0</v>
      </c>
      <c r="G9" s="8">
        <v>22905</v>
      </c>
      <c r="H9" s="8">
        <v>0</v>
      </c>
      <c r="I9" s="10">
        <f t="shared" si="1"/>
        <v>0</v>
      </c>
      <c r="J9" s="9">
        <v>0</v>
      </c>
    </row>
    <row r="10" spans="2:10" x14ac:dyDescent="0.2">
      <c r="B10" s="3" t="s">
        <v>23</v>
      </c>
      <c r="C10" s="8">
        <v>60000</v>
      </c>
      <c r="D10" s="8">
        <v>51102</v>
      </c>
      <c r="E10" s="8">
        <v>1076</v>
      </c>
      <c r="F10" s="19">
        <f t="shared" si="0"/>
        <v>1.7933333333333332E-2</v>
      </c>
      <c r="G10" s="8">
        <v>51263</v>
      </c>
      <c r="H10" s="8">
        <v>915</v>
      </c>
      <c r="I10" s="10">
        <f t="shared" si="1"/>
        <v>-161</v>
      </c>
      <c r="J10" s="9">
        <f>I10/E10</f>
        <v>-0.1496282527881041</v>
      </c>
    </row>
    <row r="11" spans="2:10" x14ac:dyDescent="0.2">
      <c r="B11" s="3" t="s">
        <v>24</v>
      </c>
      <c r="C11" s="8">
        <v>160000</v>
      </c>
      <c r="D11" s="8">
        <v>121777</v>
      </c>
      <c r="E11" s="8">
        <v>7101</v>
      </c>
      <c r="F11" s="19">
        <f t="shared" si="0"/>
        <v>4.4381249999999997E-2</v>
      </c>
      <c r="G11" s="8">
        <v>123138</v>
      </c>
      <c r="H11" s="8">
        <v>5740</v>
      </c>
      <c r="I11" s="10">
        <f t="shared" si="1"/>
        <v>-1361</v>
      </c>
      <c r="J11" s="9">
        <f>I11/E11</f>
        <v>-0.19166314603576962</v>
      </c>
    </row>
    <row r="12" spans="2:10" x14ac:dyDescent="0.2">
      <c r="B12" s="3"/>
      <c r="C12" s="8"/>
      <c r="D12" s="8"/>
      <c r="E12" s="8"/>
      <c r="F12" s="8"/>
      <c r="G12" s="8"/>
      <c r="H12" s="8"/>
      <c r="I12" s="8"/>
      <c r="J12" s="9"/>
    </row>
    <row r="13" spans="2:10" x14ac:dyDescent="0.2">
      <c r="B13" s="2"/>
      <c r="C13" s="2"/>
      <c r="D13" s="2" t="s">
        <v>11</v>
      </c>
      <c r="E13" s="7"/>
      <c r="F13" s="7"/>
      <c r="G13" s="2" t="s">
        <v>12</v>
      </c>
      <c r="I13" s="2" t="s">
        <v>13</v>
      </c>
    </row>
    <row r="14" spans="2:10" x14ac:dyDescent="0.2">
      <c r="B14" s="2" t="s">
        <v>25</v>
      </c>
      <c r="C14" s="2" t="s">
        <v>18</v>
      </c>
      <c r="D14" s="7" t="s">
        <v>14</v>
      </c>
      <c r="E14" s="7" t="s">
        <v>10</v>
      </c>
      <c r="F14" s="7"/>
      <c r="G14" s="7" t="s">
        <v>14</v>
      </c>
      <c r="H14" s="7" t="s">
        <v>10</v>
      </c>
      <c r="I14" s="7" t="s">
        <v>15</v>
      </c>
      <c r="J14" s="7" t="s">
        <v>16</v>
      </c>
    </row>
    <row r="15" spans="2:10" x14ac:dyDescent="0.2">
      <c r="B15" s="3" t="s">
        <v>26</v>
      </c>
      <c r="C15" s="5">
        <v>20000</v>
      </c>
      <c r="D15" s="5">
        <v>36394</v>
      </c>
      <c r="E15" s="5">
        <v>0</v>
      </c>
      <c r="F15" s="18">
        <f>E15/C15</f>
        <v>0</v>
      </c>
      <c r="G15" s="5">
        <v>36394</v>
      </c>
      <c r="H15" s="5">
        <v>0</v>
      </c>
      <c r="I15" s="10">
        <f t="shared" ref="I15:I20" si="2">H15-E15</f>
        <v>0</v>
      </c>
      <c r="J15" s="6">
        <v>0</v>
      </c>
    </row>
    <row r="16" spans="2:10" x14ac:dyDescent="0.2">
      <c r="B16" s="3" t="s">
        <v>27</v>
      </c>
      <c r="C16" s="5">
        <v>60000</v>
      </c>
      <c r="D16" s="5">
        <v>54465</v>
      </c>
      <c r="E16" s="5">
        <v>1104</v>
      </c>
      <c r="F16" s="18">
        <f t="shared" ref="F16:F20" si="3">E16/C16</f>
        <v>1.84E-2</v>
      </c>
      <c r="G16" s="5">
        <v>54603</v>
      </c>
      <c r="H16" s="5">
        <v>966</v>
      </c>
      <c r="I16" s="10">
        <f t="shared" si="2"/>
        <v>-138</v>
      </c>
      <c r="J16" s="9">
        <f>I16/E16</f>
        <v>-0.125</v>
      </c>
    </row>
    <row r="17" spans="2:10" x14ac:dyDescent="0.2">
      <c r="B17" s="3" t="s">
        <v>28</v>
      </c>
      <c r="C17" s="5">
        <v>150000</v>
      </c>
      <c r="D17" s="5">
        <v>114362</v>
      </c>
      <c r="E17" s="5">
        <v>6670</v>
      </c>
      <c r="F17" s="18">
        <f t="shared" si="3"/>
        <v>4.4466666666666668E-2</v>
      </c>
      <c r="G17" s="5">
        <v>115580</v>
      </c>
      <c r="H17" s="5">
        <v>5452</v>
      </c>
      <c r="I17" s="10">
        <f t="shared" si="2"/>
        <v>-1218</v>
      </c>
      <c r="J17" s="9">
        <f>I17/E17</f>
        <v>-0.18260869565217391</v>
      </c>
    </row>
    <row r="18" spans="2:10" x14ac:dyDescent="0.2">
      <c r="B18" s="3" t="s">
        <v>22</v>
      </c>
      <c r="C18" s="5">
        <v>25000</v>
      </c>
      <c r="D18" s="5">
        <v>42623</v>
      </c>
      <c r="E18" s="5">
        <v>0</v>
      </c>
      <c r="F18" s="18">
        <f t="shared" si="3"/>
        <v>0</v>
      </c>
      <c r="G18" s="5">
        <v>42623</v>
      </c>
      <c r="H18" s="5">
        <v>0</v>
      </c>
      <c r="I18" s="10">
        <f t="shared" si="2"/>
        <v>0</v>
      </c>
      <c r="J18" s="6">
        <v>0</v>
      </c>
    </row>
    <row r="19" spans="2:10" x14ac:dyDescent="0.2">
      <c r="B19" s="3" t="s">
        <v>23</v>
      </c>
      <c r="C19" s="5">
        <v>70000</v>
      </c>
      <c r="D19" s="5">
        <v>63594</v>
      </c>
      <c r="E19" s="5">
        <v>1059</v>
      </c>
      <c r="F19" s="18">
        <f t="shared" si="3"/>
        <v>1.5128571428571429E-2</v>
      </c>
      <c r="G19" s="5">
        <v>63765</v>
      </c>
      <c r="H19" s="5">
        <v>888</v>
      </c>
      <c r="I19" s="10">
        <f t="shared" si="2"/>
        <v>-171</v>
      </c>
      <c r="J19" s="9">
        <f>I19/E19</f>
        <v>-0.16147308781869688</v>
      </c>
    </row>
    <row r="20" spans="2:10" x14ac:dyDescent="0.2">
      <c r="B20" s="3" t="s">
        <v>24</v>
      </c>
      <c r="C20" s="5">
        <v>200000</v>
      </c>
      <c r="D20" s="5">
        <v>152650</v>
      </c>
      <c r="E20" s="5">
        <v>8968</v>
      </c>
      <c r="F20" s="18">
        <f t="shared" si="3"/>
        <v>4.4839999999999998E-2</v>
      </c>
      <c r="G20" s="5">
        <v>154381</v>
      </c>
      <c r="H20" s="5">
        <v>7237</v>
      </c>
      <c r="I20" s="10">
        <f t="shared" si="2"/>
        <v>-1731</v>
      </c>
      <c r="J20" s="9">
        <f>I20/E20</f>
        <v>-0.19301962533452274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Tab13</vt:lpstr>
      <vt:lpstr>Sheet1</vt:lpstr>
      <vt:lpstr>Tabs 5a 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2024-10-14T16:04:19Z</dcterms:created>
  <dcterms:modified xsi:type="dcterms:W3CDTF">2024-10-17T08:27:10Z</dcterms:modified>
</cp:coreProperties>
</file>