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lp4\Bitbucket\piketty-wealth-tax\Data\"/>
    </mc:Choice>
  </mc:AlternateContent>
  <bookViews>
    <workbookView xWindow="0" yWindow="0" windowWidth="25200" windowHeight="11385" tabRatio="500" activeTab="2"/>
  </bookViews>
  <sheets>
    <sheet name="Chart1" sheetId="3" r:id="rId1"/>
    <sheet name="Chart2" sheetId="4" r:id="rId2"/>
    <sheet name="Sheet1" sheetId="1" r:id="rId3"/>
    <sheet name="Sheet2" sheetId="2" r:id="rId4"/>
  </sheets>
  <definedNames>
    <definedName name="aK">Sheet1!$AG$72</definedName>
    <definedName name="aL">Sheet1!$AD$72</definedName>
    <definedName name="bK">Sheet1!$AG$73</definedName>
    <definedName name="bL">Sheet1!$AD$73</definedName>
    <definedName name="cK">Sheet1!$AG$74</definedName>
    <definedName name="cL">Sheet1!$AD$74</definedName>
    <definedName name="dK">Sheet1!$AG$75</definedName>
    <definedName name="dL">Sheet1!$AD$75</definedName>
    <definedName name="maxK">Sheet1!$AG$76</definedName>
    <definedName name="maxL">Sheet1!$AD$76</definedName>
    <definedName name="minK">Sheet1!$AG$77</definedName>
    <definedName name="minL">Sheet1!$AD$77</definedName>
    <definedName name="solver_adj" localSheetId="2" hidden="1">Sheet1!$AG$72:$AG$75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Sheet1!$AH$72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52511" iterate="1" iterateDelta="1.0000000000000001E-5"/>
</workbook>
</file>

<file path=xl/calcChain.xml><?xml version="1.0" encoding="utf-8"?>
<calcChain xmlns="http://schemas.openxmlformats.org/spreadsheetml/2006/main">
  <c r="AB55" i="1" l="1"/>
  <c r="AB56" i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A55" i="1"/>
  <c r="AA56" i="1"/>
  <c r="AA57" i="1"/>
  <c r="AA58" i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AB54" i="1"/>
  <c r="AA54" i="1"/>
  <c r="AA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Z54" i="1"/>
  <c r="Y53" i="1"/>
  <c r="AD54" i="1" l="1"/>
  <c r="V53" i="1"/>
  <c r="H8" i="2"/>
  <c r="J8" i="2"/>
  <c r="I8" i="2" s="1"/>
  <c r="H9" i="2"/>
  <c r="I9" i="2" s="1"/>
  <c r="J9" i="2"/>
  <c r="H10" i="2"/>
  <c r="I10" i="2"/>
  <c r="W54" i="1" s="1"/>
  <c r="J10" i="2"/>
  <c r="H11" i="2"/>
  <c r="J11" i="2"/>
  <c r="I11" i="2" s="1"/>
  <c r="W55" i="1" s="1"/>
  <c r="H12" i="2"/>
  <c r="J12" i="2"/>
  <c r="I12" i="2" s="1"/>
  <c r="W56" i="1" s="1"/>
  <c r="H13" i="2"/>
  <c r="I13" i="2" s="1"/>
  <c r="W57" i="1" s="1"/>
  <c r="J13" i="2"/>
  <c r="H14" i="2"/>
  <c r="I14" i="2"/>
  <c r="W58" i="1" s="1"/>
  <c r="J14" i="2"/>
  <c r="H15" i="2"/>
  <c r="J15" i="2"/>
  <c r="I15" i="2" s="1"/>
  <c r="W59" i="1" s="1"/>
  <c r="H16" i="2"/>
  <c r="J16" i="2"/>
  <c r="I16" i="2" s="1"/>
  <c r="W60" i="1" s="1"/>
  <c r="H17" i="2"/>
  <c r="I17" i="2" s="1"/>
  <c r="W61" i="1" s="1"/>
  <c r="J17" i="2"/>
  <c r="H18" i="2"/>
  <c r="I18" i="2"/>
  <c r="W62" i="1" s="1"/>
  <c r="J18" i="2"/>
  <c r="H19" i="2"/>
  <c r="J19" i="2"/>
  <c r="I19" i="2" s="1"/>
  <c r="W63" i="1" s="1"/>
  <c r="H20" i="2"/>
  <c r="J20" i="2"/>
  <c r="I20" i="2" s="1"/>
  <c r="H21" i="2"/>
  <c r="I21" i="2" s="1"/>
  <c r="J21" i="2"/>
  <c r="H22" i="2"/>
  <c r="I22" i="2"/>
  <c r="W65" i="1" s="1"/>
  <c r="J22" i="2"/>
  <c r="H23" i="2"/>
  <c r="J23" i="2"/>
  <c r="I23" i="2" s="1"/>
  <c r="W66" i="1" s="1"/>
  <c r="H24" i="2"/>
  <c r="J24" i="2"/>
  <c r="I24" i="2" s="1"/>
  <c r="W67" i="1" s="1"/>
  <c r="H25" i="2"/>
  <c r="I25" i="2" s="1"/>
  <c r="W68" i="1" s="1"/>
  <c r="J25" i="2"/>
  <c r="H26" i="2"/>
  <c r="I26" i="2"/>
  <c r="W69" i="1" s="1"/>
  <c r="J26" i="2"/>
  <c r="H27" i="2"/>
  <c r="J27" i="2"/>
  <c r="I27" i="2" s="1"/>
  <c r="W70" i="1" s="1"/>
  <c r="H29" i="2"/>
  <c r="I29" i="2" s="1"/>
  <c r="W64" i="1" s="1"/>
  <c r="J29" i="2"/>
  <c r="I7" i="2"/>
  <c r="H7" i="2"/>
  <c r="J7" i="2"/>
  <c r="V66" i="1"/>
  <c r="V67" i="1"/>
  <c r="V69" i="1"/>
  <c r="V70" i="1"/>
  <c r="V65" i="1"/>
  <c r="V54" i="1"/>
  <c r="V55" i="1"/>
  <c r="V56" i="1"/>
  <c r="V58" i="1"/>
  <c r="V59" i="1"/>
  <c r="V60" i="1"/>
  <c r="V62" i="1"/>
  <c r="V63" i="1"/>
  <c r="F29" i="2"/>
  <c r="C29" i="2"/>
  <c r="D29" i="2"/>
  <c r="E29" i="2"/>
  <c r="B29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7" i="2"/>
  <c r="W47" i="1"/>
  <c r="U47" i="1"/>
  <c r="C47" i="1"/>
  <c r="D47" i="1"/>
  <c r="E47" i="1"/>
  <c r="F47" i="1"/>
  <c r="G47" i="1"/>
  <c r="H47" i="1"/>
  <c r="I47" i="1"/>
  <c r="J47" i="1"/>
  <c r="K47" i="1"/>
  <c r="L47" i="1"/>
  <c r="M47" i="1"/>
  <c r="N47" i="1"/>
  <c r="B47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52" i="1"/>
  <c r="AD55" i="1" l="1"/>
  <c r="AC53" i="1"/>
  <c r="AF69" i="1"/>
  <c r="AI69" i="1"/>
  <c r="AF65" i="1"/>
  <c r="AI65" i="1"/>
  <c r="AF61" i="1"/>
  <c r="AI61" i="1"/>
  <c r="AF57" i="1"/>
  <c r="AI57" i="1"/>
  <c r="AI53" i="1"/>
  <c r="AF53" i="1"/>
  <c r="AF68" i="1"/>
  <c r="AI68" i="1"/>
  <c r="AF64" i="1"/>
  <c r="AI64" i="1"/>
  <c r="AF60" i="1"/>
  <c r="AI60" i="1"/>
  <c r="AF56" i="1"/>
  <c r="AI56" i="1"/>
  <c r="AF67" i="1"/>
  <c r="AI67" i="1"/>
  <c r="AF63" i="1"/>
  <c r="AI63" i="1"/>
  <c r="AF59" i="1"/>
  <c r="AI59" i="1"/>
  <c r="AF55" i="1"/>
  <c r="AI55" i="1"/>
  <c r="AI70" i="1"/>
  <c r="AF70" i="1"/>
  <c r="AI66" i="1"/>
  <c r="AF66" i="1"/>
  <c r="AI62" i="1"/>
  <c r="AF62" i="1"/>
  <c r="AI58" i="1"/>
  <c r="AF58" i="1"/>
  <c r="AI54" i="1"/>
  <c r="AJ54" i="1" s="1"/>
  <c r="AF54" i="1"/>
  <c r="V61" i="1"/>
  <c r="V57" i="1"/>
  <c r="V64" i="1"/>
  <c r="V68" i="1"/>
  <c r="Q70" i="1"/>
  <c r="Q69" i="1"/>
  <c r="Q68" i="1"/>
  <c r="Q67" i="1"/>
  <c r="Q66" i="1"/>
  <c r="Q65" i="1"/>
  <c r="Q63" i="1"/>
  <c r="Q62" i="1"/>
  <c r="Q61" i="1"/>
  <c r="Q60" i="1"/>
  <c r="Q59" i="1"/>
  <c r="Q58" i="1"/>
  <c r="Q57" i="1"/>
  <c r="Q56" i="1"/>
  <c r="Q55" i="1"/>
  <c r="Q54" i="1"/>
  <c r="Q53" i="1"/>
  <c r="Q52" i="1"/>
  <c r="U32" i="1"/>
  <c r="E56" i="1"/>
  <c r="E55" i="1"/>
  <c r="E54" i="1"/>
  <c r="E53" i="1"/>
  <c r="E52" i="1"/>
  <c r="E51" i="1"/>
  <c r="E50" i="1"/>
  <c r="O21" i="1"/>
  <c r="P44" i="1" s="1"/>
  <c r="AL16" i="1"/>
  <c r="AJ16" i="1"/>
  <c r="AI16" i="1"/>
  <c r="AH16" i="1"/>
  <c r="AK22" i="1"/>
  <c r="AN22" i="1" s="1"/>
  <c r="AK21" i="1"/>
  <c r="AN21" i="1" s="1"/>
  <c r="AK20" i="1"/>
  <c r="AN20" i="1" s="1"/>
  <c r="AK19" i="1"/>
  <c r="AN19" i="1" s="1"/>
  <c r="AK18" i="1"/>
  <c r="AN18" i="1" s="1"/>
  <c r="AK17" i="1"/>
  <c r="AN17" i="1" s="1"/>
  <c r="AK16" i="1"/>
  <c r="AL15" i="1"/>
  <c r="AK15" i="1" s="1"/>
  <c r="AJ15" i="1"/>
  <c r="AI15" i="1"/>
  <c r="AH15" i="1"/>
  <c r="AN15" i="1" s="1"/>
  <c r="AL14" i="1"/>
  <c r="AK14" i="1"/>
  <c r="AN14" i="1" s="1"/>
  <c r="AK13" i="1"/>
  <c r="AI13" i="1"/>
  <c r="AH13" i="1"/>
  <c r="AK12" i="1"/>
  <c r="AJ12" i="1"/>
  <c r="AN12" i="1" s="1"/>
  <c r="AL11" i="1"/>
  <c r="AK11" i="1" s="1"/>
  <c r="AN11" i="1" s="1"/>
  <c r="AI11" i="1"/>
  <c r="AK10" i="1"/>
  <c r="AN10" i="1" s="1"/>
  <c r="AK9" i="1"/>
  <c r="AN9" i="1" s="1"/>
  <c r="AK8" i="1"/>
  <c r="AH8" i="1"/>
  <c r="AK7" i="1"/>
  <c r="AJ7" i="1"/>
  <c r="AN7" i="1" s="1"/>
  <c r="AL6" i="1"/>
  <c r="AK6" i="1" s="1"/>
  <c r="AI6" i="1"/>
  <c r="AK5" i="1"/>
  <c r="AN5" i="1" s="1"/>
  <c r="AK4" i="1"/>
  <c r="AN4" i="1" s="1"/>
  <c r="M16" i="1"/>
  <c r="L16" i="1" s="1"/>
  <c r="K16" i="1"/>
  <c r="J16" i="1"/>
  <c r="I16" i="1"/>
  <c r="AD16" i="1"/>
  <c r="AB16" i="1"/>
  <c r="AA16" i="1"/>
  <c r="Z16" i="1"/>
  <c r="AD15" i="1"/>
  <c r="AC15" i="1" s="1"/>
  <c r="AA15" i="1"/>
  <c r="AB15" i="1"/>
  <c r="Z15" i="1"/>
  <c r="AD14" i="1"/>
  <c r="AC14" i="1" s="1"/>
  <c r="AF14" i="1" s="1"/>
  <c r="AA36" i="1" s="1"/>
  <c r="AA13" i="1"/>
  <c r="Z13" i="1"/>
  <c r="AB12" i="1"/>
  <c r="AD11" i="1"/>
  <c r="AC11" i="1" s="1"/>
  <c r="AA11" i="1"/>
  <c r="Z8" i="1"/>
  <c r="AB7" i="1"/>
  <c r="AD6" i="1"/>
  <c r="AC6" i="1" s="1"/>
  <c r="AA6" i="1"/>
  <c r="AC22" i="1"/>
  <c r="AF22" i="1" s="1"/>
  <c r="AC21" i="1"/>
  <c r="AF21" i="1" s="1"/>
  <c r="AA45" i="1" s="1"/>
  <c r="AC20" i="1"/>
  <c r="AF20" i="1" s="1"/>
  <c r="AA44" i="1" s="1"/>
  <c r="AC19" i="1"/>
  <c r="AF19" i="1" s="1"/>
  <c r="AC18" i="1"/>
  <c r="AF18" i="1" s="1"/>
  <c r="AA42" i="1" s="1"/>
  <c r="AC17" i="1"/>
  <c r="AF17" i="1" s="1"/>
  <c r="AA41" i="1" s="1"/>
  <c r="AC16" i="1"/>
  <c r="AC13" i="1"/>
  <c r="AC12" i="1"/>
  <c r="AC10" i="1"/>
  <c r="AF10" i="1" s="1"/>
  <c r="AA32" i="1" s="1"/>
  <c r="AC9" i="1"/>
  <c r="AF9" i="1" s="1"/>
  <c r="AA31" i="1" s="1"/>
  <c r="AC8" i="1"/>
  <c r="AC7" i="1"/>
  <c r="AC5" i="1"/>
  <c r="AF5" i="1" s="1"/>
  <c r="AA27" i="1" s="1"/>
  <c r="AC4" i="1"/>
  <c r="AF4" i="1" s="1"/>
  <c r="AA26" i="1" s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1" i="1"/>
  <c r="U30" i="1"/>
  <c r="U29" i="1"/>
  <c r="U28" i="1"/>
  <c r="U27" i="1"/>
  <c r="U26" i="1"/>
  <c r="L22" i="1"/>
  <c r="O22" i="1" s="1"/>
  <c r="P45" i="1" s="1"/>
  <c r="L21" i="1"/>
  <c r="L20" i="1"/>
  <c r="O20" i="1" s="1"/>
  <c r="P43" i="1" s="1"/>
  <c r="S43" i="1" s="1"/>
  <c r="Q43" i="1"/>
  <c r="L19" i="1"/>
  <c r="O19" i="1" s="1"/>
  <c r="P42" i="1" s="1"/>
  <c r="AD42" i="1" s="1"/>
  <c r="L18" i="1"/>
  <c r="O18" i="1" s="1"/>
  <c r="P41" i="1" s="1"/>
  <c r="L17" i="1"/>
  <c r="O17" i="1" s="1"/>
  <c r="P40" i="1" s="1"/>
  <c r="M15" i="1"/>
  <c r="L15" i="1" s="1"/>
  <c r="M14" i="1"/>
  <c r="L14" i="1" s="1"/>
  <c r="O14" i="1" s="1"/>
  <c r="P36" i="1" s="1"/>
  <c r="M11" i="1"/>
  <c r="L11" i="1" s="1"/>
  <c r="M6" i="1"/>
  <c r="L6" i="1" s="1"/>
  <c r="K15" i="1"/>
  <c r="K12" i="1"/>
  <c r="O12" i="1" s="1"/>
  <c r="P34" i="1" s="1"/>
  <c r="Q34" i="1" s="1"/>
  <c r="K7" i="1"/>
  <c r="L13" i="1"/>
  <c r="L12" i="1"/>
  <c r="L10" i="1"/>
  <c r="O10" i="1" s="1"/>
  <c r="P32" i="1" s="1"/>
  <c r="L9" i="1"/>
  <c r="O9" i="1" s="1"/>
  <c r="P31" i="1" s="1"/>
  <c r="L8" i="1"/>
  <c r="L7" i="1"/>
  <c r="L5" i="1"/>
  <c r="O5" i="1" s="1"/>
  <c r="P27" i="1" s="1"/>
  <c r="L4" i="1"/>
  <c r="O4" i="1" s="1"/>
  <c r="P26" i="1" s="1"/>
  <c r="J15" i="1"/>
  <c r="J13" i="1"/>
  <c r="J11" i="1"/>
  <c r="J6" i="1"/>
  <c r="O6" i="1" s="1"/>
  <c r="P28" i="1" s="1"/>
  <c r="I15" i="1"/>
  <c r="I13" i="1"/>
  <c r="I8" i="1"/>
  <c r="O8" i="1" s="1"/>
  <c r="P30" i="1" s="1"/>
  <c r="AJ55" i="1" l="1"/>
  <c r="O11" i="1"/>
  <c r="P33" i="1" s="1"/>
  <c r="AB33" i="1" s="1"/>
  <c r="AC54" i="1"/>
  <c r="AG54" i="1" s="1"/>
  <c r="AF8" i="1"/>
  <c r="AA30" i="1" s="1"/>
  <c r="O13" i="1"/>
  <c r="P35" i="1" s="1"/>
  <c r="Q35" i="1" s="1"/>
  <c r="AG53" i="1"/>
  <c r="AD56" i="1"/>
  <c r="AJ56" i="1" s="1"/>
  <c r="AB44" i="1"/>
  <c r="S44" i="1"/>
  <c r="Q44" i="1"/>
  <c r="AD44" i="1"/>
  <c r="S36" i="1"/>
  <c r="AB36" i="1"/>
  <c r="Q36" i="1"/>
  <c r="Z26" i="1"/>
  <c r="AF7" i="1"/>
  <c r="AA29" i="1" s="1"/>
  <c r="AN6" i="1"/>
  <c r="AN8" i="1"/>
  <c r="T26" i="1"/>
  <c r="AF13" i="1"/>
  <c r="AA35" i="1" s="1"/>
  <c r="AF15" i="1"/>
  <c r="Y37" i="1" s="1"/>
  <c r="AN16" i="1"/>
  <c r="S28" i="1"/>
  <c r="AD28" i="1"/>
  <c r="Q28" i="1"/>
  <c r="AB28" i="1"/>
  <c r="S26" i="1"/>
  <c r="AB26" i="1"/>
  <c r="Q26" i="1"/>
  <c r="AD26" i="1"/>
  <c r="AD35" i="1"/>
  <c r="AB35" i="1"/>
  <c r="S45" i="1"/>
  <c r="AB45" i="1"/>
  <c r="AD45" i="1"/>
  <c r="Q45" i="1"/>
  <c r="AA43" i="1"/>
  <c r="Z42" i="1"/>
  <c r="T42" i="1"/>
  <c r="S41" i="1"/>
  <c r="Q41" i="1"/>
  <c r="AB41" i="1"/>
  <c r="AD41" i="1"/>
  <c r="AD31" i="1"/>
  <c r="Q31" i="1"/>
  <c r="S31" i="1"/>
  <c r="S32" i="1"/>
  <c r="Q32" i="1"/>
  <c r="AB32" i="1"/>
  <c r="AB40" i="1"/>
  <c r="S40" i="1"/>
  <c r="AD40" i="1"/>
  <c r="Z43" i="1"/>
  <c r="Y43" i="1"/>
  <c r="T43" i="1"/>
  <c r="S30" i="1"/>
  <c r="Q30" i="1"/>
  <c r="Z45" i="1"/>
  <c r="T45" i="1"/>
  <c r="S33" i="1"/>
  <c r="AD27" i="1"/>
  <c r="AB27" i="1"/>
  <c r="AB31" i="1"/>
  <c r="S34" i="1"/>
  <c r="AB34" i="1"/>
  <c r="AD34" i="1"/>
  <c r="O16" i="1"/>
  <c r="P47" i="1" s="1"/>
  <c r="Y45" i="1"/>
  <c r="Z41" i="1"/>
  <c r="O7" i="1"/>
  <c r="P29" i="1" s="1"/>
  <c r="S27" i="1"/>
  <c r="AD30" i="1"/>
  <c r="Q42" i="1"/>
  <c r="S42" i="1"/>
  <c r="AB42" i="1"/>
  <c r="AD43" i="1"/>
  <c r="AB43" i="1"/>
  <c r="AF6" i="1"/>
  <c r="AA28" i="1" s="1"/>
  <c r="AF11" i="1"/>
  <c r="AA33" i="1" s="1"/>
  <c r="Q27" i="1"/>
  <c r="AB30" i="1"/>
  <c r="AD32" i="1"/>
  <c r="Q40" i="1"/>
  <c r="Y42" i="1"/>
  <c r="Y41" i="1"/>
  <c r="Z27" i="1"/>
  <c r="Y27" i="1"/>
  <c r="Y26" i="1"/>
  <c r="T27" i="1"/>
  <c r="T41" i="1"/>
  <c r="Z33" i="1"/>
  <c r="AN13" i="1"/>
  <c r="Z32" i="1"/>
  <c r="Z40" i="1"/>
  <c r="O15" i="1"/>
  <c r="P37" i="1" s="1"/>
  <c r="AD36" i="1"/>
  <c r="AF12" i="1"/>
  <c r="AA34" i="1" s="1"/>
  <c r="AF16" i="1"/>
  <c r="AA40" i="1" s="1"/>
  <c r="Z36" i="1"/>
  <c r="Z44" i="1"/>
  <c r="T32" i="1"/>
  <c r="Y31" i="1"/>
  <c r="Z31" i="1"/>
  <c r="T31" i="1"/>
  <c r="T36" i="1"/>
  <c r="T40" i="1"/>
  <c r="T44" i="1"/>
  <c r="Y32" i="1"/>
  <c r="Y36" i="1"/>
  <c r="Y40" i="1"/>
  <c r="Y44" i="1"/>
  <c r="AF26" i="1" l="1"/>
  <c r="AD57" i="1"/>
  <c r="AJ57" i="1" s="1"/>
  <c r="T30" i="1"/>
  <c r="T37" i="1"/>
  <c r="AD33" i="1"/>
  <c r="AA37" i="1"/>
  <c r="Z29" i="1"/>
  <c r="T29" i="1"/>
  <c r="Q33" i="1"/>
  <c r="AF45" i="1"/>
  <c r="S35" i="1"/>
  <c r="Z38" i="1"/>
  <c r="AC55" i="1"/>
  <c r="AG55" i="1" s="1"/>
  <c r="Y29" i="1"/>
  <c r="Z30" i="1"/>
  <c r="AF32" i="1"/>
  <c r="AF43" i="1"/>
  <c r="Y28" i="1"/>
  <c r="AA47" i="1"/>
  <c r="AA38" i="1"/>
  <c r="T47" i="1"/>
  <c r="Y30" i="1"/>
  <c r="Y47" i="1"/>
  <c r="T28" i="1"/>
  <c r="AF40" i="1"/>
  <c r="T38" i="1"/>
  <c r="AF44" i="1"/>
  <c r="AF31" i="1"/>
  <c r="AF36" i="1"/>
  <c r="Z39" i="1"/>
  <c r="AF42" i="1"/>
  <c r="AF27" i="1"/>
  <c r="Y34" i="1"/>
  <c r="Y39" i="1"/>
  <c r="Z28" i="1"/>
  <c r="Z37" i="1"/>
  <c r="S47" i="1"/>
  <c r="AB47" i="1"/>
  <c r="Q47" i="1"/>
  <c r="AD47" i="1"/>
  <c r="AF41" i="1"/>
  <c r="AA39" i="1"/>
  <c r="Z47" i="1"/>
  <c r="AD37" i="1"/>
  <c r="Q37" i="1"/>
  <c r="AB37" i="1"/>
  <c r="S37" i="1"/>
  <c r="Y38" i="1"/>
  <c r="T39" i="1"/>
  <c r="T33" i="1"/>
  <c r="AF33" i="1" s="1"/>
  <c r="Z34" i="1"/>
  <c r="Z35" i="1"/>
  <c r="Y35" i="1"/>
  <c r="T35" i="1"/>
  <c r="AD29" i="1"/>
  <c r="Q29" i="1"/>
  <c r="S29" i="1"/>
  <c r="AB29" i="1"/>
  <c r="P39" i="1"/>
  <c r="P38" i="1"/>
  <c r="Y33" i="1"/>
  <c r="T34" i="1"/>
  <c r="AF30" i="1" l="1"/>
  <c r="AF28" i="1"/>
  <c r="AF47" i="1"/>
  <c r="O64" i="1" s="1"/>
  <c r="Q64" i="1" s="1"/>
  <c r="Q72" i="1" s="1"/>
  <c r="AC56" i="1"/>
  <c r="AG56" i="1" s="1"/>
  <c r="AF29" i="1"/>
  <c r="AD58" i="1"/>
  <c r="AJ58" i="1" s="1"/>
  <c r="AF34" i="1"/>
  <c r="AF35" i="1"/>
  <c r="AF37" i="1"/>
  <c r="S38" i="1"/>
  <c r="Q38" i="1"/>
  <c r="AB38" i="1"/>
  <c r="AD38" i="1"/>
  <c r="AD39" i="1"/>
  <c r="Q39" i="1"/>
  <c r="S39" i="1"/>
  <c r="AB39" i="1"/>
  <c r="AC57" i="1" l="1"/>
  <c r="AG57" i="1" s="1"/>
  <c r="AD59" i="1"/>
  <c r="AJ59" i="1" s="1"/>
  <c r="AF39" i="1"/>
  <c r="AF38" i="1"/>
  <c r="AD60" i="1" l="1"/>
  <c r="AJ60" i="1" s="1"/>
  <c r="AC58" i="1"/>
  <c r="AG58" i="1" s="1"/>
  <c r="AC59" i="1" l="1"/>
  <c r="AG59" i="1" s="1"/>
  <c r="AD61" i="1"/>
  <c r="AJ61" i="1" s="1"/>
  <c r="AD62" i="1" l="1"/>
  <c r="AJ62" i="1" s="1"/>
  <c r="AC60" i="1"/>
  <c r="AG60" i="1" s="1"/>
  <c r="AC61" i="1" l="1"/>
  <c r="AG61" i="1" s="1"/>
  <c r="AD63" i="1"/>
  <c r="AJ63" i="1" s="1"/>
  <c r="AD64" i="1" l="1"/>
  <c r="AJ64" i="1" s="1"/>
  <c r="AC62" i="1"/>
  <c r="AG62" i="1" s="1"/>
  <c r="AC63" i="1" l="1"/>
  <c r="AG63" i="1" s="1"/>
  <c r="AD65" i="1"/>
  <c r="AJ65" i="1" s="1"/>
  <c r="AD66" i="1" l="1"/>
  <c r="AJ66" i="1" s="1"/>
  <c r="AC64" i="1"/>
  <c r="AG64" i="1" s="1"/>
  <c r="AC65" i="1" l="1"/>
  <c r="AG65" i="1" s="1"/>
  <c r="AD67" i="1"/>
  <c r="AJ67" i="1" s="1"/>
  <c r="AD68" i="1" l="1"/>
  <c r="AJ68" i="1" s="1"/>
  <c r="AC66" i="1"/>
  <c r="AG66" i="1" s="1"/>
  <c r="AC67" i="1" l="1"/>
  <c r="AG67" i="1" s="1"/>
  <c r="AD70" i="1"/>
  <c r="AJ70" i="1" s="1"/>
  <c r="AD69" i="1"/>
  <c r="AJ69" i="1" s="1"/>
  <c r="AH72" i="1" l="1"/>
  <c r="AC68" i="1"/>
  <c r="AG68" i="1" s="1"/>
  <c r="AC70" i="1" l="1"/>
  <c r="AG70" i="1" s="1"/>
  <c r="AC69" i="1"/>
  <c r="AG69" i="1" s="1"/>
  <c r="AE72" i="1" l="1"/>
</calcChain>
</file>

<file path=xl/sharedStrings.xml><?xml version="1.0" encoding="utf-8"?>
<sst xmlns="http://schemas.openxmlformats.org/spreadsheetml/2006/main" count="206" uniqueCount="128">
  <si>
    <t>All returns, total</t>
  </si>
  <si>
    <t xml:space="preserve">   No adjusted gross income</t>
  </si>
  <si>
    <t xml:space="preserve">   $1 under $5,000</t>
  </si>
  <si>
    <t xml:space="preserve">   $5,000 under $10,000</t>
  </si>
  <si>
    <t xml:space="preserve">   $10,000 under $15,000</t>
  </si>
  <si>
    <t xml:space="preserve">   $15,000 under $20,000</t>
  </si>
  <si>
    <t xml:space="preserve">   $20,000 under $25,000</t>
  </si>
  <si>
    <t xml:space="preserve">   $25,000 under $30,000</t>
  </si>
  <si>
    <t xml:space="preserve">   $30,000 under $40,000</t>
  </si>
  <si>
    <t xml:space="preserve">   $40,000 under $50,000</t>
  </si>
  <si>
    <t xml:space="preserve">   $50,000 under $75,000</t>
  </si>
  <si>
    <t xml:space="preserve">   $75,000 under $100,000</t>
  </si>
  <si>
    <t xml:space="preserve">   $100,000 under $200,000</t>
  </si>
  <si>
    <t xml:space="preserve">   $200,000 under $500,000</t>
  </si>
  <si>
    <t xml:space="preserve">   $500,000 under $1,000,000</t>
  </si>
  <si>
    <t xml:space="preserve">   $1,000,000 under $1,500,000</t>
  </si>
  <si>
    <t xml:space="preserve">   $1,500,000 under $2,000,000</t>
  </si>
  <si>
    <t xml:space="preserve">   $2,000,000 under $5,000,000</t>
  </si>
  <si>
    <t xml:space="preserve">   $5,000,000 under $10,000,000</t>
  </si>
  <si>
    <t xml:space="preserve">   $10,000,000 or more</t>
  </si>
  <si>
    <t>Number of total returns</t>
  </si>
  <si>
    <t>Number, Married Joint</t>
  </si>
  <si>
    <t>Number,Married Separate</t>
  </si>
  <si>
    <t>Number, Head of Household</t>
  </si>
  <si>
    <t>Number, Surviving Spouses</t>
  </si>
  <si>
    <t>Number, Single</t>
  </si>
  <si>
    <t>Net Rental Income</t>
  </si>
  <si>
    <t>No adjusted gross income</t>
  </si>
  <si>
    <t>$1 under $5,000</t>
  </si>
  <si>
    <t>$5,000 under $10,000</t>
  </si>
  <si>
    <t>$10,000 under $15,000</t>
  </si>
  <si>
    <t>$15,000 under $20,000</t>
  </si>
  <si>
    <t>$20,000 under $25,000</t>
  </si>
  <si>
    <t>$25,000 under $30,000</t>
  </si>
  <si>
    <t>$30,000 under $40,000</t>
  </si>
  <si>
    <t>$40,000 under $50,000</t>
  </si>
  <si>
    <t>$50,000 under $75,000</t>
  </si>
  <si>
    <t>$75,000 under $100,000</t>
  </si>
  <si>
    <t>$100,000 under $200,000</t>
  </si>
  <si>
    <t>$200,000 under $250,000</t>
  </si>
  <si>
    <t>$250,000 under $500,000</t>
  </si>
  <si>
    <t>$500,000 under $1,000,000</t>
  </si>
  <si>
    <t>$1,000,000 under $1,500,000</t>
  </si>
  <si>
    <t>$1,500,000 under $2,000,000</t>
  </si>
  <si>
    <t>$2,000,000 under $5,000,000</t>
  </si>
  <si>
    <t>$5,000,000 under $10,000,000</t>
  </si>
  <si>
    <t>$10,000,000 or more</t>
  </si>
  <si>
    <t>Pensions, taxable</t>
  </si>
  <si>
    <t>Pensions, Nontaxable</t>
  </si>
  <si>
    <t>IRA Distrib</t>
  </si>
  <si>
    <t>Net gain on property sale</t>
  </si>
  <si>
    <t>Net loss on property sale</t>
  </si>
  <si>
    <t>cap gains</t>
  </si>
  <si>
    <t>capita salel loss</t>
  </si>
  <si>
    <t>cap sale gain</t>
  </si>
  <si>
    <t>qualified div</t>
  </si>
  <si>
    <t>ordinary div</t>
  </si>
  <si>
    <t>tax exempt int</t>
  </si>
  <si>
    <t>taxable int</t>
  </si>
  <si>
    <t>MTRs</t>
  </si>
  <si>
    <t>2012 Data</t>
  </si>
  <si>
    <t>Married Joint</t>
  </si>
  <si>
    <t>Married Separate</t>
  </si>
  <si>
    <t>H of H</t>
  </si>
  <si>
    <t>Survivor</t>
  </si>
  <si>
    <t>Single</t>
  </si>
  <si>
    <t>Weighted avg</t>
  </si>
  <si>
    <t>Weighted MTR</t>
  </si>
  <si>
    <t>2013 MTRs (http://www.taxpolicycenter.org/taxfacts/content/pdf/individual_rates.pdf)</t>
  </si>
  <si>
    <t>capita sale loss</t>
  </si>
  <si>
    <t>LT Cap Gains MTRS (http://taxfoundation.org/article/federal-capital-gains-tax-rates-1988-2013)</t>
  </si>
  <si>
    <t>ST Cap Gains MTRS (http://taxfoundation.org/article/federal-capital-gains-tax-rates-1988-2013)</t>
  </si>
  <si>
    <t>Weighted</t>
  </si>
  <si>
    <t>2009 Data on Short Term Gains</t>
  </si>
  <si>
    <t xml:space="preserve">  Under $20,000</t>
  </si>
  <si>
    <t xml:space="preserve">  $20,000 under $50,000</t>
  </si>
  <si>
    <t xml:space="preserve">  $50,000 under $100,000</t>
  </si>
  <si>
    <t xml:space="preserve">  $100,000 under $200,000</t>
  </si>
  <si>
    <t xml:space="preserve">  $200,000 under $500,000</t>
  </si>
  <si>
    <t xml:space="preserve">  $500,000 under $1,000,000</t>
  </si>
  <si>
    <t xml:space="preserve">  $1,000,000 or more</t>
  </si>
  <si>
    <t>ST Gains</t>
  </si>
  <si>
    <t>LT Gains</t>
  </si>
  <si>
    <t>Fraction LT</t>
  </si>
  <si>
    <t>Capital MTR</t>
  </si>
  <si>
    <t>Labor MTR</t>
  </si>
  <si>
    <t>Ratio</t>
  </si>
  <si>
    <t>Avg</t>
  </si>
  <si>
    <t>Qualified Div rate = ST Cap Gains Rate</t>
  </si>
  <si>
    <t>** Note, no accouting for corp income tax here</t>
  </si>
  <si>
    <t>$200,000 under $500,000</t>
  </si>
  <si>
    <t># returns</t>
  </si>
  <si>
    <t>total Agi</t>
  </si>
  <si>
    <t>avg Agi</t>
  </si>
  <si>
    <t>total L tax</t>
  </si>
  <si>
    <t>total K tax</t>
  </si>
  <si>
    <t>fit L</t>
  </si>
  <si>
    <t>fit K</t>
  </si>
  <si>
    <t>aL</t>
  </si>
  <si>
    <t>bL</t>
  </si>
  <si>
    <t>cL</t>
  </si>
  <si>
    <t>dL</t>
  </si>
  <si>
    <t>eff L tax</t>
  </si>
  <si>
    <t>eff K tax</t>
  </si>
  <si>
    <t>Total income</t>
  </si>
  <si>
    <t>Number of
returns</t>
  </si>
  <si>
    <t>Amount</t>
  </si>
  <si>
    <t xml:space="preserve">Table 1.4  All Returns: Sources of Income, Adjustments, and Tax Items, </t>
  </si>
  <si>
    <t>by Size of Adjusted Gross Income, Tax Year 2012</t>
  </si>
  <si>
    <t>Salaries and wages</t>
  </si>
  <si>
    <t>wage percent</t>
  </si>
  <si>
    <t>avg L income</t>
  </si>
  <si>
    <t>avg K income</t>
  </si>
  <si>
    <t>average labor income</t>
  </si>
  <si>
    <t>average capital income</t>
  </si>
  <si>
    <t>avaerage total income</t>
  </si>
  <si>
    <t>abs diff</t>
  </si>
  <si>
    <t>aK</t>
  </si>
  <si>
    <t>bK</t>
  </si>
  <si>
    <t>cK</t>
  </si>
  <si>
    <t>dK</t>
  </si>
  <si>
    <t>maxK</t>
  </si>
  <si>
    <t>maxL</t>
  </si>
  <si>
    <t>minL</t>
  </si>
  <si>
    <t>minK</t>
  </si>
  <si>
    <t>L deduc</t>
  </si>
  <si>
    <t>K deduc</t>
  </si>
  <si>
    <t>total deduc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</si>
</sst>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164" formatCode="&quot;   &quot;@"/>
    <numFmt numFmtId="165" formatCode="&quot;** &quot;#,##0;&quot;** &quot;\-#,##0;&quot;**&quot;;&quot;**&quot;@\ "/>
    <numFmt numFmtId="166" formatCode="&quot;* &quot;#,##0;&quot;* &quot;\-#,##0;&quot;*&quot;;&quot;* &quot;@"/>
    <numFmt numFmtId="167" formatCode="#,##0.000"/>
    <numFmt numFmtId="168" formatCode="0.000"/>
    <numFmt numFmtId="169" formatCode="\(#\)"/>
    <numFmt numFmtId="170" formatCode="_(&quot;$&quot;* #,##0_);_(&quot;$&quot;* \(#,##0\);_(&quot;$&quot;* &quot;-&quot;??_);_(@_)"/>
    <numFmt numFmtId="171" formatCode="&quot;$&quot;#,##0"/>
  </numFmts>
  <fonts count="11" x14ac:knownFonts="1"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2"/>
      <color theme="1"/>
      <name val="Calibri"/>
      <family val="2"/>
      <scheme val="minor"/>
    </font>
    <font>
      <sz val="10"/>
      <name val="MS Sans Serif"/>
    </font>
    <font>
      <b/>
      <sz val="12"/>
      <color rgb="FFFF0000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/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49" fontId="1" fillId="0" borderId="1" xfId="0" applyNumberFormat="1" applyFont="1" applyBorder="1"/>
    <xf numFmtId="3" fontId="1" fillId="0" borderId="2" xfId="0" applyNumberFormat="1" applyFont="1" applyBorder="1" applyAlignment="1">
      <alignment horizontal="right"/>
    </xf>
    <xf numFmtId="164" fontId="2" fillId="0" borderId="1" xfId="0" applyNumberFormat="1" applyFont="1" applyBorder="1"/>
    <xf numFmtId="3" fontId="2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49" fontId="1" fillId="0" borderId="6" xfId="0" applyNumberFormat="1" applyFont="1" applyFill="1" applyBorder="1"/>
    <xf numFmtId="164" fontId="2" fillId="0" borderId="7" xfId="0" applyNumberFormat="1" applyFont="1" applyFill="1" applyBorder="1"/>
    <xf numFmtId="3" fontId="1" fillId="0" borderId="4" xfId="3" applyNumberFormat="1" applyFont="1" applyFill="1" applyBorder="1" applyAlignment="1">
      <alignment horizontal="right"/>
    </xf>
    <xf numFmtId="3" fontId="2" fillId="0" borderId="5" xfId="3" applyNumberFormat="1" applyFont="1" applyFill="1" applyBorder="1" applyAlignment="1">
      <alignment horizontal="right"/>
    </xf>
    <xf numFmtId="167" fontId="2" fillId="2" borderId="8" xfId="0" applyNumberFormat="1" applyFont="1" applyFill="1" applyBorder="1" applyAlignment="1">
      <alignment horizontal="right"/>
    </xf>
    <xf numFmtId="168" fontId="0" fillId="0" borderId="0" xfId="0" applyNumberFormat="1"/>
    <xf numFmtId="0" fontId="2" fillId="0" borderId="5" xfId="0" applyFont="1" applyBorder="1"/>
    <xf numFmtId="0" fontId="2" fillId="0" borderId="9" xfId="0" applyFont="1" applyBorder="1"/>
    <xf numFmtId="3" fontId="6" fillId="3" borderId="5" xfId="0" applyNumberFormat="1" applyFont="1" applyFill="1" applyBorder="1" applyAlignment="1">
      <alignment horizontal="right"/>
    </xf>
    <xf numFmtId="3" fontId="6" fillId="3" borderId="9" xfId="0" applyNumberFormat="1" applyFont="1" applyFill="1" applyBorder="1" applyAlignment="1">
      <alignment horizontal="right"/>
    </xf>
    <xf numFmtId="49" fontId="1" fillId="0" borderId="6" xfId="166" applyNumberFormat="1" applyFont="1" applyBorder="1"/>
    <xf numFmtId="3" fontId="1" fillId="0" borderId="4" xfId="166" applyNumberFormat="1" applyFont="1" applyBorder="1" applyAlignment="1">
      <alignment horizontal="right"/>
    </xf>
    <xf numFmtId="164" fontId="2" fillId="0" borderId="7" xfId="166" applyNumberFormat="1" applyFont="1" applyBorder="1"/>
    <xf numFmtId="3" fontId="2" fillId="0" borderId="5" xfId="166" applyNumberFormat="1" applyFont="1" applyBorder="1" applyAlignment="1">
      <alignment horizontal="right"/>
    </xf>
    <xf numFmtId="44" fontId="0" fillId="0" borderId="0" xfId="164" applyFont="1"/>
    <xf numFmtId="3" fontId="1" fillId="0" borderId="4" xfId="166" applyNumberFormat="1" applyFont="1" applyBorder="1" applyAlignment="1">
      <alignment horizontal="right"/>
    </xf>
    <xf numFmtId="164" fontId="2" fillId="0" borderId="7" xfId="166" applyNumberFormat="1" applyFont="1" applyBorder="1"/>
    <xf numFmtId="3" fontId="2" fillId="0" borderId="5" xfId="166" applyNumberFormat="1" applyFont="1" applyBorder="1" applyAlignment="1">
      <alignment horizontal="right"/>
    </xf>
    <xf numFmtId="3" fontId="0" fillId="0" borderId="0" xfId="0" applyNumberFormat="1"/>
    <xf numFmtId="49" fontId="1" fillId="0" borderId="6" xfId="166" applyNumberFormat="1" applyFont="1" applyFill="1" applyBorder="1"/>
    <xf numFmtId="164" fontId="2" fillId="0" borderId="7" xfId="166" applyNumberFormat="1" applyFont="1" applyFill="1" applyBorder="1"/>
    <xf numFmtId="169" fontId="2" fillId="0" borderId="11" xfId="166" applyNumberFormat="1" applyFont="1" applyFill="1" applyBorder="1" applyAlignment="1">
      <alignment horizontal="centerContinuous" vertical="center"/>
    </xf>
    <xf numFmtId="3" fontId="1" fillId="0" borderId="4" xfId="3" applyNumberFormat="1" applyFont="1" applyFill="1" applyBorder="1" applyAlignment="1">
      <alignment horizontal="right"/>
    </xf>
    <xf numFmtId="164" fontId="2" fillId="0" borderId="7" xfId="166" applyNumberFormat="1" applyFont="1" applyFill="1" applyBorder="1"/>
    <xf numFmtId="3" fontId="2" fillId="0" borderId="5" xfId="3" applyNumberFormat="1" applyFont="1" applyFill="1" applyBorder="1" applyAlignment="1">
      <alignment horizontal="right"/>
    </xf>
    <xf numFmtId="169" fontId="2" fillId="0" borderId="11" xfId="0" applyNumberFormat="1" applyFont="1" applyFill="1" applyBorder="1" applyAlignment="1">
      <alignment horizontal="centerContinuous" vertical="center"/>
    </xf>
    <xf numFmtId="10" fontId="0" fillId="0" borderId="0" xfId="165" applyNumberFormat="1" applyFont="1"/>
    <xf numFmtId="171" fontId="0" fillId="0" borderId="0" xfId="164" applyNumberFormat="1" applyFont="1"/>
    <xf numFmtId="171" fontId="0" fillId="0" borderId="0" xfId="0" applyNumberFormat="1"/>
    <xf numFmtId="170" fontId="0" fillId="0" borderId="0" xfId="0" applyNumberFormat="1"/>
    <xf numFmtId="0" fontId="0" fillId="0" borderId="0" xfId="0" applyNumberFormat="1"/>
    <xf numFmtId="0" fontId="9" fillId="0" borderId="0" xfId="0" applyFont="1"/>
    <xf numFmtId="0" fontId="0" fillId="0" borderId="0" xfId="164" applyNumberFormat="1" applyFont="1"/>
    <xf numFmtId="0" fontId="9" fillId="0" borderId="0" xfId="0" applyNumberFormat="1" applyFont="1"/>
    <xf numFmtId="0" fontId="0" fillId="0" borderId="0" xfId="165" applyNumberFormat="1" applyFont="1"/>
    <xf numFmtId="0" fontId="2" fillId="0" borderId="5" xfId="166" applyNumberFormat="1" applyFont="1" applyBorder="1" applyAlignment="1">
      <alignment horizontal="right"/>
    </xf>
    <xf numFmtId="0" fontId="10" fillId="0" borderId="0" xfId="0" applyNumberFormat="1" applyFont="1"/>
    <xf numFmtId="11" fontId="10" fillId="0" borderId="0" xfId="0" applyNumberFormat="1" applyFont="1"/>
    <xf numFmtId="0" fontId="2" fillId="0" borderId="17" xfId="166" applyFont="1" applyFill="1" applyBorder="1" applyAlignment="1">
      <alignment horizontal="center" vertical="center"/>
    </xf>
    <xf numFmtId="0" fontId="2" fillId="0" borderId="14" xfId="166" applyFont="1" applyFill="1" applyBorder="1" applyAlignment="1">
      <alignment horizontal="center" vertical="center"/>
    </xf>
    <xf numFmtId="0" fontId="2" fillId="0" borderId="8" xfId="166" applyFont="1" applyFill="1" applyBorder="1" applyAlignment="1">
      <alignment horizontal="center" vertical="center"/>
    </xf>
    <xf numFmtId="0" fontId="2" fillId="0" borderId="15" xfId="166" applyFont="1" applyFill="1" applyBorder="1" applyAlignment="1">
      <alignment horizontal="center" vertical="center"/>
    </xf>
    <xf numFmtId="0" fontId="2" fillId="0" borderId="10" xfId="166" applyFont="1" applyFill="1" applyBorder="1" applyAlignment="1">
      <alignment horizontal="center" vertical="center"/>
    </xf>
    <xf numFmtId="0" fontId="2" fillId="0" borderId="16" xfId="166" applyFont="1" applyFill="1" applyBorder="1" applyAlignment="1">
      <alignment horizontal="center" vertical="center"/>
    </xf>
    <xf numFmtId="0" fontId="2" fillId="0" borderId="12" xfId="166" applyFont="1" applyFill="1" applyBorder="1" applyAlignment="1">
      <alignment horizontal="center" vertical="center" wrapText="1"/>
    </xf>
    <xf numFmtId="0" fontId="2" fillId="0" borderId="13" xfId="166" applyFont="1" applyFill="1" applyBorder="1" applyAlignment="1">
      <alignment horizontal="center" vertical="center" wrapText="1"/>
    </xf>
    <xf numFmtId="3" fontId="2" fillId="0" borderId="12" xfId="166" applyNumberFormat="1" applyFont="1" applyFill="1" applyBorder="1" applyAlignment="1">
      <alignment horizontal="center" vertical="center"/>
    </xf>
    <xf numFmtId="3" fontId="2" fillId="0" borderId="13" xfId="166" applyNumberFormat="1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3" fontId="2" fillId="0" borderId="12" xfId="0" applyNumberFormat="1" applyFont="1" applyFill="1" applyBorder="1" applyAlignment="1">
      <alignment horizontal="center" vertical="center"/>
    </xf>
    <xf numFmtId="3" fontId="2" fillId="0" borderId="13" xfId="0" applyNumberFormat="1" applyFont="1" applyFill="1" applyBorder="1" applyAlignment="1">
      <alignment horizontal="center" vertical="center"/>
    </xf>
    <xf numFmtId="3" fontId="2" fillId="0" borderId="0" xfId="166" applyNumberFormat="1" applyFont="1" applyBorder="1" applyAlignment="1">
      <alignment horizontal="right"/>
    </xf>
    <xf numFmtId="0" fontId="2" fillId="0" borderId="0" xfId="166" applyNumberFormat="1" applyFont="1" applyBorder="1" applyAlignment="1">
      <alignment horizontal="right"/>
    </xf>
  </cellXfs>
  <cellStyles count="167">
    <cellStyle name="Currency" xfId="164" builtinId="4"/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  <cellStyle name="Normal 2" xfId="166"/>
    <cellStyle name="Normal_TBL14" xfId="3"/>
    <cellStyle name="Percent" xfId="16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labor tax data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Sheet1!$AC$53:$AC$70</c:f>
              <c:numCache>
                <c:formatCode>0.00%</c:formatCode>
                <c:ptCount val="18"/>
                <c:pt idx="0">
                  <c:v>2.310538863166451E-2</c:v>
                </c:pt>
                <c:pt idx="1">
                  <c:v>4.1226380004809306E-2</c:v>
                </c:pt>
                <c:pt idx="2">
                  <c:v>5.6165515469036233E-2</c:v>
                </c:pt>
                <c:pt idx="3">
                  <c:v>6.8365773745441477E-2</c:v>
                </c:pt>
                <c:pt idx="4">
                  <c:v>7.8841975994633356E-2</c:v>
                </c:pt>
                <c:pt idx="5">
                  <c:v>8.6623826908251544E-2</c:v>
                </c:pt>
                <c:pt idx="6">
                  <c:v>9.7674075363951507E-2</c:v>
                </c:pt>
                <c:pt idx="7">
                  <c:v>0.11295861447552552</c:v>
                </c:pt>
                <c:pt idx="8">
                  <c:v>0.12719375570220121</c:v>
                </c:pt>
                <c:pt idx="9">
                  <c:v>0.14996436690622594</c:v>
                </c:pt>
                <c:pt idx="10">
                  <c:v>0.177311110762855</c:v>
                </c:pt>
                <c:pt idx="11">
                  <c:v>0.24444005752869466</c:v>
                </c:pt>
                <c:pt idx="12">
                  <c:v>0.31541708646836958</c:v>
                </c:pt>
                <c:pt idx="13">
                  <c:v>0.33056700673562722</c:v>
                </c:pt>
                <c:pt idx="14">
                  <c:v>0.3321536633865903</c:v>
                </c:pt>
                <c:pt idx="15">
                  <c:v>0.34673112941816314</c:v>
                </c:pt>
                <c:pt idx="16">
                  <c:v>0.36318585930412389</c:v>
                </c:pt>
                <c:pt idx="17">
                  <c:v>0.37299612466344162</c:v>
                </c:pt>
              </c:numCache>
            </c:numRef>
          </c:yVal>
          <c:smooth val="0"/>
        </c:ser>
        <c:ser>
          <c:idx val="2"/>
          <c:order val="1"/>
          <c:tx>
            <c:v>labor tax fitted</c:v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Sheet1!$AF$53:$AF$70</c:f>
              <c:numCache>
                <c:formatCode>0.00%</c:formatCode>
                <c:ptCount val="18"/>
                <c:pt idx="0">
                  <c:v>2.9572915139409597E-2</c:v>
                </c:pt>
                <c:pt idx="1">
                  <c:v>4.1271551151809416E-2</c:v>
                </c:pt>
                <c:pt idx="2">
                  <c:v>5.2018637306115625E-2</c:v>
                </c:pt>
                <c:pt idx="3">
                  <c:v>6.2145244195281377E-2</c:v>
                </c:pt>
                <c:pt idx="4">
                  <c:v>7.1751326067323956E-2</c:v>
                </c:pt>
                <c:pt idx="5">
                  <c:v>8.0848621816613203E-2</c:v>
                </c:pt>
                <c:pt idx="6">
                  <c:v>9.321271100373521E-2</c:v>
                </c:pt>
                <c:pt idx="7">
                  <c:v>0.10842768989938172</c:v>
                </c:pt>
                <c:pt idx="8">
                  <c:v>0.13059636014342024</c:v>
                </c:pt>
                <c:pt idx="9">
                  <c:v>0.15739099188036848</c:v>
                </c:pt>
                <c:pt idx="10">
                  <c:v>0.1951102466822866</c:v>
                </c:pt>
                <c:pt idx="11">
                  <c:v>0.25858605221653452</c:v>
                </c:pt>
                <c:pt idx="12">
                  <c:v>0.31348789701681073</c:v>
                </c:pt>
                <c:pt idx="13">
                  <c:v>0.33696467261073348</c:v>
                </c:pt>
                <c:pt idx="14">
                  <c:v>0.34688188641945911</c:v>
                </c:pt>
                <c:pt idx="15">
                  <c:v>0.35742185789500774</c:v>
                </c:pt>
                <c:pt idx="16">
                  <c:v>0.36604049192677085</c:v>
                </c:pt>
                <c:pt idx="17">
                  <c:v>0.37143585962460396</c:v>
                </c:pt>
              </c:numCache>
            </c:numRef>
          </c:yVal>
          <c:smooth val="0"/>
        </c:ser>
        <c:ser>
          <c:idx val="1"/>
          <c:order val="2"/>
          <c:tx>
            <c:v>capital tax data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Sheet1!$U$54:$U$70</c:f>
              <c:numCache>
                <c:formatCode>_("$"* #,##0.00_);_("$"* \(#,##0.00\);_("$"* "-"??_);_(@_)</c:formatCode>
                <c:ptCount val="17"/>
                <c:pt idx="0">
                  <c:v>7603.3426617110445</c:v>
                </c:pt>
                <c:pt idx="1">
                  <c:v>12505.27620226165</c:v>
                </c:pt>
                <c:pt idx="2">
                  <c:v>17434.355914100874</c:v>
                </c:pt>
                <c:pt idx="3">
                  <c:v>22416.345859766752</c:v>
                </c:pt>
                <c:pt idx="4">
                  <c:v>27436.516197873258</c:v>
                </c:pt>
                <c:pt idx="5">
                  <c:v>34782.761609593479</c:v>
                </c:pt>
                <c:pt idx="6">
                  <c:v>44765.236067448051</c:v>
                </c:pt>
                <c:pt idx="7">
                  <c:v>61553.096118058478</c:v>
                </c:pt>
                <c:pt idx="8">
                  <c:v>86452.042900915083</c:v>
                </c:pt>
                <c:pt idx="9">
                  <c:v>134214.26154662648</c:v>
                </c:pt>
                <c:pt idx="10">
                  <c:v>285681.09285450174</c:v>
                </c:pt>
                <c:pt idx="11">
                  <c:v>677280.37995600177</c:v>
                </c:pt>
                <c:pt idx="12">
                  <c:v>1208952.5184017755</c:v>
                </c:pt>
                <c:pt idx="13">
                  <c:v>1720703.4254389626</c:v>
                </c:pt>
                <c:pt idx="14">
                  <c:v>2978820.8900675657</c:v>
                </c:pt>
                <c:pt idx="15">
                  <c:v>6839675.5990724042</c:v>
                </c:pt>
                <c:pt idx="16">
                  <c:v>30911333.389878429</c:v>
                </c:pt>
              </c:numCache>
            </c:numRef>
          </c:xVal>
          <c:yVal>
            <c:numRef>
              <c:f>Sheet1!$AD$54:$AD$70</c:f>
              <c:numCache>
                <c:formatCode>0.00%</c:formatCode>
                <c:ptCount val="17"/>
                <c:pt idx="0">
                  <c:v>2.7282740371824366E-2</c:v>
                </c:pt>
                <c:pt idx="1">
                  <c:v>3.7906881424062497E-2</c:v>
                </c:pt>
                <c:pt idx="2">
                  <c:v>4.4157871856696833E-2</c:v>
                </c:pt>
                <c:pt idx="3">
                  <c:v>4.936823400599398E-2</c:v>
                </c:pt>
                <c:pt idx="4">
                  <c:v>5.3477650148958999E-2</c:v>
                </c:pt>
                <c:pt idx="5">
                  <c:v>6.1131075928576972E-2</c:v>
                </c:pt>
                <c:pt idx="6">
                  <c:v>7.2706986408772406E-2</c:v>
                </c:pt>
                <c:pt idx="7">
                  <c:v>8.5748587063992604E-2</c:v>
                </c:pt>
                <c:pt idx="8">
                  <c:v>0.10535251104675479</c:v>
                </c:pt>
                <c:pt idx="9">
                  <c:v>0.12662975672890431</c:v>
                </c:pt>
                <c:pt idx="10">
                  <c:v>0.20061622250266173</c:v>
                </c:pt>
                <c:pt idx="11">
                  <c:v>0.27052424679392889</c:v>
                </c:pt>
                <c:pt idx="12">
                  <c:v>0.27951559705130402</c:v>
                </c:pt>
                <c:pt idx="13">
                  <c:v>0.27666708219481356</c:v>
                </c:pt>
                <c:pt idx="14">
                  <c:v>0.2852010241883926</c:v>
                </c:pt>
                <c:pt idx="15">
                  <c:v>0.29193807937567656</c:v>
                </c:pt>
                <c:pt idx="16">
                  <c:v>0.30122935310862597</c:v>
                </c:pt>
              </c:numCache>
            </c:numRef>
          </c:yVal>
          <c:smooth val="0"/>
        </c:ser>
        <c:ser>
          <c:idx val="3"/>
          <c:order val="3"/>
          <c:tx>
            <c:v>capital tax fitted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Sheet1!$U$54:$U$70</c:f>
              <c:numCache>
                <c:formatCode>_("$"* #,##0.00_);_("$"* \(#,##0.00\);_("$"* "-"??_);_(@_)</c:formatCode>
                <c:ptCount val="17"/>
                <c:pt idx="0">
                  <c:v>7603.3426617110445</c:v>
                </c:pt>
                <c:pt idx="1">
                  <c:v>12505.27620226165</c:v>
                </c:pt>
                <c:pt idx="2">
                  <c:v>17434.355914100874</c:v>
                </c:pt>
                <c:pt idx="3">
                  <c:v>22416.345859766752</c:v>
                </c:pt>
                <c:pt idx="4">
                  <c:v>27436.516197873258</c:v>
                </c:pt>
                <c:pt idx="5">
                  <c:v>34782.761609593479</c:v>
                </c:pt>
                <c:pt idx="6">
                  <c:v>44765.236067448051</c:v>
                </c:pt>
                <c:pt idx="7">
                  <c:v>61553.096118058478</c:v>
                </c:pt>
                <c:pt idx="8">
                  <c:v>86452.042900915083</c:v>
                </c:pt>
                <c:pt idx="9">
                  <c:v>134214.26154662648</c:v>
                </c:pt>
                <c:pt idx="10">
                  <c:v>285681.09285450174</c:v>
                </c:pt>
                <c:pt idx="11">
                  <c:v>677280.37995600177</c:v>
                </c:pt>
                <c:pt idx="12">
                  <c:v>1208952.5184017755</c:v>
                </c:pt>
                <c:pt idx="13">
                  <c:v>1720703.4254389626</c:v>
                </c:pt>
                <c:pt idx="14">
                  <c:v>2978820.8900675657</c:v>
                </c:pt>
                <c:pt idx="15">
                  <c:v>6839675.5990724042</c:v>
                </c:pt>
                <c:pt idx="16">
                  <c:v>30911333.389878429</c:v>
                </c:pt>
              </c:numCache>
            </c:numRef>
          </c:xVal>
          <c:yVal>
            <c:numRef>
              <c:f>Sheet1!$AI$54:$AI$70</c:f>
              <c:numCache>
                <c:formatCode>0.00%</c:formatCode>
                <c:ptCount val="17"/>
                <c:pt idx="0">
                  <c:v>2.8513914130141871E-2</c:v>
                </c:pt>
                <c:pt idx="1">
                  <c:v>3.3895972648704538E-2</c:v>
                </c:pt>
                <c:pt idx="2">
                  <c:v>3.9220150402324627E-2</c:v>
                </c:pt>
                <c:pt idx="3">
                  <c:v>4.4509913990011377E-2</c:v>
                </c:pt>
                <c:pt idx="4">
                  <c:v>4.9745261062769094E-2</c:v>
                </c:pt>
                <c:pt idx="5">
                  <c:v>5.7231651470350059E-2</c:v>
                </c:pt>
                <c:pt idx="6">
                  <c:v>6.7067164298197854E-2</c:v>
                </c:pt>
                <c:pt idx="7">
                  <c:v>8.2724892727101609E-2</c:v>
                </c:pt>
                <c:pt idx="8">
                  <c:v>0.10393590091637751</c:v>
                </c:pt>
                <c:pt idx="9">
                  <c:v>0.13836187168954217</c:v>
                </c:pt>
                <c:pt idx="10">
                  <c:v>0.20729933597439312</c:v>
                </c:pt>
                <c:pt idx="11">
                  <c:v>0.26800672230656314</c:v>
                </c:pt>
                <c:pt idx="12">
                  <c:v>0.28779927420616441</c:v>
                </c:pt>
                <c:pt idx="13">
                  <c:v>0.29390547264553329</c:v>
                </c:pt>
                <c:pt idx="14">
                  <c:v>0.29851578402489554</c:v>
                </c:pt>
                <c:pt idx="15">
                  <c:v>0.3006511333401079</c:v>
                </c:pt>
                <c:pt idx="16">
                  <c:v>0.30117189899702912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72704"/>
        <c:axId val="247912032"/>
      </c:scatterChart>
      <c:valAx>
        <c:axId val="246272704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2032"/>
        <c:crosses val="autoZero"/>
        <c:crossBetween val="midCat"/>
      </c:valAx>
      <c:valAx>
        <c:axId val="2479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6786225001612"/>
          <c:y val="0.67828235106975265"/>
          <c:w val="0.190978378641049"/>
          <c:h val="0.185203849518810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labor tax data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Sheet1!$AC$53:$AC$70</c:f>
              <c:numCache>
                <c:formatCode>0.00%</c:formatCode>
                <c:ptCount val="18"/>
                <c:pt idx="0">
                  <c:v>2.310538863166451E-2</c:v>
                </c:pt>
                <c:pt idx="1">
                  <c:v>4.1226380004809306E-2</c:v>
                </c:pt>
                <c:pt idx="2">
                  <c:v>5.6165515469036233E-2</c:v>
                </c:pt>
                <c:pt idx="3">
                  <c:v>6.8365773745441477E-2</c:v>
                </c:pt>
                <c:pt idx="4">
                  <c:v>7.8841975994633356E-2</c:v>
                </c:pt>
                <c:pt idx="5">
                  <c:v>8.6623826908251544E-2</c:v>
                </c:pt>
                <c:pt idx="6">
                  <c:v>9.7674075363951507E-2</c:v>
                </c:pt>
                <c:pt idx="7">
                  <c:v>0.11295861447552552</c:v>
                </c:pt>
                <c:pt idx="8">
                  <c:v>0.12719375570220121</c:v>
                </c:pt>
                <c:pt idx="9">
                  <c:v>0.14996436690622594</c:v>
                </c:pt>
                <c:pt idx="10">
                  <c:v>0.177311110762855</c:v>
                </c:pt>
                <c:pt idx="11">
                  <c:v>0.24444005752869466</c:v>
                </c:pt>
                <c:pt idx="12">
                  <c:v>0.31541708646836958</c:v>
                </c:pt>
                <c:pt idx="13">
                  <c:v>0.33056700673562722</c:v>
                </c:pt>
                <c:pt idx="14">
                  <c:v>0.3321536633865903</c:v>
                </c:pt>
                <c:pt idx="15">
                  <c:v>0.34673112941816314</c:v>
                </c:pt>
                <c:pt idx="16">
                  <c:v>0.36318585930412389</c:v>
                </c:pt>
                <c:pt idx="17">
                  <c:v>0.37299612466344162</c:v>
                </c:pt>
              </c:numCache>
            </c:numRef>
          </c:yVal>
          <c:smooth val="0"/>
        </c:ser>
        <c:ser>
          <c:idx val="2"/>
          <c:order val="1"/>
          <c:tx>
            <c:v>labor tax fitted</c:v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Sheet1!$AF$53:$AF$70</c:f>
              <c:numCache>
                <c:formatCode>0.00%</c:formatCode>
                <c:ptCount val="18"/>
                <c:pt idx="0">
                  <c:v>2.9572915139409597E-2</c:v>
                </c:pt>
                <c:pt idx="1">
                  <c:v>4.1271551151809416E-2</c:v>
                </c:pt>
                <c:pt idx="2">
                  <c:v>5.2018637306115625E-2</c:v>
                </c:pt>
                <c:pt idx="3">
                  <c:v>6.2145244195281377E-2</c:v>
                </c:pt>
                <c:pt idx="4">
                  <c:v>7.1751326067323956E-2</c:v>
                </c:pt>
                <c:pt idx="5">
                  <c:v>8.0848621816613203E-2</c:v>
                </c:pt>
                <c:pt idx="6">
                  <c:v>9.321271100373521E-2</c:v>
                </c:pt>
                <c:pt idx="7">
                  <c:v>0.10842768989938172</c:v>
                </c:pt>
                <c:pt idx="8">
                  <c:v>0.13059636014342024</c:v>
                </c:pt>
                <c:pt idx="9">
                  <c:v>0.15739099188036848</c:v>
                </c:pt>
                <c:pt idx="10">
                  <c:v>0.1951102466822866</c:v>
                </c:pt>
                <c:pt idx="11">
                  <c:v>0.25858605221653452</c:v>
                </c:pt>
                <c:pt idx="12">
                  <c:v>0.31348789701681073</c:v>
                </c:pt>
                <c:pt idx="13">
                  <c:v>0.33696467261073348</c:v>
                </c:pt>
                <c:pt idx="14">
                  <c:v>0.34688188641945911</c:v>
                </c:pt>
                <c:pt idx="15">
                  <c:v>0.35742185789500774</c:v>
                </c:pt>
                <c:pt idx="16">
                  <c:v>0.36604049192677085</c:v>
                </c:pt>
                <c:pt idx="17">
                  <c:v>0.37143585962460396</c:v>
                </c:pt>
              </c:numCache>
            </c:numRef>
          </c:yVal>
          <c:smooth val="0"/>
        </c:ser>
        <c:ser>
          <c:idx val="1"/>
          <c:order val="2"/>
          <c:tx>
            <c:v>capital tax data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Sheet1!$AD$53:$AD$70</c:f>
              <c:numCache>
                <c:formatCode>0.00%</c:formatCode>
                <c:ptCount val="18"/>
                <c:pt idx="0">
                  <c:v>0</c:v>
                </c:pt>
                <c:pt idx="1">
                  <c:v>2.7282740371824366E-2</c:v>
                </c:pt>
                <c:pt idx="2">
                  <c:v>3.7906881424062497E-2</c:v>
                </c:pt>
                <c:pt idx="3">
                  <c:v>4.4157871856696833E-2</c:v>
                </c:pt>
                <c:pt idx="4">
                  <c:v>4.936823400599398E-2</c:v>
                </c:pt>
                <c:pt idx="5">
                  <c:v>5.3477650148958999E-2</c:v>
                </c:pt>
                <c:pt idx="6">
                  <c:v>6.1131075928576972E-2</c:v>
                </c:pt>
                <c:pt idx="7">
                  <c:v>7.2706986408772406E-2</c:v>
                </c:pt>
                <c:pt idx="8">
                  <c:v>8.5748587063992604E-2</c:v>
                </c:pt>
                <c:pt idx="9">
                  <c:v>0.10535251104675479</c:v>
                </c:pt>
                <c:pt idx="10">
                  <c:v>0.12662975672890431</c:v>
                </c:pt>
                <c:pt idx="11">
                  <c:v>0.20061622250266173</c:v>
                </c:pt>
                <c:pt idx="12">
                  <c:v>0.27052424679392889</c:v>
                </c:pt>
                <c:pt idx="13">
                  <c:v>0.27951559705130402</c:v>
                </c:pt>
                <c:pt idx="14">
                  <c:v>0.27666708219481356</c:v>
                </c:pt>
                <c:pt idx="15">
                  <c:v>0.2852010241883926</c:v>
                </c:pt>
                <c:pt idx="16">
                  <c:v>0.29193807937567656</c:v>
                </c:pt>
                <c:pt idx="17">
                  <c:v>0.30122935310862597</c:v>
                </c:pt>
              </c:numCache>
            </c:numRef>
          </c:yVal>
          <c:smooth val="0"/>
        </c:ser>
        <c:ser>
          <c:idx val="3"/>
          <c:order val="3"/>
          <c:tx>
            <c:v>capital tax fitted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Sheet1!$AI$53:$AI$70</c:f>
              <c:numCache>
                <c:formatCode>0.00%</c:formatCode>
                <c:ptCount val="18"/>
                <c:pt idx="0">
                  <c:v>2.2951657075193622E-2</c:v>
                </c:pt>
                <c:pt idx="1">
                  <c:v>2.8513914130141871E-2</c:v>
                </c:pt>
                <c:pt idx="2">
                  <c:v>3.3895972648704538E-2</c:v>
                </c:pt>
                <c:pt idx="3">
                  <c:v>3.9220150402324627E-2</c:v>
                </c:pt>
                <c:pt idx="4">
                  <c:v>4.4509913990011377E-2</c:v>
                </c:pt>
                <c:pt idx="5">
                  <c:v>4.9745261062769094E-2</c:v>
                </c:pt>
                <c:pt idx="6">
                  <c:v>5.7231651470350059E-2</c:v>
                </c:pt>
                <c:pt idx="7">
                  <c:v>6.7067164298197854E-2</c:v>
                </c:pt>
                <c:pt idx="8">
                  <c:v>8.2724892727101609E-2</c:v>
                </c:pt>
                <c:pt idx="9">
                  <c:v>0.10393590091637751</c:v>
                </c:pt>
                <c:pt idx="10">
                  <c:v>0.13836187168954217</c:v>
                </c:pt>
                <c:pt idx="11">
                  <c:v>0.20729933597439312</c:v>
                </c:pt>
                <c:pt idx="12">
                  <c:v>0.26800672230656314</c:v>
                </c:pt>
                <c:pt idx="13">
                  <c:v>0.28779927420616441</c:v>
                </c:pt>
                <c:pt idx="14">
                  <c:v>0.29390547264553329</c:v>
                </c:pt>
                <c:pt idx="15">
                  <c:v>0.29851578402489554</c:v>
                </c:pt>
                <c:pt idx="16">
                  <c:v>0.3006511333401079</c:v>
                </c:pt>
                <c:pt idx="17">
                  <c:v>0.30117189899702912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61168"/>
        <c:axId val="333461560"/>
      </c:scatterChart>
      <c:valAx>
        <c:axId val="333461168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1560"/>
        <c:crosses val="autoZero"/>
        <c:crossBetween val="midCat"/>
        <c:majorUnit val="1000000"/>
      </c:valAx>
      <c:valAx>
        <c:axId val="33346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6786225001612"/>
          <c:y val="0.67828235106975265"/>
          <c:w val="0.190978378641049"/>
          <c:h val="0.185203849518810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Sheet1!$O$4:$O$22</c:f>
              <c:numCache>
                <c:formatCode>0.000</c:formatCode>
                <c:ptCount val="19"/>
                <c:pt idx="0">
                  <c:v>0.1</c:v>
                </c:pt>
                <c:pt idx="1">
                  <c:v>0.1</c:v>
                </c:pt>
                <c:pt idx="2">
                  <c:v>0.10814226513099788</c:v>
                </c:pt>
                <c:pt idx="3">
                  <c:v>0.13694311288175479</c:v>
                </c:pt>
                <c:pt idx="4">
                  <c:v>0.14284918839165817</c:v>
                </c:pt>
                <c:pt idx="5">
                  <c:v>0.15</c:v>
                </c:pt>
                <c:pt idx="6">
                  <c:v>0.15</c:v>
                </c:pt>
                <c:pt idx="7">
                  <c:v>0.16896089799352315</c:v>
                </c:pt>
                <c:pt idx="8">
                  <c:v>0.20095887175545407</c:v>
                </c:pt>
                <c:pt idx="9">
                  <c:v>0.20501069059260102</c:v>
                </c:pt>
                <c:pt idx="10">
                  <c:v>0.25326594913520428</c:v>
                </c:pt>
                <c:pt idx="11">
                  <c:v>0.2698890666049325</c:v>
                </c:pt>
                <c:pt idx="12">
                  <c:v>0.3388568024643755</c:v>
                </c:pt>
                <c:pt idx="13">
                  <c:v>0.39600000000000007</c:v>
                </c:pt>
                <c:pt idx="14">
                  <c:v>0.39600000000000002</c:v>
                </c:pt>
                <c:pt idx="15">
                  <c:v>0.39599999999999996</c:v>
                </c:pt>
                <c:pt idx="16">
                  <c:v>0.39600000000000002</c:v>
                </c:pt>
                <c:pt idx="17">
                  <c:v>0.39600000000000002</c:v>
                </c:pt>
                <c:pt idx="18">
                  <c:v>0.39600000000000002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62344"/>
        <c:axId val="333462736"/>
      </c:lineChart>
      <c:catAx>
        <c:axId val="33346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462736"/>
        <c:crosses val="autoZero"/>
        <c:auto val="1"/>
        <c:lblAlgn val="ctr"/>
        <c:lblOffset val="100"/>
        <c:noMultiLvlLbl val="0"/>
      </c:catAx>
      <c:valAx>
        <c:axId val="333462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33462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Sheet1!$AF$26:$AF$45</c:f>
              <c:numCache>
                <c:formatCode>0.000</c:formatCode>
                <c:ptCount val="20"/>
                <c:pt idx="0">
                  <c:v>4.5716089484366305E-2</c:v>
                </c:pt>
                <c:pt idx="1">
                  <c:v>6.577897052478035E-2</c:v>
                </c:pt>
                <c:pt idx="2">
                  <c:v>7.0056997196635121E-2</c:v>
                </c:pt>
                <c:pt idx="3">
                  <c:v>8.5685708646666844E-2</c:v>
                </c:pt>
                <c:pt idx="4">
                  <c:v>8.774673984632736E-2</c:v>
                </c:pt>
                <c:pt idx="5">
                  <c:v>9.0381282572839963E-2</c:v>
                </c:pt>
                <c:pt idx="6">
                  <c:v>9.0275309350167976E-2</c:v>
                </c:pt>
                <c:pt idx="7">
                  <c:v>0.10300145026652434</c:v>
                </c:pt>
                <c:pt idx="8">
                  <c:v>0.12486690555471723</c:v>
                </c:pt>
                <c:pt idx="9">
                  <c:v>0.13112136720506382</c:v>
                </c:pt>
                <c:pt idx="10">
                  <c:v>0.16784143011806488</c:v>
                </c:pt>
                <c:pt idx="11">
                  <c:v>0.18495083924097638</c:v>
                </c:pt>
                <c:pt idx="12">
                  <c:v>0.24435680882520622</c:v>
                </c:pt>
                <c:pt idx="13">
                  <c:v>0.25105747100297937</c:v>
                </c:pt>
                <c:pt idx="14">
                  <c:v>0.30608391581336331</c:v>
                </c:pt>
                <c:pt idx="15">
                  <c:v>0.30660045345130316</c:v>
                </c:pt>
                <c:pt idx="16">
                  <c:v>0.30735193760543805</c:v>
                </c:pt>
                <c:pt idx="17">
                  <c:v>0.30725107394146994</c:v>
                </c:pt>
                <c:pt idx="18">
                  <c:v>0.30734534100902228</c:v>
                </c:pt>
                <c:pt idx="19">
                  <c:v>0.30883385176451994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63520"/>
        <c:axId val="333463912"/>
      </c:lineChart>
      <c:catAx>
        <c:axId val="33346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33463912"/>
        <c:crosses val="autoZero"/>
        <c:auto val="1"/>
        <c:lblAlgn val="ctr"/>
        <c:lblOffset val="100"/>
        <c:noMultiLvlLbl val="0"/>
      </c:catAx>
      <c:valAx>
        <c:axId val="333463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334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Sheet1!$N$51</c:f>
              <c:strCache>
                <c:ptCount val="1"/>
                <c:pt idx="0">
                  <c:v>Labor MTR</c:v>
                </c:pt>
              </c:strCache>
            </c:strRef>
          </c:tx>
          <c:val>
            <c:numRef>
              <c:f>Sheet1!$N$52:$N$70</c:f>
              <c:numCache>
                <c:formatCode>General</c:formatCode>
                <c:ptCount val="19"/>
                <c:pt idx="0">
                  <c:v>0.1</c:v>
                </c:pt>
                <c:pt idx="1">
                  <c:v>0.1</c:v>
                </c:pt>
                <c:pt idx="2">
                  <c:v>0.10814226513099788</c:v>
                </c:pt>
                <c:pt idx="3">
                  <c:v>0.13694311288175479</c:v>
                </c:pt>
                <c:pt idx="4">
                  <c:v>0.14284918839165817</c:v>
                </c:pt>
                <c:pt idx="5">
                  <c:v>0.15</c:v>
                </c:pt>
                <c:pt idx="6">
                  <c:v>0.15</c:v>
                </c:pt>
                <c:pt idx="7">
                  <c:v>0.16896089799352315</c:v>
                </c:pt>
                <c:pt idx="8">
                  <c:v>0.20095887175545407</c:v>
                </c:pt>
                <c:pt idx="9">
                  <c:v>0.20501069059260102</c:v>
                </c:pt>
                <c:pt idx="10">
                  <c:v>0.25326594913520428</c:v>
                </c:pt>
                <c:pt idx="11">
                  <c:v>0.2698890666049325</c:v>
                </c:pt>
                <c:pt idx="12">
                  <c:v>0.3388568024643755</c:v>
                </c:pt>
                <c:pt idx="13">
                  <c:v>0.39600000000000007</c:v>
                </c:pt>
                <c:pt idx="14">
                  <c:v>0.39600000000000002</c:v>
                </c:pt>
                <c:pt idx="15">
                  <c:v>0.39599999999999996</c:v>
                </c:pt>
                <c:pt idx="16">
                  <c:v>0.39600000000000002</c:v>
                </c:pt>
                <c:pt idx="17">
                  <c:v>0.39600000000000002</c:v>
                </c:pt>
                <c:pt idx="18">
                  <c:v>0.39600000000000002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Sheet1!$O$51</c:f>
              <c:strCache>
                <c:ptCount val="1"/>
                <c:pt idx="0">
                  <c:v>Capital MTR</c:v>
                </c:pt>
              </c:strCache>
            </c:strRef>
          </c:tx>
          <c:val>
            <c:numRef>
              <c:f>Sheet1!$O$52:$O$70</c:f>
              <c:numCache>
                <c:formatCode>0.000</c:formatCode>
                <c:ptCount val="19"/>
                <c:pt idx="0">
                  <c:v>4.5716089484366305E-2</c:v>
                </c:pt>
                <c:pt idx="1">
                  <c:v>6.577897052478035E-2</c:v>
                </c:pt>
                <c:pt idx="2">
                  <c:v>7.0056997196635121E-2</c:v>
                </c:pt>
                <c:pt idx="3">
                  <c:v>8.5685708646666844E-2</c:v>
                </c:pt>
                <c:pt idx="4">
                  <c:v>8.774673984632736E-2</c:v>
                </c:pt>
                <c:pt idx="5">
                  <c:v>9.0381282572839963E-2</c:v>
                </c:pt>
                <c:pt idx="6">
                  <c:v>9.0275309350167976E-2</c:v>
                </c:pt>
                <c:pt idx="7">
                  <c:v>0.10300145026652434</c:v>
                </c:pt>
                <c:pt idx="8">
                  <c:v>0.12486690555471723</c:v>
                </c:pt>
                <c:pt idx="9">
                  <c:v>0.13112136720506382</c:v>
                </c:pt>
                <c:pt idx="10">
                  <c:v>0.16784143011806488</c:v>
                </c:pt>
                <c:pt idx="11">
                  <c:v>0.18495083924097638</c:v>
                </c:pt>
                <c:pt idx="12">
                  <c:v>0.24877237966504662</c:v>
                </c:pt>
                <c:pt idx="13">
                  <c:v>0.30608391581336331</c:v>
                </c:pt>
                <c:pt idx="14">
                  <c:v>0.30660045345130316</c:v>
                </c:pt>
                <c:pt idx="15">
                  <c:v>0.30735193760543805</c:v>
                </c:pt>
                <c:pt idx="16">
                  <c:v>0.30725107394146994</c:v>
                </c:pt>
                <c:pt idx="17">
                  <c:v>0.30734534100902228</c:v>
                </c:pt>
                <c:pt idx="18">
                  <c:v>0.30883385176451994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466264"/>
        <c:axId val="333466656"/>
      </c:lineChart>
      <c:catAx>
        <c:axId val="33346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333466656"/>
        <c:crosses val="autoZero"/>
        <c:auto val="1"/>
        <c:lblAlgn val="ctr"/>
        <c:lblOffset val="100"/>
        <c:noMultiLvlLbl val="0"/>
      </c:catAx>
      <c:valAx>
        <c:axId val="33346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346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labor tax data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Sheet1!$AC$53:$AC$70</c:f>
              <c:numCache>
                <c:formatCode>0.00%</c:formatCode>
                <c:ptCount val="18"/>
                <c:pt idx="0">
                  <c:v>2.310538863166451E-2</c:v>
                </c:pt>
                <c:pt idx="1">
                  <c:v>4.1226380004809306E-2</c:v>
                </c:pt>
                <c:pt idx="2">
                  <c:v>5.6165515469036233E-2</c:v>
                </c:pt>
                <c:pt idx="3">
                  <c:v>6.8365773745441477E-2</c:v>
                </c:pt>
                <c:pt idx="4">
                  <c:v>7.8841975994633356E-2</c:v>
                </c:pt>
                <c:pt idx="5">
                  <c:v>8.6623826908251544E-2</c:v>
                </c:pt>
                <c:pt idx="6">
                  <c:v>9.7674075363951507E-2</c:v>
                </c:pt>
                <c:pt idx="7">
                  <c:v>0.11295861447552552</c:v>
                </c:pt>
                <c:pt idx="8">
                  <c:v>0.12719375570220121</c:v>
                </c:pt>
                <c:pt idx="9">
                  <c:v>0.14996436690622594</c:v>
                </c:pt>
                <c:pt idx="10">
                  <c:v>0.177311110762855</c:v>
                </c:pt>
                <c:pt idx="11">
                  <c:v>0.24444005752869466</c:v>
                </c:pt>
                <c:pt idx="12">
                  <c:v>0.31541708646836958</c:v>
                </c:pt>
                <c:pt idx="13">
                  <c:v>0.33056700673562722</c:v>
                </c:pt>
                <c:pt idx="14">
                  <c:v>0.3321536633865903</c:v>
                </c:pt>
                <c:pt idx="15">
                  <c:v>0.34673112941816314</c:v>
                </c:pt>
                <c:pt idx="16">
                  <c:v>0.36318585930412389</c:v>
                </c:pt>
                <c:pt idx="17">
                  <c:v>0.37299612466344162</c:v>
                </c:pt>
              </c:numCache>
            </c:numRef>
          </c:yVal>
          <c:smooth val="0"/>
        </c:ser>
        <c:ser>
          <c:idx val="2"/>
          <c:order val="1"/>
          <c:tx>
            <c:v>labor tax fitted</c:v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Sheet1!$AF$53:$AF$70</c:f>
              <c:numCache>
                <c:formatCode>0.00%</c:formatCode>
                <c:ptCount val="18"/>
                <c:pt idx="0">
                  <c:v>2.9572915139409597E-2</c:v>
                </c:pt>
                <c:pt idx="1">
                  <c:v>4.1271551151809416E-2</c:v>
                </c:pt>
                <c:pt idx="2">
                  <c:v>5.2018637306115625E-2</c:v>
                </c:pt>
                <c:pt idx="3">
                  <c:v>6.2145244195281377E-2</c:v>
                </c:pt>
                <c:pt idx="4">
                  <c:v>7.1751326067323956E-2</c:v>
                </c:pt>
                <c:pt idx="5">
                  <c:v>8.0848621816613203E-2</c:v>
                </c:pt>
                <c:pt idx="6">
                  <c:v>9.321271100373521E-2</c:v>
                </c:pt>
                <c:pt idx="7">
                  <c:v>0.10842768989938172</c:v>
                </c:pt>
                <c:pt idx="8">
                  <c:v>0.13059636014342024</c:v>
                </c:pt>
                <c:pt idx="9">
                  <c:v>0.15739099188036848</c:v>
                </c:pt>
                <c:pt idx="10">
                  <c:v>0.1951102466822866</c:v>
                </c:pt>
                <c:pt idx="11">
                  <c:v>0.25858605221653452</c:v>
                </c:pt>
                <c:pt idx="12">
                  <c:v>0.31348789701681073</c:v>
                </c:pt>
                <c:pt idx="13">
                  <c:v>0.33696467261073348</c:v>
                </c:pt>
                <c:pt idx="14">
                  <c:v>0.34688188641945911</c:v>
                </c:pt>
                <c:pt idx="15">
                  <c:v>0.35742185789500774</c:v>
                </c:pt>
                <c:pt idx="16">
                  <c:v>0.36604049192677085</c:v>
                </c:pt>
                <c:pt idx="17">
                  <c:v>0.37143585962460396</c:v>
                </c:pt>
              </c:numCache>
            </c:numRef>
          </c:yVal>
          <c:smooth val="0"/>
        </c:ser>
        <c:ser>
          <c:idx val="1"/>
          <c:order val="2"/>
          <c:tx>
            <c:v>capital tax data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Sheet1!$AD$53:$AD$70</c:f>
              <c:numCache>
                <c:formatCode>0.00%</c:formatCode>
                <c:ptCount val="18"/>
                <c:pt idx="0">
                  <c:v>0</c:v>
                </c:pt>
                <c:pt idx="1">
                  <c:v>2.7282740371824366E-2</c:v>
                </c:pt>
                <c:pt idx="2">
                  <c:v>3.7906881424062497E-2</c:v>
                </c:pt>
                <c:pt idx="3">
                  <c:v>4.4157871856696833E-2</c:v>
                </c:pt>
                <c:pt idx="4">
                  <c:v>4.936823400599398E-2</c:v>
                </c:pt>
                <c:pt idx="5">
                  <c:v>5.3477650148958999E-2</c:v>
                </c:pt>
                <c:pt idx="6">
                  <c:v>6.1131075928576972E-2</c:v>
                </c:pt>
                <c:pt idx="7">
                  <c:v>7.2706986408772406E-2</c:v>
                </c:pt>
                <c:pt idx="8">
                  <c:v>8.5748587063992604E-2</c:v>
                </c:pt>
                <c:pt idx="9">
                  <c:v>0.10535251104675479</c:v>
                </c:pt>
                <c:pt idx="10">
                  <c:v>0.12662975672890431</c:v>
                </c:pt>
                <c:pt idx="11">
                  <c:v>0.20061622250266173</c:v>
                </c:pt>
                <c:pt idx="12">
                  <c:v>0.27052424679392889</c:v>
                </c:pt>
                <c:pt idx="13">
                  <c:v>0.27951559705130402</c:v>
                </c:pt>
                <c:pt idx="14">
                  <c:v>0.27666708219481356</c:v>
                </c:pt>
                <c:pt idx="15">
                  <c:v>0.2852010241883926</c:v>
                </c:pt>
                <c:pt idx="16">
                  <c:v>0.29193807937567656</c:v>
                </c:pt>
                <c:pt idx="17">
                  <c:v>0.30122935310862597</c:v>
                </c:pt>
              </c:numCache>
            </c:numRef>
          </c:yVal>
          <c:smooth val="0"/>
        </c:ser>
        <c:ser>
          <c:idx val="3"/>
          <c:order val="3"/>
          <c:tx>
            <c:v>capital tax fitted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Sheet1!$U$53:$U$70</c:f>
              <c:numCache>
                <c:formatCode>_("$"* #,##0.00_);_("$"* \(#,##0.00\);_("$"* "-"??_);_(@_)</c:formatCode>
                <c:ptCount val="18"/>
                <c:pt idx="0">
                  <c:v>2616.138007973072</c:v>
                </c:pt>
                <c:pt idx="1">
                  <c:v>7603.3426617110445</c:v>
                </c:pt>
                <c:pt idx="2">
                  <c:v>12505.27620226165</c:v>
                </c:pt>
                <c:pt idx="3">
                  <c:v>17434.355914100874</c:v>
                </c:pt>
                <c:pt idx="4">
                  <c:v>22416.345859766752</c:v>
                </c:pt>
                <c:pt idx="5">
                  <c:v>27436.516197873258</c:v>
                </c:pt>
                <c:pt idx="6">
                  <c:v>34782.761609593479</c:v>
                </c:pt>
                <c:pt idx="7">
                  <c:v>44765.236067448051</c:v>
                </c:pt>
                <c:pt idx="8">
                  <c:v>61553.096118058478</c:v>
                </c:pt>
                <c:pt idx="9">
                  <c:v>86452.042900915083</c:v>
                </c:pt>
                <c:pt idx="10">
                  <c:v>134214.26154662648</c:v>
                </c:pt>
                <c:pt idx="11">
                  <c:v>285681.09285450174</c:v>
                </c:pt>
                <c:pt idx="12">
                  <c:v>677280.37995600177</c:v>
                </c:pt>
                <c:pt idx="13">
                  <c:v>1208952.5184017755</c:v>
                </c:pt>
                <c:pt idx="14">
                  <c:v>1720703.4254389626</c:v>
                </c:pt>
                <c:pt idx="15">
                  <c:v>2978820.8900675657</c:v>
                </c:pt>
                <c:pt idx="16">
                  <c:v>6839675.5990724042</c:v>
                </c:pt>
                <c:pt idx="17">
                  <c:v>30911333.389878429</c:v>
                </c:pt>
              </c:numCache>
            </c:numRef>
          </c:xVal>
          <c:yVal>
            <c:numRef>
              <c:f>Sheet1!$AI$53:$AI$70</c:f>
              <c:numCache>
                <c:formatCode>0.00%</c:formatCode>
                <c:ptCount val="18"/>
                <c:pt idx="0">
                  <c:v>2.2951657075193622E-2</c:v>
                </c:pt>
                <c:pt idx="1">
                  <c:v>2.8513914130141871E-2</c:v>
                </c:pt>
                <c:pt idx="2">
                  <c:v>3.3895972648704538E-2</c:v>
                </c:pt>
                <c:pt idx="3">
                  <c:v>3.9220150402324627E-2</c:v>
                </c:pt>
                <c:pt idx="4">
                  <c:v>4.4509913990011377E-2</c:v>
                </c:pt>
                <c:pt idx="5">
                  <c:v>4.9745261062769094E-2</c:v>
                </c:pt>
                <c:pt idx="6">
                  <c:v>5.7231651470350059E-2</c:v>
                </c:pt>
                <c:pt idx="7">
                  <c:v>6.7067164298197854E-2</c:v>
                </c:pt>
                <c:pt idx="8">
                  <c:v>8.2724892727101609E-2</c:v>
                </c:pt>
                <c:pt idx="9">
                  <c:v>0.10393590091637751</c:v>
                </c:pt>
                <c:pt idx="10">
                  <c:v>0.13836187168954217</c:v>
                </c:pt>
                <c:pt idx="11">
                  <c:v>0.20729933597439312</c:v>
                </c:pt>
                <c:pt idx="12">
                  <c:v>0.26800672230656314</c:v>
                </c:pt>
                <c:pt idx="13">
                  <c:v>0.28779927420616441</c:v>
                </c:pt>
                <c:pt idx="14">
                  <c:v>0.29390547264553329</c:v>
                </c:pt>
                <c:pt idx="15">
                  <c:v>0.29851578402489554</c:v>
                </c:pt>
                <c:pt idx="16">
                  <c:v>0.3006511333401079</c:v>
                </c:pt>
                <c:pt idx="17">
                  <c:v>0.30117189899702912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67832"/>
        <c:axId val="333468224"/>
      </c:scatterChart>
      <c:valAx>
        <c:axId val="3334678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8224"/>
        <c:crosses val="autoZero"/>
        <c:crossBetween val="midCat"/>
      </c:valAx>
      <c:valAx>
        <c:axId val="3334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46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06786225001612"/>
          <c:y val="0.67828235106975265"/>
          <c:w val="0.190978378641049"/>
          <c:h val="0.18520384951881014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 zoomToFit="1"/>
  </sheetViews>
  <pageMargins left="0.7" right="0.7" top="0.75" bottom="0.75" header="0.3" footer="0.3"/>
  <pageSetup orientation="landscape" horizontalDpi="1200" verticalDpi="120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508000</xdr:colOff>
      <xdr:row>2</xdr:row>
      <xdr:rowOff>19050</xdr:rowOff>
    </xdr:from>
    <xdr:to>
      <xdr:col>22</xdr:col>
      <xdr:colOff>127000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571500</xdr:colOff>
      <xdr:row>24</xdr:row>
      <xdr:rowOff>184150</xdr:rowOff>
    </xdr:from>
    <xdr:to>
      <xdr:col>39</xdr:col>
      <xdr:colOff>190500</xdr:colOff>
      <xdr:row>39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622300</xdr:colOff>
      <xdr:row>49</xdr:row>
      <xdr:rowOff>158750</xdr:rowOff>
    </xdr:from>
    <xdr:to>
      <xdr:col>11</xdr:col>
      <xdr:colOff>241300</xdr:colOff>
      <xdr:row>64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absoluteAnchor>
    <xdr:pos x="33327975" y="10382250"/>
    <xdr:ext cx="4705349" cy="3609975"/>
    <xdr:graphicFrame macro="">
      <xdr:nvGraphicFramePr>
        <xdr:cNvPr id="6" name="Chart 5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92"/>
  <sheetViews>
    <sheetView tabSelected="1" workbookViewId="0">
      <pane xSplit="1" ySplit="1" topLeftCell="AB63" activePane="bottomRight" state="frozen"/>
      <selection pane="topRight" activeCell="B1" sqref="B1"/>
      <selection pane="bottomLeft" activeCell="A2" sqref="A2"/>
      <selection pane="bottomRight" activeCell="AD79" sqref="AD79"/>
    </sheetView>
  </sheetViews>
  <sheetFormatPr defaultColWidth="11" defaultRowHeight="15.75" x14ac:dyDescent="0.25"/>
  <cols>
    <col min="1" max="1" width="21.5" bestFit="1" customWidth="1"/>
    <col min="21" max="21" width="14.75" bestFit="1" customWidth="1"/>
    <col min="22" max="22" width="14.75" customWidth="1"/>
    <col min="23" max="24" width="14.625" customWidth="1"/>
    <col min="25" max="25" width="15.375" customWidth="1"/>
    <col min="26" max="26" width="12.625" bestFit="1" customWidth="1"/>
    <col min="30" max="31" width="11.125" bestFit="1" customWidth="1"/>
    <col min="33" max="33" width="10.25" customWidth="1"/>
    <col min="39" max="39" width="11.5" bestFit="1" customWidth="1"/>
  </cols>
  <sheetData>
    <row r="1" spans="1:40" x14ac:dyDescent="0.25">
      <c r="A1" t="s">
        <v>60</v>
      </c>
      <c r="I1" t="s">
        <v>68</v>
      </c>
      <c r="O1" t="s">
        <v>66</v>
      </c>
      <c r="AH1" t="s">
        <v>88</v>
      </c>
    </row>
    <row r="2" spans="1:40" x14ac:dyDescent="0.25"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I2" t="s">
        <v>61</v>
      </c>
      <c r="J2" t="s">
        <v>62</v>
      </c>
      <c r="K2" t="s">
        <v>63</v>
      </c>
      <c r="L2" t="s">
        <v>64</v>
      </c>
      <c r="M2" t="s">
        <v>65</v>
      </c>
      <c r="Z2" t="s">
        <v>70</v>
      </c>
      <c r="AF2" t="s">
        <v>72</v>
      </c>
      <c r="AH2" t="s">
        <v>71</v>
      </c>
      <c r="AN2" t="s">
        <v>72</v>
      </c>
    </row>
    <row r="3" spans="1:40" x14ac:dyDescent="0.25">
      <c r="A3" s="1" t="s">
        <v>0</v>
      </c>
      <c r="B3" s="2">
        <v>144928472</v>
      </c>
      <c r="C3" s="5">
        <v>53718396</v>
      </c>
      <c r="D3" s="5">
        <v>2663017</v>
      </c>
      <c r="E3" s="2">
        <v>21814184</v>
      </c>
      <c r="F3" s="5">
        <v>77021</v>
      </c>
      <c r="G3" s="5">
        <v>66655855</v>
      </c>
    </row>
    <row r="4" spans="1:40" x14ac:dyDescent="0.25">
      <c r="A4" s="3" t="s">
        <v>1</v>
      </c>
      <c r="B4" s="4">
        <v>2128548</v>
      </c>
      <c r="C4" s="6">
        <v>649242</v>
      </c>
      <c r="D4" s="6">
        <v>100723</v>
      </c>
      <c r="E4" s="4">
        <v>80008</v>
      </c>
      <c r="F4" s="6">
        <v>2253</v>
      </c>
      <c r="G4" s="6">
        <v>1296321</v>
      </c>
      <c r="I4" s="13">
        <v>0.1</v>
      </c>
      <c r="J4" s="13">
        <v>0.1</v>
      </c>
      <c r="K4" s="13">
        <v>0.1</v>
      </c>
      <c r="L4" s="13">
        <f>M4</f>
        <v>0.1</v>
      </c>
      <c r="M4" s="13">
        <v>0.1</v>
      </c>
      <c r="O4" s="14">
        <f>(($C4*I4)+($D4*J4)+($E4*K4)+($F4*L4)+($G4*M4))/(SUM($C4:$G4))</f>
        <v>0.1</v>
      </c>
      <c r="Z4" s="13">
        <v>0</v>
      </c>
      <c r="AA4" s="13">
        <v>0</v>
      </c>
      <c r="AB4" s="13">
        <v>0</v>
      </c>
      <c r="AC4" s="13">
        <f>AD4</f>
        <v>0</v>
      </c>
      <c r="AD4" s="13">
        <v>0</v>
      </c>
      <c r="AF4" s="14">
        <f>(($C4*Z4)+($D4*AA4)+($E4*AB4)+($F4*AC4)+($G4*AD4))/(SUM($C4:$G4))</f>
        <v>0</v>
      </c>
      <c r="AH4" s="13">
        <v>0.1</v>
      </c>
      <c r="AI4" s="13">
        <v>0.1</v>
      </c>
      <c r="AJ4" s="13">
        <v>0.1</v>
      </c>
      <c r="AK4" s="13">
        <f>AL4</f>
        <v>0.1</v>
      </c>
      <c r="AL4" s="13">
        <v>0.1</v>
      </c>
      <c r="AN4" s="14">
        <f t="shared" ref="AN4:AN22" si="0">(($C4*AH4)+($D4*AI4)+($E4*AJ4)+($F4*AK4)+($G4*AL4))/(SUM($C4:$G4))</f>
        <v>0.1</v>
      </c>
    </row>
    <row r="5" spans="1:40" x14ac:dyDescent="0.25">
      <c r="A5" s="3" t="s">
        <v>2</v>
      </c>
      <c r="B5" s="4">
        <v>10378183</v>
      </c>
      <c r="C5" s="6">
        <v>742270</v>
      </c>
      <c r="D5" s="6">
        <v>153539</v>
      </c>
      <c r="E5" s="4">
        <v>633558</v>
      </c>
      <c r="F5" s="8">
        <v>3985</v>
      </c>
      <c r="G5" s="6">
        <v>8844831</v>
      </c>
      <c r="I5" s="13">
        <v>0.1</v>
      </c>
      <c r="J5" s="13">
        <v>0.1</v>
      </c>
      <c r="K5" s="13">
        <v>0.1</v>
      </c>
      <c r="L5" s="13">
        <f t="shared" ref="L5:L22" si="1">M5</f>
        <v>0.1</v>
      </c>
      <c r="M5" s="13">
        <v>0.1</v>
      </c>
      <c r="O5" s="14">
        <f t="shared" ref="O5:O22" si="2">(($C5*I5)+($D5*J5)+($E5*K5)+($F5*L5)+($G5*M5))/(SUM($C5:$G5))</f>
        <v>0.1</v>
      </c>
      <c r="Z5" s="13">
        <v>0</v>
      </c>
      <c r="AA5" s="13">
        <v>0</v>
      </c>
      <c r="AB5" s="13">
        <v>0</v>
      </c>
      <c r="AC5" s="13">
        <f t="shared" ref="AC5:AC22" si="3">AD5</f>
        <v>0</v>
      </c>
      <c r="AD5" s="13">
        <v>0</v>
      </c>
      <c r="AF5" s="14">
        <f t="shared" ref="AF5:AF22" si="4">(($C5*Z5)+($D5*AA5)+($E5*AB5)+($F5*AC5)+($G5*AD5))/(SUM($C5:$G5))</f>
        <v>0</v>
      </c>
      <c r="AH5" s="13">
        <v>0.1</v>
      </c>
      <c r="AI5" s="13">
        <v>0.1</v>
      </c>
      <c r="AJ5" s="13">
        <v>0.1</v>
      </c>
      <c r="AK5" s="13">
        <f t="shared" ref="AK5:AK22" si="5">AL5</f>
        <v>0.1</v>
      </c>
      <c r="AL5" s="13">
        <v>0.1</v>
      </c>
      <c r="AN5" s="14">
        <f t="shared" si="0"/>
        <v>0.1</v>
      </c>
    </row>
    <row r="6" spans="1:40" x14ac:dyDescent="0.25">
      <c r="A6" s="3" t="s">
        <v>3</v>
      </c>
      <c r="B6" s="4">
        <v>11958135</v>
      </c>
      <c r="C6" s="6">
        <v>1082806</v>
      </c>
      <c r="D6" s="6">
        <v>145241</v>
      </c>
      <c r="E6" s="4">
        <v>1817998</v>
      </c>
      <c r="F6" s="8">
        <v>2987</v>
      </c>
      <c r="G6" s="6">
        <v>8909102</v>
      </c>
      <c r="I6" s="13">
        <v>0.1</v>
      </c>
      <c r="J6" s="13">
        <f>(0.1*(3925/(3925+1075))+(0.15*(1075/(3925+1075))))</f>
        <v>0.11075000000000002</v>
      </c>
      <c r="K6" s="13">
        <v>0.1</v>
      </c>
      <c r="L6" s="13">
        <f t="shared" si="1"/>
        <v>0.11075000000000002</v>
      </c>
      <c r="M6" s="13">
        <f>(0.1*(3925/(3925+1075)))+(0.15*(1075/(3925+1075)))</f>
        <v>0.11075000000000002</v>
      </c>
      <c r="O6" s="14">
        <f t="shared" si="2"/>
        <v>0.10814226513099788</v>
      </c>
      <c r="Z6" s="13">
        <v>0</v>
      </c>
      <c r="AA6" s="13">
        <f>(0*(3925/(3925+1075))+(0*(1075/(3925+1075))))</f>
        <v>0</v>
      </c>
      <c r="AB6" s="13">
        <v>0</v>
      </c>
      <c r="AC6" s="13">
        <f t="shared" si="3"/>
        <v>0</v>
      </c>
      <c r="AD6" s="13">
        <f>(0*(3925/(3925+1075)))+(0*(1075/(3925+1075)))</f>
        <v>0</v>
      </c>
      <c r="AF6" s="14">
        <f t="shared" si="4"/>
        <v>0</v>
      </c>
      <c r="AH6" s="13">
        <v>0.1</v>
      </c>
      <c r="AI6" s="13">
        <f>(0.1*(3925/(3925+1075))+(0.15*(1075/(3925+1075))))</f>
        <v>0.11075000000000002</v>
      </c>
      <c r="AJ6" s="13">
        <v>0.1</v>
      </c>
      <c r="AK6" s="13">
        <f t="shared" si="5"/>
        <v>0.11075000000000002</v>
      </c>
      <c r="AL6" s="13">
        <f>(0.1*(3925/(3925+1075)))+(0.15*(1075/(3925+1075)))</f>
        <v>0.11075000000000002</v>
      </c>
      <c r="AN6" s="14">
        <f t="shared" si="0"/>
        <v>0.10814226513099788</v>
      </c>
    </row>
    <row r="7" spans="1:40" x14ac:dyDescent="0.25">
      <c r="A7" s="3" t="s">
        <v>4</v>
      </c>
      <c r="B7" s="4">
        <v>12632192</v>
      </c>
      <c r="C7" s="6">
        <v>1633275</v>
      </c>
      <c r="D7" s="6">
        <v>156758</v>
      </c>
      <c r="E7" s="4">
        <v>3028122</v>
      </c>
      <c r="F7" s="6">
        <v>8116</v>
      </c>
      <c r="G7" s="6">
        <v>7805921</v>
      </c>
      <c r="I7" s="13">
        <v>0.1</v>
      </c>
      <c r="J7" s="13">
        <v>0.15</v>
      </c>
      <c r="K7" s="13">
        <f>(0.1*(2750/(2750+2250)))+(0.15*(2250/(2750+2250)))</f>
        <v>0.12250000000000001</v>
      </c>
      <c r="L7" s="13">
        <f t="shared" si="1"/>
        <v>0.15</v>
      </c>
      <c r="M7" s="13">
        <v>0.15</v>
      </c>
      <c r="O7" s="14">
        <f t="shared" si="2"/>
        <v>0.13694311288175479</v>
      </c>
      <c r="Z7" s="13">
        <v>0</v>
      </c>
      <c r="AA7" s="13">
        <v>0</v>
      </c>
      <c r="AB7" s="13">
        <f>(0*(2750/(2750+2250)))+(0*(2250/(2750+2250)))</f>
        <v>0</v>
      </c>
      <c r="AC7" s="13">
        <f t="shared" si="3"/>
        <v>0</v>
      </c>
      <c r="AD7" s="13">
        <v>0</v>
      </c>
      <c r="AF7" s="14">
        <f t="shared" si="4"/>
        <v>0</v>
      </c>
      <c r="AH7" s="13">
        <v>0.1</v>
      </c>
      <c r="AI7" s="13">
        <v>0.15</v>
      </c>
      <c r="AJ7" s="13">
        <f>(0.1*(2750/(2750+2250)))+(0.15*(2250/(2750+2250)))</f>
        <v>0.12250000000000001</v>
      </c>
      <c r="AK7" s="13">
        <f t="shared" si="5"/>
        <v>0.15</v>
      </c>
      <c r="AL7" s="13">
        <v>0.15</v>
      </c>
      <c r="AN7" s="14">
        <f t="shared" si="0"/>
        <v>0.13694311288175479</v>
      </c>
    </row>
    <row r="8" spans="1:40" x14ac:dyDescent="0.25">
      <c r="A8" s="3" t="s">
        <v>5</v>
      </c>
      <c r="B8" s="4">
        <v>11615578</v>
      </c>
      <c r="C8" s="6">
        <v>1954372</v>
      </c>
      <c r="D8" s="6">
        <v>173404</v>
      </c>
      <c r="E8" s="4">
        <v>3141608</v>
      </c>
      <c r="F8" s="8">
        <v>4949</v>
      </c>
      <c r="G8" s="6">
        <v>6341245</v>
      </c>
      <c r="I8" s="13">
        <f>(0.1*2150/(2850+2150))+(0.15*(2150/(2850+2150)))</f>
        <v>0.1075</v>
      </c>
      <c r="J8" s="13">
        <v>0.15</v>
      </c>
      <c r="K8" s="13">
        <v>0.15</v>
      </c>
      <c r="L8" s="13">
        <f t="shared" si="1"/>
        <v>0.15</v>
      </c>
      <c r="M8" s="13">
        <v>0.15</v>
      </c>
      <c r="O8" s="14">
        <f t="shared" si="2"/>
        <v>0.14284918839165817</v>
      </c>
      <c r="Z8" s="13">
        <f>(0*2150/(2850+2150))+(0*(2150/(2850+2150)))</f>
        <v>0</v>
      </c>
      <c r="AA8" s="13">
        <v>0</v>
      </c>
      <c r="AB8" s="13">
        <v>0</v>
      </c>
      <c r="AC8" s="13">
        <f t="shared" si="3"/>
        <v>0</v>
      </c>
      <c r="AD8" s="13">
        <v>0</v>
      </c>
      <c r="AF8" s="14">
        <f t="shared" si="4"/>
        <v>0</v>
      </c>
      <c r="AH8" s="13">
        <f>(0.1*2150/(2850+2150))+(0.15*(2150/(2850+2150)))</f>
        <v>0.1075</v>
      </c>
      <c r="AI8" s="13">
        <v>0.15</v>
      </c>
      <c r="AJ8" s="13">
        <v>0.15</v>
      </c>
      <c r="AK8" s="13">
        <f t="shared" si="5"/>
        <v>0.15</v>
      </c>
      <c r="AL8" s="13">
        <v>0.15</v>
      </c>
      <c r="AN8" s="14">
        <f t="shared" si="0"/>
        <v>0.14284918839165817</v>
      </c>
    </row>
    <row r="9" spans="1:40" x14ac:dyDescent="0.25">
      <c r="A9" s="3" t="s">
        <v>6</v>
      </c>
      <c r="B9" s="4">
        <v>10168630</v>
      </c>
      <c r="C9" s="6">
        <v>2234946</v>
      </c>
      <c r="D9" s="6">
        <v>202105</v>
      </c>
      <c r="E9" s="4">
        <v>2569899</v>
      </c>
      <c r="F9" s="8">
        <v>2988</v>
      </c>
      <c r="G9" s="6">
        <v>5158692</v>
      </c>
      <c r="I9" s="13">
        <v>0.15</v>
      </c>
      <c r="J9" s="13">
        <v>0.15</v>
      </c>
      <c r="K9" s="13">
        <v>0.15</v>
      </c>
      <c r="L9" s="13">
        <f t="shared" si="1"/>
        <v>0.15</v>
      </c>
      <c r="M9" s="13">
        <v>0.15</v>
      </c>
      <c r="O9" s="14">
        <f t="shared" si="2"/>
        <v>0.15</v>
      </c>
      <c r="Z9" s="13">
        <v>0</v>
      </c>
      <c r="AA9" s="13">
        <v>0</v>
      </c>
      <c r="AB9" s="13">
        <v>0</v>
      </c>
      <c r="AC9" s="13">
        <f t="shared" si="3"/>
        <v>0</v>
      </c>
      <c r="AD9" s="13">
        <v>0</v>
      </c>
      <c r="AF9" s="14">
        <f t="shared" si="4"/>
        <v>0</v>
      </c>
      <c r="AH9" s="13">
        <v>0.15</v>
      </c>
      <c r="AI9" s="13">
        <v>0.15</v>
      </c>
      <c r="AJ9" s="13">
        <v>0.15</v>
      </c>
      <c r="AK9" s="13">
        <f t="shared" si="5"/>
        <v>0.15</v>
      </c>
      <c r="AL9" s="13">
        <v>0.15</v>
      </c>
      <c r="AN9" s="14">
        <f t="shared" si="0"/>
        <v>0.15</v>
      </c>
    </row>
    <row r="10" spans="1:40" x14ac:dyDescent="0.25">
      <c r="A10" s="3" t="s">
        <v>7</v>
      </c>
      <c r="B10" s="4">
        <v>8734480</v>
      </c>
      <c r="C10" s="6">
        <v>2097107</v>
      </c>
      <c r="D10" s="6">
        <v>191319</v>
      </c>
      <c r="E10" s="4">
        <v>2112536</v>
      </c>
      <c r="F10" s="8">
        <v>1687</v>
      </c>
      <c r="G10" s="6">
        <v>4331831</v>
      </c>
      <c r="I10" s="13">
        <v>0.15</v>
      </c>
      <c r="J10" s="13">
        <v>0.15</v>
      </c>
      <c r="K10" s="13">
        <v>0.15</v>
      </c>
      <c r="L10" s="13">
        <f t="shared" si="1"/>
        <v>0.15</v>
      </c>
      <c r="M10" s="13">
        <v>0.15</v>
      </c>
      <c r="O10" s="14">
        <f t="shared" si="2"/>
        <v>0.15</v>
      </c>
      <c r="Z10" s="13">
        <v>0</v>
      </c>
      <c r="AA10" s="13">
        <v>0</v>
      </c>
      <c r="AB10" s="13">
        <v>0</v>
      </c>
      <c r="AC10" s="13">
        <f t="shared" si="3"/>
        <v>0</v>
      </c>
      <c r="AD10" s="13">
        <v>0</v>
      </c>
      <c r="AF10" s="14">
        <f t="shared" si="4"/>
        <v>0</v>
      </c>
      <c r="AH10" s="13">
        <v>0.15</v>
      </c>
      <c r="AI10" s="13">
        <v>0.15</v>
      </c>
      <c r="AJ10" s="13">
        <v>0.15</v>
      </c>
      <c r="AK10" s="13">
        <f t="shared" si="5"/>
        <v>0.15</v>
      </c>
      <c r="AL10" s="13">
        <v>0.15</v>
      </c>
      <c r="AN10" s="14">
        <f t="shared" si="0"/>
        <v>0.15</v>
      </c>
    </row>
    <row r="11" spans="1:40" x14ac:dyDescent="0.25">
      <c r="A11" s="3" t="s">
        <v>8</v>
      </c>
      <c r="B11" s="4">
        <v>14451152</v>
      </c>
      <c r="C11" s="6">
        <v>4144944</v>
      </c>
      <c r="D11" s="6">
        <v>415384</v>
      </c>
      <c r="E11" s="4">
        <v>2999359</v>
      </c>
      <c r="F11" s="8">
        <v>6991</v>
      </c>
      <c r="G11" s="6">
        <v>6884473</v>
      </c>
      <c r="I11" s="13">
        <v>0.15</v>
      </c>
      <c r="J11" s="13">
        <f>(0.25*(3750/(3750+6250))+(0.15*(6250/(3750+6250))))</f>
        <v>0.1875</v>
      </c>
      <c r="K11" s="13">
        <v>0.15</v>
      </c>
      <c r="L11" s="13">
        <f t="shared" si="1"/>
        <v>0.1875</v>
      </c>
      <c r="M11" s="13">
        <f>(0.15*(6250/(6250+3750)))+(0.25*(3750/(6250+3750)))</f>
        <v>0.1875</v>
      </c>
      <c r="O11" s="14">
        <f t="shared" si="2"/>
        <v>0.16896089799352315</v>
      </c>
      <c r="Z11" s="13">
        <v>0</v>
      </c>
      <c r="AA11" s="13">
        <f>(0.15*(3750/(3750+6250))+(0*(6250/(3750+6250))))</f>
        <v>5.6249999999999994E-2</v>
      </c>
      <c r="AB11" s="13">
        <v>0</v>
      </c>
      <c r="AC11" s="13">
        <f t="shared" si="3"/>
        <v>5.6249999999999994E-2</v>
      </c>
      <c r="AD11" s="13">
        <f>(0*(6250/(6250+3750)))+(0.15*(3750/(6250+3750)))</f>
        <v>5.6249999999999994E-2</v>
      </c>
      <c r="AF11" s="14">
        <f t="shared" si="4"/>
        <v>2.8441346990284715E-2</v>
      </c>
      <c r="AH11" s="13">
        <v>0.15</v>
      </c>
      <c r="AI11" s="13">
        <f>(0.25*(3750/(3750+6250))+(0.15*(6250/(3750+6250))))</f>
        <v>0.1875</v>
      </c>
      <c r="AJ11" s="13">
        <v>0.15</v>
      </c>
      <c r="AK11" s="13">
        <f t="shared" si="5"/>
        <v>0.1875</v>
      </c>
      <c r="AL11" s="13">
        <f>(0.15*(6250/(6250+3750)))+(0.25*(3750/(6250+3750)))</f>
        <v>0.1875</v>
      </c>
      <c r="AN11" s="14">
        <f t="shared" si="0"/>
        <v>0.16896089799352315</v>
      </c>
    </row>
    <row r="12" spans="1:40" x14ac:dyDescent="0.25">
      <c r="A12" s="3" t="s">
        <v>9</v>
      </c>
      <c r="B12" s="4">
        <v>10873672</v>
      </c>
      <c r="C12" s="6">
        <v>3817484</v>
      </c>
      <c r="D12" s="6">
        <v>327871</v>
      </c>
      <c r="E12" s="4">
        <v>1761729</v>
      </c>
      <c r="F12" s="6">
        <v>15169</v>
      </c>
      <c r="G12" s="6">
        <v>4951418</v>
      </c>
      <c r="I12" s="13">
        <v>0.15</v>
      </c>
      <c r="J12" s="13">
        <v>0.25</v>
      </c>
      <c r="K12" s="13">
        <f>(0.15*(8600/(8600+1400)))+(0.25*(1400/(8600+1400)))</f>
        <v>0.16400000000000001</v>
      </c>
      <c r="L12" s="13">
        <f t="shared" si="1"/>
        <v>0.25</v>
      </c>
      <c r="M12" s="13">
        <v>0.25</v>
      </c>
      <c r="O12" s="14">
        <f t="shared" si="2"/>
        <v>0.20095887175545407</v>
      </c>
      <c r="Z12" s="13">
        <v>0</v>
      </c>
      <c r="AA12" s="13">
        <v>0.15</v>
      </c>
      <c r="AB12" s="13">
        <f>(0*(8600/(8600+1400)))+(0.15*(1400/(8600+1400)))</f>
        <v>2.1000000000000001E-2</v>
      </c>
      <c r="AC12" s="13">
        <f t="shared" si="3"/>
        <v>0.15</v>
      </c>
      <c r="AD12" s="13">
        <v>0.15</v>
      </c>
      <c r="AF12" s="14">
        <f t="shared" si="4"/>
        <v>7.6438307633181102E-2</v>
      </c>
      <c r="AH12" s="13">
        <v>0.15</v>
      </c>
      <c r="AI12" s="13">
        <v>0.25</v>
      </c>
      <c r="AJ12" s="13">
        <f>(0.15*(8600/(8600+1400)))+(0.25*(1400/(8600+1400)))</f>
        <v>0.16400000000000001</v>
      </c>
      <c r="AK12" s="13">
        <f t="shared" si="5"/>
        <v>0.25</v>
      </c>
      <c r="AL12" s="13">
        <v>0.25</v>
      </c>
      <c r="AN12" s="14">
        <f t="shared" si="0"/>
        <v>0.20095887175545407</v>
      </c>
    </row>
    <row r="13" spans="1:40" x14ac:dyDescent="0.25">
      <c r="A13" s="3" t="s">
        <v>10</v>
      </c>
      <c r="B13" s="4">
        <v>18985371</v>
      </c>
      <c r="C13" s="6">
        <v>9589642</v>
      </c>
      <c r="D13" s="7">
        <v>598347</v>
      </c>
      <c r="E13" s="4">
        <v>2217512</v>
      </c>
      <c r="F13" s="7">
        <v>18865</v>
      </c>
      <c r="G13" s="6">
        <v>6730748</v>
      </c>
      <c r="I13" s="13">
        <f>(0.15*22500/(2500+22500))+(0.25*(2500/(2500+22500)))</f>
        <v>0.16</v>
      </c>
      <c r="J13" s="13">
        <f>(0.25*(23200/(23200+1800))+(0.28*(1800/(23200+1800))))</f>
        <v>0.25216</v>
      </c>
      <c r="K13" s="13">
        <v>0.25</v>
      </c>
      <c r="L13" s="13">
        <f t="shared" si="1"/>
        <v>0.25</v>
      </c>
      <c r="M13" s="13">
        <v>0.25</v>
      </c>
      <c r="O13" s="14">
        <f t="shared" si="2"/>
        <v>0.20501069059260102</v>
      </c>
      <c r="Z13" s="13">
        <f>(0*22500/(2500+22500))+(0.15*(2500/(2500+22500)))</f>
        <v>1.4999999999999999E-2</v>
      </c>
      <c r="AA13" s="13">
        <f>(0.15*(23200/(23200+1800))+(0.15*(1800/(23200+1800))))</f>
        <v>0.15</v>
      </c>
      <c r="AB13" s="13">
        <v>0.15</v>
      </c>
      <c r="AC13" s="13">
        <f t="shared" si="3"/>
        <v>0.15</v>
      </c>
      <c r="AD13" s="13">
        <v>0.15</v>
      </c>
      <c r="AF13" s="14">
        <f t="shared" si="4"/>
        <v>8.2414828228117035E-2</v>
      </c>
      <c r="AH13" s="13">
        <f>(0.15*22500/(2500+22500))+(0.25*(2500/(2500+22500)))</f>
        <v>0.16</v>
      </c>
      <c r="AI13" s="13">
        <f>(0.25*(23200/(23200+1800))+(0.28*(1800/(23200+1800))))</f>
        <v>0.25216</v>
      </c>
      <c r="AJ13" s="13">
        <v>0.25</v>
      </c>
      <c r="AK13" s="13">
        <f t="shared" si="5"/>
        <v>0.25</v>
      </c>
      <c r="AL13" s="13">
        <v>0.25</v>
      </c>
      <c r="AN13" s="14">
        <f t="shared" si="0"/>
        <v>0.20501069059260102</v>
      </c>
    </row>
    <row r="14" spans="1:40" x14ac:dyDescent="0.25">
      <c r="A14" s="3" t="s">
        <v>11</v>
      </c>
      <c r="B14" s="4">
        <v>12103891</v>
      </c>
      <c r="C14" s="6">
        <v>8484178</v>
      </c>
      <c r="D14" s="7">
        <v>0</v>
      </c>
      <c r="E14" s="4">
        <v>776697</v>
      </c>
      <c r="F14" s="7">
        <v>0</v>
      </c>
      <c r="G14" s="6">
        <v>2673273</v>
      </c>
      <c r="I14" s="13">
        <v>0.25</v>
      </c>
      <c r="J14" s="13">
        <v>0.28000000000000003</v>
      </c>
      <c r="K14" s="13">
        <v>0.25</v>
      </c>
      <c r="L14" s="13">
        <f t="shared" si="1"/>
        <v>0.26458000000000004</v>
      </c>
      <c r="M14" s="13">
        <f>(0.25*(12850/(12850+12150)))+(0.28*(12150/(12850+12150)))</f>
        <v>0.26458000000000004</v>
      </c>
      <c r="O14" s="14">
        <f t="shared" si="2"/>
        <v>0.25326594913520428</v>
      </c>
      <c r="Z14" s="13">
        <v>0.15</v>
      </c>
      <c r="AA14" s="13">
        <v>0.15</v>
      </c>
      <c r="AB14" s="13">
        <v>0.15</v>
      </c>
      <c r="AC14" s="13">
        <f t="shared" si="3"/>
        <v>0.15</v>
      </c>
      <c r="AD14" s="13">
        <f>(0.15*(12850/(12850+12150)))+(0.15*(12150/(12850+12150)))</f>
        <v>0.15</v>
      </c>
      <c r="AF14" s="14">
        <f t="shared" si="4"/>
        <v>0.15</v>
      </c>
      <c r="AH14" s="13">
        <v>0.25</v>
      </c>
      <c r="AI14" s="13">
        <v>0.28000000000000003</v>
      </c>
      <c r="AJ14" s="13">
        <v>0.25</v>
      </c>
      <c r="AK14" s="13">
        <f t="shared" si="5"/>
        <v>0.26458000000000004</v>
      </c>
      <c r="AL14" s="13">
        <f>(0.25*(12850/(12850+12150)))+(0.28*(12150/(12850+12150)))</f>
        <v>0.26458000000000004</v>
      </c>
      <c r="AN14" s="14">
        <f t="shared" si="0"/>
        <v>0.25326594913520428</v>
      </c>
    </row>
    <row r="15" spans="1:40" x14ac:dyDescent="0.25">
      <c r="A15" s="3" t="s">
        <v>12</v>
      </c>
      <c r="B15" s="4">
        <v>15646648</v>
      </c>
      <c r="C15" s="6">
        <v>12807960</v>
      </c>
      <c r="D15" s="6">
        <v>140404</v>
      </c>
      <c r="E15" s="4">
        <v>544952</v>
      </c>
      <c r="F15" s="6">
        <v>6291</v>
      </c>
      <c r="G15" s="6">
        <v>2147042</v>
      </c>
      <c r="I15" s="13">
        <f>(0.25*46400/(46400+53600))+(0.28*(53600/(46400+53600)))</f>
        <v>0.26608000000000004</v>
      </c>
      <c r="J15" s="13">
        <f>(0.28*(11525/(11525+88475))+(0.33*(88475/(11525+88475))))</f>
        <v>0.32423750000000007</v>
      </c>
      <c r="K15" s="13">
        <f>(0.25*(25450/(25450+74550)))+(0.28*(74550/(25450+74550)))</f>
        <v>0.27236500000000002</v>
      </c>
      <c r="L15" s="13">
        <f t="shared" si="1"/>
        <v>0.28837500000000005</v>
      </c>
      <c r="M15" s="13">
        <f>(0.28*(83250/(83250+16750)))+(0.33*(16750/(83250+16750)))</f>
        <v>0.28837500000000005</v>
      </c>
      <c r="O15" s="14">
        <f t="shared" si="2"/>
        <v>0.2698890666049325</v>
      </c>
      <c r="Z15" s="13">
        <f>(0.15*46400/(46400+53600))+(0.15*(53600/(46400+53600)))</f>
        <v>0.15</v>
      </c>
      <c r="AA15" s="13">
        <f>(0.15*(11525/(11525+88475))+(0.15*(88475/(11525+88475))))</f>
        <v>0.15000000000000002</v>
      </c>
      <c r="AB15" s="13">
        <f>(0.15*(25450/(25450+74550)))+(0.15*(74550/(25450+74550)))</f>
        <v>0.15000000000000002</v>
      </c>
      <c r="AC15" s="13">
        <f t="shared" si="3"/>
        <v>0.15</v>
      </c>
      <c r="AD15" s="13">
        <f>(0.15*(83250/(83250+16750)))+(0.15*(16750/(83250+16750)))</f>
        <v>0.15</v>
      </c>
      <c r="AF15" s="14">
        <f t="shared" si="4"/>
        <v>0.15</v>
      </c>
      <c r="AH15" s="13">
        <f>(0.25*46400/(46400+53600))+(0.28*(53600/(46400+53600)))</f>
        <v>0.26608000000000004</v>
      </c>
      <c r="AI15" s="13">
        <f>(0.28*(11525/(11525+88475))+(0.33*(88475/(11525+88475))))</f>
        <v>0.32423750000000007</v>
      </c>
      <c r="AJ15" s="13">
        <f>(0.25*(25450/(25450+74550)))+(0.28*(74550/(25450+74550)))</f>
        <v>0.27236500000000002</v>
      </c>
      <c r="AK15" s="13">
        <f t="shared" si="5"/>
        <v>0.28837500000000005</v>
      </c>
      <c r="AL15" s="13">
        <f>(0.28*(83250/(83250+16750)))+(0.33*(16750/(83250+16750)))</f>
        <v>0.28837500000000005</v>
      </c>
      <c r="AN15" s="14">
        <f t="shared" si="0"/>
        <v>0.2698890666049325</v>
      </c>
    </row>
    <row r="16" spans="1:40" x14ac:dyDescent="0.25">
      <c r="A16" s="3" t="s">
        <v>13</v>
      </c>
      <c r="B16" s="4">
        <v>4154112</v>
      </c>
      <c r="C16" s="6">
        <v>3550133</v>
      </c>
      <c r="D16" s="6">
        <v>41743</v>
      </c>
      <c r="E16" s="4">
        <v>105839</v>
      </c>
      <c r="F16" s="6">
        <v>2426</v>
      </c>
      <c r="G16" s="6">
        <v>453971</v>
      </c>
      <c r="I16" s="13">
        <f>(0.28*23500/(23500+51650+175300+50000))+(0.33*(175300/(23500+51650+175300+50000)))+(0.35*(51650/(23500+51650+175300+50000)))+(0.396*(50000/(23500+51650+175300+50000)))</f>
        <v>0.34051090031619241</v>
      </c>
      <c r="J16" s="13">
        <f>(0.35*(25000/(25000+275000))+(0.396*(275000/(25000+275000))))</f>
        <v>0.39216666666666666</v>
      </c>
      <c r="K16" s="13">
        <f>(0.28*(3150/(3150+195200+26650+75000)))+(0.33*(195200/(3150+195200+26650+75000)))+(0.35*(26650/(3150+195200+26650+75000)))+(0.396*(75000/(3150+195200+26650+75000)))</f>
        <v>0.34775166666666668</v>
      </c>
      <c r="L16" s="13">
        <f t="shared" si="1"/>
        <v>0.31905166666666673</v>
      </c>
      <c r="M16" s="13">
        <f>(0.28*(198350/(198350+1650+100000)))+(0.35*(1650/(198350+1650+100000)))+(0.396*(100000/(198350+1650+100000)))</f>
        <v>0.31905166666666673</v>
      </c>
      <c r="O16" s="14">
        <f t="shared" si="2"/>
        <v>0.3388568024643755</v>
      </c>
      <c r="Z16" s="13">
        <f>(0.15*23500/(23500+51650+175300+50000))+(0.15*(175300/(23500+51650+175300+50000)))+(0.188*(51650/(23500+51650+175300+50000)))+(0.238*(50000/(23500+51650+175300+50000)))</f>
        <v>0.17117723414877684</v>
      </c>
      <c r="AA16" s="13">
        <f>(0.188*(25000/(25000+275000))+(0.238*(275000/(25000+275000))))</f>
        <v>0.23383333333333331</v>
      </c>
      <c r="AB16" s="13">
        <f>(0.15*(3150/(3150+195200+26650+75000)))+(0.15*(195200/(3150+195200+26650+75000)))+(0.188*(26650/(3150+195200+26650+75000)))+(0.238*(75000/(3150+195200+26650+75000)))</f>
        <v>0.17537566666666665</v>
      </c>
      <c r="AC16" s="13">
        <f t="shared" si="3"/>
        <v>0.1795423333333333</v>
      </c>
      <c r="AD16" s="13">
        <f>(0.15*(198350/(198350+1650+100000)))+(0.188*(1650/(198350+1650+100000)))+(0.238*(100000/(198350+1650+100000)))</f>
        <v>0.1795423333333333</v>
      </c>
      <c r="AF16" s="14">
        <f t="shared" si="4"/>
        <v>0.17283285094968542</v>
      </c>
      <c r="AH16" s="13">
        <f>(0.28*23500/(23500+51650+175300+50000))+(0.33*(175300/(23500+51650+175300+50000)))+(0.388*(51650/(23500+51650+175300+50000)))+(0.434*(50000/(23500+51650+175300+50000)))</f>
        <v>0.35336728240971882</v>
      </c>
      <c r="AI16" s="13">
        <f>(0.388*(25000/(25000+275000))+(0.434*(275000/(25000+275000))))</f>
        <v>0.43016666666666664</v>
      </c>
      <c r="AJ16" s="13">
        <f>(0.28*(3150/(3150+195200+26650+75000)))+(0.33*(195200/(3150+195200+26650+75000)))+(0.388*(26650/(3150+195200+26650+75000)))+(0.434*(75000/(3150+195200+26650+75000)))</f>
        <v>0.3606273333333333</v>
      </c>
      <c r="AK16" s="13">
        <f t="shared" si="5"/>
        <v>0.33192733333333335</v>
      </c>
      <c r="AL16" s="13">
        <f>(0.28*(198350/(198350+1650+100000)))+(0.388*(1650/(198350+1650+100000)))+(0.434*(100000/(198350+1650+100000)))</f>
        <v>0.33192733333333335</v>
      </c>
      <c r="AN16" s="14">
        <f t="shared" si="0"/>
        <v>0.35196845271714605</v>
      </c>
    </row>
    <row r="17" spans="1:40" x14ac:dyDescent="0.25">
      <c r="A17" s="3" t="s">
        <v>14</v>
      </c>
      <c r="B17" s="4">
        <v>705029</v>
      </c>
      <c r="C17" s="6">
        <v>603943</v>
      </c>
      <c r="D17" s="7">
        <v>16178</v>
      </c>
      <c r="E17" s="4">
        <v>15059</v>
      </c>
      <c r="F17" s="7">
        <v>313</v>
      </c>
      <c r="G17" s="6">
        <v>78147</v>
      </c>
      <c r="I17" s="13">
        <v>0.39600000000000002</v>
      </c>
      <c r="J17" s="13">
        <v>0.39600000000000002</v>
      </c>
      <c r="K17" s="13">
        <v>0.39600000000000002</v>
      </c>
      <c r="L17" s="13">
        <f t="shared" si="1"/>
        <v>0.39600000000000002</v>
      </c>
      <c r="M17" s="13">
        <v>0.39600000000000002</v>
      </c>
      <c r="O17" s="14">
        <f t="shared" si="2"/>
        <v>0.39600000000000007</v>
      </c>
      <c r="Z17" s="13">
        <v>0.23799999999999999</v>
      </c>
      <c r="AA17" s="13">
        <v>0.23799999999999999</v>
      </c>
      <c r="AB17" s="13">
        <v>0.23799999999999999</v>
      </c>
      <c r="AC17" s="13">
        <f t="shared" si="3"/>
        <v>0.23799999999999999</v>
      </c>
      <c r="AD17" s="13">
        <v>0.23799999999999999</v>
      </c>
      <c r="AF17" s="14">
        <f t="shared" si="4"/>
        <v>0.23799999999999996</v>
      </c>
      <c r="AH17" s="13">
        <v>0.434</v>
      </c>
      <c r="AI17" s="13">
        <v>0.434</v>
      </c>
      <c r="AJ17" s="13">
        <v>0.434</v>
      </c>
      <c r="AK17" s="13">
        <f t="shared" si="5"/>
        <v>0.434</v>
      </c>
      <c r="AL17" s="13">
        <v>0.434</v>
      </c>
      <c r="AN17" s="14">
        <f t="shared" si="0"/>
        <v>0.434</v>
      </c>
    </row>
    <row r="18" spans="1:40" x14ac:dyDescent="0.25">
      <c r="A18" s="3" t="s">
        <v>15</v>
      </c>
      <c r="B18" s="4">
        <v>169413</v>
      </c>
      <c r="C18" s="6">
        <v>142111</v>
      </c>
      <c r="D18" s="7">
        <v>0</v>
      </c>
      <c r="E18" s="4">
        <v>4206</v>
      </c>
      <c r="F18" s="7">
        <v>0</v>
      </c>
      <c r="G18" s="6">
        <v>20233</v>
      </c>
      <c r="I18" s="13">
        <v>0.39600000000000002</v>
      </c>
      <c r="J18" s="13">
        <v>0.39600000000000002</v>
      </c>
      <c r="K18" s="13">
        <v>0.39600000000000002</v>
      </c>
      <c r="L18" s="13">
        <f t="shared" si="1"/>
        <v>0.39600000000000002</v>
      </c>
      <c r="M18" s="13">
        <v>0.39600000000000002</v>
      </c>
      <c r="O18" s="14">
        <f t="shared" si="2"/>
        <v>0.39600000000000002</v>
      </c>
      <c r="Z18" s="13">
        <v>0.23799999999999999</v>
      </c>
      <c r="AA18" s="13">
        <v>0.23799999999999999</v>
      </c>
      <c r="AB18" s="13">
        <v>0.23799999999999999</v>
      </c>
      <c r="AC18" s="13">
        <f t="shared" si="3"/>
        <v>0.23799999999999999</v>
      </c>
      <c r="AD18" s="13">
        <v>0.23799999999999999</v>
      </c>
      <c r="AF18" s="14">
        <f t="shared" si="4"/>
        <v>0.23799999999999996</v>
      </c>
      <c r="AH18" s="13">
        <v>0.434</v>
      </c>
      <c r="AI18" s="13">
        <v>0.434</v>
      </c>
      <c r="AJ18" s="13">
        <v>0.434</v>
      </c>
      <c r="AK18" s="13">
        <f t="shared" si="5"/>
        <v>0.434</v>
      </c>
      <c r="AL18" s="13">
        <v>0.434</v>
      </c>
      <c r="AN18" s="14">
        <f t="shared" si="0"/>
        <v>0.434</v>
      </c>
    </row>
    <row r="19" spans="1:40" x14ac:dyDescent="0.25">
      <c r="A19" s="3" t="s">
        <v>16</v>
      </c>
      <c r="B19" s="4">
        <v>71874</v>
      </c>
      <c r="C19" s="6">
        <v>60363</v>
      </c>
      <c r="D19" s="7">
        <v>0</v>
      </c>
      <c r="E19" s="4">
        <v>1502</v>
      </c>
      <c r="F19" s="7">
        <v>0</v>
      </c>
      <c r="G19" s="6">
        <v>8577</v>
      </c>
      <c r="I19" s="13">
        <v>0.39600000000000002</v>
      </c>
      <c r="J19" s="13">
        <v>0.39600000000000002</v>
      </c>
      <c r="K19" s="13">
        <v>0.39600000000000002</v>
      </c>
      <c r="L19" s="13">
        <f t="shared" si="1"/>
        <v>0.39600000000000002</v>
      </c>
      <c r="M19" s="13">
        <v>0.39600000000000002</v>
      </c>
      <c r="O19" s="14">
        <f t="shared" si="2"/>
        <v>0.39599999999999996</v>
      </c>
      <c r="Z19" s="13">
        <v>0.23799999999999999</v>
      </c>
      <c r="AA19" s="13">
        <v>0.23799999999999999</v>
      </c>
      <c r="AB19" s="13">
        <v>0.23799999999999999</v>
      </c>
      <c r="AC19" s="13">
        <f t="shared" si="3"/>
        <v>0.23799999999999999</v>
      </c>
      <c r="AD19" s="13">
        <v>0.23799999999999999</v>
      </c>
      <c r="AF19" s="14">
        <f t="shared" si="4"/>
        <v>0.23799999999999999</v>
      </c>
      <c r="AH19" s="13">
        <v>0.434</v>
      </c>
      <c r="AI19" s="13">
        <v>0.434</v>
      </c>
      <c r="AJ19" s="13">
        <v>0.434</v>
      </c>
      <c r="AK19" s="13">
        <f t="shared" si="5"/>
        <v>0.434</v>
      </c>
      <c r="AL19" s="13">
        <v>0.434</v>
      </c>
      <c r="AN19" s="14">
        <f t="shared" si="0"/>
        <v>0.434</v>
      </c>
    </row>
    <row r="20" spans="1:40" x14ac:dyDescent="0.25">
      <c r="A20" s="3" t="s">
        <v>17</v>
      </c>
      <c r="B20" s="4">
        <v>106711</v>
      </c>
      <c r="C20" s="6">
        <v>87501</v>
      </c>
      <c r="D20" s="7">
        <v>0</v>
      </c>
      <c r="E20" s="4">
        <v>2469</v>
      </c>
      <c r="F20" s="7">
        <v>0</v>
      </c>
      <c r="G20" s="6">
        <v>14162</v>
      </c>
      <c r="I20" s="13">
        <v>0.39600000000000002</v>
      </c>
      <c r="J20" s="13">
        <v>0.39600000000000002</v>
      </c>
      <c r="K20" s="13">
        <v>0.39600000000000002</v>
      </c>
      <c r="L20" s="13">
        <f t="shared" si="1"/>
        <v>0.39600000000000002</v>
      </c>
      <c r="M20" s="13">
        <v>0.39600000000000002</v>
      </c>
      <c r="O20" s="14">
        <f t="shared" si="2"/>
        <v>0.39600000000000002</v>
      </c>
      <c r="Z20" s="13">
        <v>0.23799999999999999</v>
      </c>
      <c r="AA20" s="13">
        <v>0.23799999999999999</v>
      </c>
      <c r="AB20" s="13">
        <v>0.23799999999999999</v>
      </c>
      <c r="AC20" s="13">
        <f t="shared" si="3"/>
        <v>0.23799999999999999</v>
      </c>
      <c r="AD20" s="13">
        <v>0.23799999999999999</v>
      </c>
      <c r="AF20" s="14">
        <f t="shared" si="4"/>
        <v>0.23799999999999996</v>
      </c>
      <c r="AH20" s="13">
        <v>0.434</v>
      </c>
      <c r="AI20" s="13">
        <v>0.434</v>
      </c>
      <c r="AJ20" s="13">
        <v>0.434</v>
      </c>
      <c r="AK20" s="13">
        <f t="shared" si="5"/>
        <v>0.434</v>
      </c>
      <c r="AL20" s="13">
        <v>0.434</v>
      </c>
      <c r="AN20" s="14">
        <f t="shared" si="0"/>
        <v>0.434</v>
      </c>
    </row>
    <row r="21" spans="1:40" x14ac:dyDescent="0.25">
      <c r="A21" s="3" t="s">
        <v>18</v>
      </c>
      <c r="B21" s="4">
        <v>27167</v>
      </c>
      <c r="C21" s="6">
        <v>21981</v>
      </c>
      <c r="D21" s="7">
        <v>0</v>
      </c>
      <c r="E21" s="4">
        <v>679</v>
      </c>
      <c r="F21" s="7">
        <v>0</v>
      </c>
      <c r="G21" s="6">
        <v>3585</v>
      </c>
      <c r="I21" s="13">
        <v>0.39600000000000002</v>
      </c>
      <c r="J21" s="13">
        <v>0.39600000000000002</v>
      </c>
      <c r="K21" s="13">
        <v>0.39600000000000002</v>
      </c>
      <c r="L21" s="13">
        <f t="shared" si="1"/>
        <v>0.39600000000000002</v>
      </c>
      <c r="M21" s="13">
        <v>0.39600000000000002</v>
      </c>
      <c r="O21" s="14">
        <f t="shared" si="2"/>
        <v>0.39600000000000002</v>
      </c>
      <c r="Z21" s="13">
        <v>0.23799999999999999</v>
      </c>
      <c r="AA21" s="13">
        <v>0.23799999999999999</v>
      </c>
      <c r="AB21" s="13">
        <v>0.23799999999999999</v>
      </c>
      <c r="AC21" s="13">
        <f t="shared" si="3"/>
        <v>0.23799999999999999</v>
      </c>
      <c r="AD21" s="13">
        <v>0.23799999999999999</v>
      </c>
      <c r="AF21" s="14">
        <f t="shared" si="4"/>
        <v>0.23799999999999999</v>
      </c>
      <c r="AH21" s="13">
        <v>0.434</v>
      </c>
      <c r="AI21" s="13">
        <v>0.434</v>
      </c>
      <c r="AJ21" s="13">
        <v>0.434</v>
      </c>
      <c r="AK21" s="13">
        <f t="shared" si="5"/>
        <v>0.434</v>
      </c>
      <c r="AL21" s="13">
        <v>0.434</v>
      </c>
      <c r="AN21" s="14">
        <f t="shared" si="0"/>
        <v>0.434</v>
      </c>
    </row>
    <row r="22" spans="1:40" x14ac:dyDescent="0.25">
      <c r="A22" s="3" t="s">
        <v>19</v>
      </c>
      <c r="B22" s="4">
        <v>17685</v>
      </c>
      <c r="C22" s="6">
        <v>14139</v>
      </c>
      <c r="D22" s="7">
        <v>0</v>
      </c>
      <c r="E22" s="4">
        <v>450</v>
      </c>
      <c r="F22" s="7">
        <v>0</v>
      </c>
      <c r="G22" s="6">
        <v>2283</v>
      </c>
      <c r="I22" s="13">
        <v>0.39600000000000002</v>
      </c>
      <c r="J22" s="13">
        <v>0.39600000000000002</v>
      </c>
      <c r="K22" s="13">
        <v>0.39600000000000002</v>
      </c>
      <c r="L22" s="13">
        <f t="shared" si="1"/>
        <v>0.39600000000000002</v>
      </c>
      <c r="M22" s="13">
        <v>0.39600000000000002</v>
      </c>
      <c r="O22" s="14">
        <f t="shared" si="2"/>
        <v>0.39600000000000002</v>
      </c>
      <c r="Z22" s="13">
        <v>0.23799999999999999</v>
      </c>
      <c r="AA22" s="13">
        <v>0.23799999999999999</v>
      </c>
      <c r="AB22" s="13">
        <v>0.23799999999999999</v>
      </c>
      <c r="AC22" s="13">
        <f t="shared" si="3"/>
        <v>0.23799999999999999</v>
      </c>
      <c r="AD22" s="13">
        <v>0.23799999999999999</v>
      </c>
      <c r="AF22" s="14">
        <f t="shared" si="4"/>
        <v>0.23799999999999999</v>
      </c>
      <c r="AH22" s="13">
        <v>0.434</v>
      </c>
      <c r="AI22" s="13">
        <v>0.434</v>
      </c>
      <c r="AJ22" s="13">
        <v>0.434</v>
      </c>
      <c r="AK22" s="13">
        <f t="shared" si="5"/>
        <v>0.434</v>
      </c>
      <c r="AL22" s="13">
        <v>0.434</v>
      </c>
      <c r="AN22" s="14">
        <f t="shared" si="0"/>
        <v>0.434</v>
      </c>
    </row>
    <row r="23" spans="1:40" x14ac:dyDescent="0.25">
      <c r="P23" t="s">
        <v>59</v>
      </c>
      <c r="AF23" t="s">
        <v>67</v>
      </c>
    </row>
    <row r="24" spans="1:40" x14ac:dyDescent="0.25">
      <c r="B24" t="s">
        <v>26</v>
      </c>
      <c r="C24" t="s">
        <v>47</v>
      </c>
      <c r="D24" t="s">
        <v>48</v>
      </c>
      <c r="E24" t="s">
        <v>49</v>
      </c>
      <c r="F24" t="s">
        <v>50</v>
      </c>
      <c r="G24" t="s">
        <v>51</v>
      </c>
      <c r="H24" t="s">
        <v>53</v>
      </c>
      <c r="I24" t="s">
        <v>54</v>
      </c>
      <c r="J24" t="s">
        <v>52</v>
      </c>
      <c r="K24" t="s">
        <v>55</v>
      </c>
      <c r="L24" t="s">
        <v>56</v>
      </c>
      <c r="M24" t="s">
        <v>57</v>
      </c>
      <c r="N24" t="s">
        <v>58</v>
      </c>
      <c r="P24" t="s">
        <v>26</v>
      </c>
      <c r="Q24" t="s">
        <v>47</v>
      </c>
      <c r="R24" t="s">
        <v>48</v>
      </c>
      <c r="S24" t="s">
        <v>49</v>
      </c>
      <c r="T24" t="s">
        <v>50</v>
      </c>
      <c r="U24" t="s">
        <v>51</v>
      </c>
      <c r="W24" t="s">
        <v>69</v>
      </c>
      <c r="Y24" t="s">
        <v>54</v>
      </c>
      <c r="Z24" t="s">
        <v>52</v>
      </c>
      <c r="AA24" t="s">
        <v>55</v>
      </c>
      <c r="AB24" t="s">
        <v>56</v>
      </c>
      <c r="AC24" t="s">
        <v>57</v>
      </c>
      <c r="AD24" t="s">
        <v>58</v>
      </c>
      <c r="AG24" t="s">
        <v>89</v>
      </c>
    </row>
    <row r="25" spans="1:40" x14ac:dyDescent="0.25">
      <c r="A25" s="9" t="s">
        <v>0</v>
      </c>
      <c r="B25" s="2">
        <v>100870058</v>
      </c>
      <c r="C25" s="2">
        <v>975274407</v>
      </c>
      <c r="D25" s="2">
        <v>612544219</v>
      </c>
      <c r="E25" s="2">
        <v>230783461</v>
      </c>
      <c r="F25" s="2">
        <v>20400068</v>
      </c>
      <c r="G25" s="11">
        <v>29758025</v>
      </c>
      <c r="H25" s="2">
        <v>24186446</v>
      </c>
      <c r="I25" s="11">
        <v>644856734</v>
      </c>
      <c r="J25" s="2">
        <v>2216531</v>
      </c>
      <c r="K25" s="2">
        <v>204401524</v>
      </c>
      <c r="L25" s="2">
        <v>260393306</v>
      </c>
      <c r="M25" s="2">
        <v>71066052</v>
      </c>
      <c r="N25" s="2">
        <v>111789613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40" x14ac:dyDescent="0.25">
      <c r="A26" s="10" t="s">
        <v>27</v>
      </c>
      <c r="B26" s="4">
        <v>3140856</v>
      </c>
      <c r="C26" s="4">
        <v>7451454</v>
      </c>
      <c r="D26" s="4">
        <v>3198148</v>
      </c>
      <c r="E26" s="4">
        <v>2984215</v>
      </c>
      <c r="F26" s="4">
        <v>2028139</v>
      </c>
      <c r="G26" s="12">
        <v>15573889</v>
      </c>
      <c r="H26" s="4">
        <v>1698801</v>
      </c>
      <c r="I26" s="12">
        <v>14428895</v>
      </c>
      <c r="J26" s="4">
        <v>8590</v>
      </c>
      <c r="K26" s="4">
        <v>3146901</v>
      </c>
      <c r="L26" s="4">
        <v>4687343</v>
      </c>
      <c r="M26" s="4">
        <v>2485021</v>
      </c>
      <c r="N26" s="4">
        <v>5352850</v>
      </c>
      <c r="P26" s="14">
        <f>O4</f>
        <v>0.1</v>
      </c>
      <c r="Q26" s="14">
        <f>P26</f>
        <v>0.1</v>
      </c>
      <c r="R26" s="14">
        <v>0</v>
      </c>
      <c r="S26" s="14">
        <f>P26</f>
        <v>0.1</v>
      </c>
      <c r="T26" s="14">
        <f>((1-$E$50)*$AN4)+($E$50*$AF4)</f>
        <v>4.0329613111772238E-2</v>
      </c>
      <c r="U26" s="14">
        <f>0</f>
        <v>0</v>
      </c>
      <c r="V26" s="14"/>
      <c r="W26" s="14">
        <f>0</f>
        <v>0</v>
      </c>
      <c r="X26" s="14"/>
      <c r="Y26" s="14">
        <f>((1-$E$50)*$AN4)+($E$50*$AF4)</f>
        <v>4.0329613111772238E-2</v>
      </c>
      <c r="Z26" s="14">
        <f>((1-$E$50)*$AN4)+($E$50*$AF4)</f>
        <v>4.0329613111772238E-2</v>
      </c>
      <c r="AA26" s="14">
        <f>AF4</f>
        <v>0</v>
      </c>
      <c r="AB26" s="14">
        <f>P26</f>
        <v>0.1</v>
      </c>
      <c r="AC26" s="14">
        <v>0</v>
      </c>
      <c r="AD26" s="14">
        <f>P26</f>
        <v>0.1</v>
      </c>
      <c r="AF26" s="14">
        <f>((P26*B26)+(C26*Q26)+(D26*R26)+(E26*S26)+(F26*T26)+(G26*U26)+(H26*W26)+(Y26*I26)+(J26*Z26)+(K26*AA26)+(L26*AB26)+(M26*AC26)+(N26*AD26))/(SUM(B26:N26))</f>
        <v>4.5716089484366305E-2</v>
      </c>
    </row>
    <row r="27" spans="1:40" x14ac:dyDescent="0.25">
      <c r="A27" s="10" t="s">
        <v>28</v>
      </c>
      <c r="B27" s="4">
        <v>444167</v>
      </c>
      <c r="C27" s="4">
        <v>5401262</v>
      </c>
      <c r="D27" s="4">
        <v>1967274</v>
      </c>
      <c r="E27" s="4">
        <v>918961</v>
      </c>
      <c r="F27" s="4">
        <v>45465</v>
      </c>
      <c r="G27" s="12">
        <v>430990</v>
      </c>
      <c r="H27" s="4">
        <v>911128</v>
      </c>
      <c r="I27" s="12">
        <v>599710</v>
      </c>
      <c r="J27" s="4">
        <v>53846</v>
      </c>
      <c r="K27" s="4">
        <v>749380</v>
      </c>
      <c r="L27" s="4">
        <v>1225632</v>
      </c>
      <c r="M27" s="4">
        <v>290844</v>
      </c>
      <c r="N27" s="4">
        <v>890567</v>
      </c>
      <c r="P27" s="14">
        <f t="shared" ref="P27:P37" si="6">O5</f>
        <v>0.1</v>
      </c>
      <c r="Q27" s="14">
        <f t="shared" ref="Q27:Q45" si="7">P27</f>
        <v>0.1</v>
      </c>
      <c r="R27" s="14">
        <v>0</v>
      </c>
      <c r="S27" s="14">
        <f t="shared" ref="S27:S45" si="8">P27</f>
        <v>0.1</v>
      </c>
      <c r="T27" s="14">
        <f>((1-$E$50)*$AN5)+($E$50*$AF5)</f>
        <v>4.0329613111772238E-2</v>
      </c>
      <c r="U27" s="14">
        <f>0</f>
        <v>0</v>
      </c>
      <c r="V27" s="14"/>
      <c r="W27" s="14">
        <f>0</f>
        <v>0</v>
      </c>
      <c r="X27" s="14"/>
      <c r="Y27" s="14">
        <f>((1-$E$50)*$AN5)+($E$50*$AF5)</f>
        <v>4.0329613111772238E-2</v>
      </c>
      <c r="Z27" s="14">
        <f>((1-$E$50)*$AN5)+($E$50*$AF5)</f>
        <v>4.0329613111772238E-2</v>
      </c>
      <c r="AA27" s="14">
        <f t="shared" ref="AA27:AA36" si="9">AF5</f>
        <v>0</v>
      </c>
      <c r="AB27" s="14">
        <f t="shared" ref="AB27:AB45" si="10">P27</f>
        <v>0.1</v>
      </c>
      <c r="AC27" s="14">
        <v>0</v>
      </c>
      <c r="AD27" s="14">
        <f t="shared" ref="AD27:AD45" si="11">P27</f>
        <v>0.1</v>
      </c>
      <c r="AF27" s="14">
        <f t="shared" ref="AF27:AF45" si="12">((P27*B27)+(C27*Q27)+(D27*R27)+(E27*S27)+(F27*T27)+(G27*U27)+(H27*W27)+(Y27*I27)+(J27*Z27)+(K27*AA27)+(L27*AB27)+(M27*AC27)+(N27*AD27))/(SUM(B27:N27))</f>
        <v>6.577897052478035E-2</v>
      </c>
    </row>
    <row r="28" spans="1:40" x14ac:dyDescent="0.25">
      <c r="A28" s="10" t="s">
        <v>29</v>
      </c>
      <c r="B28" s="4">
        <v>937398</v>
      </c>
      <c r="C28" s="4">
        <v>11370258</v>
      </c>
      <c r="D28" s="4">
        <v>6869349</v>
      </c>
      <c r="E28" s="4">
        <v>2361561</v>
      </c>
      <c r="F28" s="4">
        <v>34559</v>
      </c>
      <c r="G28" s="12">
        <v>281250</v>
      </c>
      <c r="H28" s="4">
        <v>879207</v>
      </c>
      <c r="I28" s="12">
        <v>630108</v>
      </c>
      <c r="J28" s="4">
        <v>70187</v>
      </c>
      <c r="K28" s="4">
        <v>905159</v>
      </c>
      <c r="L28" s="4">
        <v>1640298</v>
      </c>
      <c r="M28" s="4">
        <v>358443</v>
      </c>
      <c r="N28" s="4">
        <v>1295730</v>
      </c>
      <c r="P28" s="14">
        <f t="shared" si="6"/>
        <v>0.10814226513099788</v>
      </c>
      <c r="Q28" s="14">
        <f t="shared" si="7"/>
        <v>0.10814226513099788</v>
      </c>
      <c r="R28" s="14">
        <v>0</v>
      </c>
      <c r="S28" s="14">
        <f t="shared" si="8"/>
        <v>0.10814226513099788</v>
      </c>
      <c r="T28" s="14">
        <f>((1-$E$50)*$AN6)+($E$50*$AF6)</f>
        <v>4.3613357137638413E-2</v>
      </c>
      <c r="U28" s="14">
        <f>0</f>
        <v>0</v>
      </c>
      <c r="V28" s="14"/>
      <c r="W28" s="14">
        <f>0</f>
        <v>0</v>
      </c>
      <c r="X28" s="14"/>
      <c r="Y28" s="14">
        <f>((1-$E$50)*$AN6)+($E$50*$AF6)</f>
        <v>4.3613357137638413E-2</v>
      </c>
      <c r="Z28" s="14">
        <f>((1-$E$50)*$AN6)+($E$50*$AF6)</f>
        <v>4.3613357137638413E-2</v>
      </c>
      <c r="AA28" s="14">
        <f t="shared" si="9"/>
        <v>0</v>
      </c>
      <c r="AB28" s="14">
        <f t="shared" si="10"/>
        <v>0.10814226513099788</v>
      </c>
      <c r="AC28" s="14">
        <v>0</v>
      </c>
      <c r="AD28" s="14">
        <f t="shared" si="11"/>
        <v>0.10814226513099788</v>
      </c>
      <c r="AF28" s="14">
        <f t="shared" si="12"/>
        <v>7.0056997196635121E-2</v>
      </c>
    </row>
    <row r="29" spans="1:40" x14ac:dyDescent="0.25">
      <c r="A29" s="10" t="s">
        <v>30</v>
      </c>
      <c r="B29" s="4">
        <v>1416626</v>
      </c>
      <c r="C29" s="4">
        <v>23217249</v>
      </c>
      <c r="D29" s="4">
        <v>15973449</v>
      </c>
      <c r="E29" s="4">
        <v>3942851</v>
      </c>
      <c r="F29" s="4">
        <v>109417</v>
      </c>
      <c r="G29" s="12">
        <v>323158</v>
      </c>
      <c r="H29" s="4">
        <v>900166</v>
      </c>
      <c r="I29" s="12">
        <v>748177</v>
      </c>
      <c r="J29" s="4">
        <v>53595</v>
      </c>
      <c r="K29" s="4">
        <v>1432896</v>
      </c>
      <c r="L29" s="4">
        <v>2408805</v>
      </c>
      <c r="M29" s="4">
        <v>702802</v>
      </c>
      <c r="N29" s="4">
        <v>1873500</v>
      </c>
      <c r="P29" s="14">
        <f t="shared" si="6"/>
        <v>0.13694311288175479</v>
      </c>
      <c r="Q29" s="14">
        <f t="shared" si="7"/>
        <v>0.13694311288175479</v>
      </c>
      <c r="R29" s="14">
        <v>0</v>
      </c>
      <c r="S29" s="14">
        <f t="shared" si="8"/>
        <v>0.13694311288175479</v>
      </c>
      <c r="T29" s="14">
        <f>((1-$E$50)*$AN7)+($E$50*$AF7)</f>
        <v>5.5228627608429226E-2</v>
      </c>
      <c r="U29" s="14">
        <f>0</f>
        <v>0</v>
      </c>
      <c r="V29" s="14"/>
      <c r="W29" s="14">
        <f>0</f>
        <v>0</v>
      </c>
      <c r="X29" s="14"/>
      <c r="Y29" s="14">
        <f>((1-$E$50)*$AN7)+($E$50*$AF7)</f>
        <v>5.5228627608429226E-2</v>
      </c>
      <c r="Z29" s="14">
        <f>((1-$E$50)*$AN7)+($E$50*$AF7)</f>
        <v>5.5228627608429226E-2</v>
      </c>
      <c r="AA29" s="14">
        <f t="shared" si="9"/>
        <v>0</v>
      </c>
      <c r="AB29" s="14">
        <f t="shared" si="10"/>
        <v>0.13694311288175479</v>
      </c>
      <c r="AC29" s="14">
        <v>0</v>
      </c>
      <c r="AD29" s="14">
        <f t="shared" si="11"/>
        <v>0.13694311288175479</v>
      </c>
      <c r="AF29" s="14">
        <f t="shared" si="12"/>
        <v>8.5685708646666844E-2</v>
      </c>
    </row>
    <row r="30" spans="1:40" x14ac:dyDescent="0.25">
      <c r="A30" s="10" t="s">
        <v>31</v>
      </c>
      <c r="B30" s="4">
        <v>1647816</v>
      </c>
      <c r="C30" s="4">
        <v>25506240</v>
      </c>
      <c r="D30" s="4">
        <v>18869043</v>
      </c>
      <c r="E30" s="4">
        <v>4717279</v>
      </c>
      <c r="F30" s="4">
        <v>174551</v>
      </c>
      <c r="G30" s="12">
        <v>311748</v>
      </c>
      <c r="H30" s="4">
        <v>734811</v>
      </c>
      <c r="I30" s="12">
        <v>1279980</v>
      </c>
      <c r="J30" s="4">
        <v>52388</v>
      </c>
      <c r="K30" s="4">
        <v>1311155</v>
      </c>
      <c r="L30" s="4">
        <v>2131590</v>
      </c>
      <c r="M30" s="4">
        <v>697754</v>
      </c>
      <c r="N30" s="4">
        <v>1734456</v>
      </c>
      <c r="P30" s="14">
        <f t="shared" si="6"/>
        <v>0.14284918839165817</v>
      </c>
      <c r="Q30" s="14">
        <f t="shared" si="7"/>
        <v>0.14284918839165817</v>
      </c>
      <c r="R30" s="14">
        <v>0</v>
      </c>
      <c r="S30" s="14">
        <f t="shared" si="8"/>
        <v>0.14284918839165817</v>
      </c>
      <c r="T30" s="14">
        <f>((1-$E$50)*$AN8)+($E$50*$AF8)</f>
        <v>5.7610525011662389E-2</v>
      </c>
      <c r="U30" s="14">
        <f>0</f>
        <v>0</v>
      </c>
      <c r="V30" s="14"/>
      <c r="W30" s="14">
        <f>0</f>
        <v>0</v>
      </c>
      <c r="X30" s="14"/>
      <c r="Y30" s="14">
        <f>((1-$E$50)*$AN8)+($E$50*$AF8)</f>
        <v>5.7610525011662389E-2</v>
      </c>
      <c r="Z30" s="14">
        <f>((1-$E$50)*$AN8)+($E$50*$AF8)</f>
        <v>5.7610525011662389E-2</v>
      </c>
      <c r="AA30" s="14">
        <f t="shared" si="9"/>
        <v>0</v>
      </c>
      <c r="AB30" s="14">
        <f t="shared" si="10"/>
        <v>0.14284918839165817</v>
      </c>
      <c r="AC30" s="14">
        <v>0</v>
      </c>
      <c r="AD30" s="14">
        <f t="shared" si="11"/>
        <v>0.14284918839165817</v>
      </c>
      <c r="AF30" s="14">
        <f t="shared" si="12"/>
        <v>8.774673984632736E-2</v>
      </c>
    </row>
    <row r="31" spans="1:40" x14ac:dyDescent="0.25">
      <c r="A31" s="10" t="s">
        <v>32</v>
      </c>
      <c r="B31" s="4">
        <v>1584798</v>
      </c>
      <c r="C31" s="4">
        <v>25916361</v>
      </c>
      <c r="D31" s="4">
        <v>19963166</v>
      </c>
      <c r="E31" s="4">
        <v>5181276</v>
      </c>
      <c r="F31" s="4">
        <v>146827</v>
      </c>
      <c r="G31" s="12">
        <v>445664</v>
      </c>
      <c r="H31" s="4">
        <v>788896</v>
      </c>
      <c r="I31" s="12">
        <v>1432750</v>
      </c>
      <c r="J31" s="4">
        <v>64016</v>
      </c>
      <c r="K31" s="4">
        <v>2464347</v>
      </c>
      <c r="L31" s="4">
        <v>3515791</v>
      </c>
      <c r="M31" s="4">
        <v>825617</v>
      </c>
      <c r="N31" s="4">
        <v>1692309</v>
      </c>
      <c r="P31" s="14">
        <f t="shared" si="6"/>
        <v>0.15</v>
      </c>
      <c r="Q31" s="14">
        <f t="shared" si="7"/>
        <v>0.15</v>
      </c>
      <c r="R31" s="14">
        <v>0</v>
      </c>
      <c r="S31" s="14">
        <f t="shared" si="8"/>
        <v>0.15</v>
      </c>
      <c r="T31" s="14">
        <f>((1-$E$51)*$AN9)+($E$51*$AF9)</f>
        <v>6.2542109564187792E-2</v>
      </c>
      <c r="U31" s="14">
        <f>0</f>
        <v>0</v>
      </c>
      <c r="V31" s="14"/>
      <c r="W31" s="14">
        <f>0</f>
        <v>0</v>
      </c>
      <c r="X31" s="14"/>
      <c r="Y31" s="14">
        <f>((1-$E$51)*$AN9)+($E$51*$AF9)</f>
        <v>6.2542109564187792E-2</v>
      </c>
      <c r="Z31" s="14">
        <f>((1-$E$51)*$AN9)+($E$51*$AF9)</f>
        <v>6.2542109564187792E-2</v>
      </c>
      <c r="AA31" s="14">
        <f t="shared" si="9"/>
        <v>0</v>
      </c>
      <c r="AB31" s="14">
        <f t="shared" si="10"/>
        <v>0.15</v>
      </c>
      <c r="AC31" s="14">
        <v>0</v>
      </c>
      <c r="AD31" s="14">
        <f t="shared" si="11"/>
        <v>0.15</v>
      </c>
      <c r="AF31" s="14">
        <f t="shared" si="12"/>
        <v>9.0381282572839963E-2</v>
      </c>
    </row>
    <row r="32" spans="1:40" x14ac:dyDescent="0.25">
      <c r="A32" s="10" t="s">
        <v>33</v>
      </c>
      <c r="B32" s="4">
        <v>1455061</v>
      </c>
      <c r="C32" s="4">
        <v>24573517</v>
      </c>
      <c r="D32" s="4">
        <v>19677284</v>
      </c>
      <c r="E32" s="4">
        <v>5306002</v>
      </c>
      <c r="F32" s="4">
        <v>161914</v>
      </c>
      <c r="G32" s="12">
        <v>241733</v>
      </c>
      <c r="H32" s="4">
        <v>707355</v>
      </c>
      <c r="I32" s="12">
        <v>1100583</v>
      </c>
      <c r="J32" s="4">
        <v>45737</v>
      </c>
      <c r="K32" s="4">
        <v>1489848</v>
      </c>
      <c r="L32" s="4">
        <v>2309114</v>
      </c>
      <c r="M32" s="4">
        <v>832049</v>
      </c>
      <c r="N32" s="4">
        <v>1650647</v>
      </c>
      <c r="P32" s="14">
        <f t="shared" si="6"/>
        <v>0.15</v>
      </c>
      <c r="Q32" s="14">
        <f t="shared" si="7"/>
        <v>0.15</v>
      </c>
      <c r="R32" s="14">
        <v>0</v>
      </c>
      <c r="S32" s="14">
        <f t="shared" si="8"/>
        <v>0.15</v>
      </c>
      <c r="T32" s="14">
        <f>((1-$E$51)*$AN10)+($E$51*$AF10)</f>
        <v>6.2542109564187792E-2</v>
      </c>
      <c r="U32" s="14">
        <f>0</f>
        <v>0</v>
      </c>
      <c r="V32" s="14"/>
      <c r="W32" s="14">
        <f>0</f>
        <v>0</v>
      </c>
      <c r="X32" s="14"/>
      <c r="Y32" s="14">
        <f>((1-$E$51)*$AN10)+($E$51*$AF10)</f>
        <v>6.2542109564187792E-2</v>
      </c>
      <c r="Z32" s="14">
        <f>((1-$E$51)*$AN10)+($E$51*$AF10)</f>
        <v>6.2542109564187792E-2</v>
      </c>
      <c r="AA32" s="14">
        <f t="shared" si="9"/>
        <v>0</v>
      </c>
      <c r="AB32" s="14">
        <f t="shared" si="10"/>
        <v>0.15</v>
      </c>
      <c r="AC32" s="14">
        <v>0</v>
      </c>
      <c r="AD32" s="14">
        <f t="shared" si="11"/>
        <v>0.15</v>
      </c>
      <c r="AF32" s="14">
        <f t="shared" si="12"/>
        <v>9.0275309350167976E-2</v>
      </c>
    </row>
    <row r="33" spans="1:32" x14ac:dyDescent="0.25">
      <c r="A33" s="10" t="s">
        <v>34</v>
      </c>
      <c r="B33" s="4">
        <v>2725112</v>
      </c>
      <c r="C33" s="4">
        <v>54466941</v>
      </c>
      <c r="D33" s="4">
        <v>41762823</v>
      </c>
      <c r="E33" s="4">
        <v>9967719</v>
      </c>
      <c r="F33" s="4">
        <v>283073</v>
      </c>
      <c r="G33" s="12">
        <v>647992</v>
      </c>
      <c r="H33" s="4">
        <v>1352215</v>
      </c>
      <c r="I33" s="12">
        <v>2512381</v>
      </c>
      <c r="J33" s="4">
        <v>130635</v>
      </c>
      <c r="K33" s="4">
        <v>3080551</v>
      </c>
      <c r="L33" s="4">
        <v>4694329</v>
      </c>
      <c r="M33" s="4">
        <v>1551565</v>
      </c>
      <c r="N33" s="4">
        <v>3099336</v>
      </c>
      <c r="P33" s="14">
        <f t="shared" si="6"/>
        <v>0.16896089799352315</v>
      </c>
      <c r="Q33" s="14">
        <f t="shared" si="7"/>
        <v>0.16896089799352315</v>
      </c>
      <c r="R33" s="14">
        <v>0</v>
      </c>
      <c r="S33" s="14">
        <f t="shared" si="8"/>
        <v>0.16896089799352315</v>
      </c>
      <c r="T33" s="14">
        <f>((1-$E$51)*$AN11)+($E$51*$AF11)</f>
        <v>8.7030608021984798E-2</v>
      </c>
      <c r="U33" s="14">
        <f>0</f>
        <v>0</v>
      </c>
      <c r="V33" s="14"/>
      <c r="W33" s="14">
        <f>0</f>
        <v>0</v>
      </c>
      <c r="X33" s="14"/>
      <c r="Y33" s="14">
        <f>((1-$E$51)*$AN11)+($E$51*$AF11)</f>
        <v>8.7030608021984798E-2</v>
      </c>
      <c r="Z33" s="14">
        <f>((1-$E$51)*$AN11)+($E$51*$AF11)</f>
        <v>8.7030608021984798E-2</v>
      </c>
      <c r="AA33" s="14">
        <f t="shared" si="9"/>
        <v>2.8441346990284715E-2</v>
      </c>
      <c r="AB33" s="14">
        <f t="shared" si="10"/>
        <v>0.16896089799352315</v>
      </c>
      <c r="AC33" s="14">
        <v>0</v>
      </c>
      <c r="AD33" s="14">
        <f t="shared" si="11"/>
        <v>0.16896089799352315</v>
      </c>
      <c r="AF33" s="14">
        <f t="shared" si="12"/>
        <v>0.10300145026652434</v>
      </c>
    </row>
    <row r="34" spans="1:32" x14ac:dyDescent="0.25">
      <c r="A34" s="10" t="s">
        <v>35</v>
      </c>
      <c r="B34" s="4">
        <v>2933643</v>
      </c>
      <c r="C34" s="4">
        <v>57471243</v>
      </c>
      <c r="D34" s="4">
        <v>42779490</v>
      </c>
      <c r="E34" s="4">
        <v>9652219</v>
      </c>
      <c r="F34" s="4">
        <v>353513</v>
      </c>
      <c r="G34" s="12">
        <v>494758</v>
      </c>
      <c r="H34" s="4">
        <v>1278055</v>
      </c>
      <c r="I34" s="12">
        <v>3081809</v>
      </c>
      <c r="J34" s="4">
        <v>105962</v>
      </c>
      <c r="K34" s="4">
        <v>3163634</v>
      </c>
      <c r="L34" s="4">
        <v>4971785</v>
      </c>
      <c r="M34" s="4">
        <v>1999360</v>
      </c>
      <c r="N34" s="4">
        <v>3213452</v>
      </c>
      <c r="P34" s="14">
        <f t="shared" si="6"/>
        <v>0.20095887175545407</v>
      </c>
      <c r="Q34" s="14">
        <f t="shared" si="7"/>
        <v>0.20095887175545407</v>
      </c>
      <c r="R34" s="14">
        <v>0</v>
      </c>
      <c r="S34" s="14">
        <f t="shared" si="8"/>
        <v>0.20095887175545407</v>
      </c>
      <c r="T34" s="14">
        <f>((1-$E$51)*$AN12)+($E$51*$AF12)</f>
        <v>0.12835683272871221</v>
      </c>
      <c r="U34" s="14">
        <f>0</f>
        <v>0</v>
      </c>
      <c r="V34" s="14"/>
      <c r="W34" s="14">
        <f>0</f>
        <v>0</v>
      </c>
      <c r="X34" s="14"/>
      <c r="Y34" s="14">
        <f>((1-$E$51)*$AN12)+($E$51*$AF12)</f>
        <v>0.12835683272871221</v>
      </c>
      <c r="Z34" s="14">
        <f>((1-$E$51)*$AN12)+($E$51*$AF12)</f>
        <v>0.12835683272871221</v>
      </c>
      <c r="AA34" s="14">
        <f t="shared" si="9"/>
        <v>7.6438307633181102E-2</v>
      </c>
      <c r="AB34" s="14">
        <f t="shared" si="10"/>
        <v>0.20095887175545407</v>
      </c>
      <c r="AC34" s="14">
        <v>0</v>
      </c>
      <c r="AD34" s="14">
        <f t="shared" si="11"/>
        <v>0.20095887175545407</v>
      </c>
      <c r="AF34" s="14">
        <f t="shared" si="12"/>
        <v>0.12486690555471723</v>
      </c>
    </row>
    <row r="35" spans="1:32" x14ac:dyDescent="0.25">
      <c r="A35" s="10" t="s">
        <v>36</v>
      </c>
      <c r="B35" s="4">
        <v>9058671</v>
      </c>
      <c r="C35" s="4">
        <v>150995280</v>
      </c>
      <c r="D35" s="4">
        <v>110364786</v>
      </c>
      <c r="E35" s="4">
        <v>29798461</v>
      </c>
      <c r="F35" s="4">
        <v>891390</v>
      </c>
      <c r="G35" s="12">
        <v>1736230</v>
      </c>
      <c r="H35" s="4">
        <v>3050597</v>
      </c>
      <c r="I35" s="12">
        <v>8891564</v>
      </c>
      <c r="J35" s="4">
        <v>437648</v>
      </c>
      <c r="K35" s="4">
        <v>9196721</v>
      </c>
      <c r="L35" s="4">
        <v>13775830</v>
      </c>
      <c r="M35" s="4">
        <v>4658954</v>
      </c>
      <c r="N35" s="4">
        <v>8207663</v>
      </c>
      <c r="P35" s="14">
        <f t="shared" si="6"/>
        <v>0.20501069059260102</v>
      </c>
      <c r="Q35" s="14">
        <f t="shared" si="7"/>
        <v>0.20501069059260102</v>
      </c>
      <c r="R35" s="14">
        <v>0</v>
      </c>
      <c r="S35" s="14">
        <f t="shared" si="8"/>
        <v>0.20501069059260102</v>
      </c>
      <c r="T35" s="14">
        <f>((1-$E$52)*$AN13)+($E$52*$AF13)</f>
        <v>0.18055623521615585</v>
      </c>
      <c r="U35" s="14">
        <f>0</f>
        <v>0</v>
      </c>
      <c r="V35" s="14"/>
      <c r="W35" s="14">
        <f>0</f>
        <v>0</v>
      </c>
      <c r="X35" s="14"/>
      <c r="Y35" s="14">
        <f>((1-$E$52)*$AN13)+($E$52*$AF13)</f>
        <v>0.18055623521615585</v>
      </c>
      <c r="Z35" s="14">
        <f>((1-$E$52)*$AN13)+($E$52*$AF13)</f>
        <v>0.18055623521615585</v>
      </c>
      <c r="AA35" s="14">
        <f t="shared" si="9"/>
        <v>8.2414828228117035E-2</v>
      </c>
      <c r="AB35" s="14">
        <f t="shared" si="10"/>
        <v>0.20501069059260102</v>
      </c>
      <c r="AC35" s="14">
        <v>0</v>
      </c>
      <c r="AD35" s="14">
        <f t="shared" si="11"/>
        <v>0.20501069059260102</v>
      </c>
      <c r="AF35" s="14">
        <f t="shared" si="12"/>
        <v>0.13112136720506382</v>
      </c>
    </row>
    <row r="36" spans="1:32" x14ac:dyDescent="0.25">
      <c r="A36" s="10" t="s">
        <v>37</v>
      </c>
      <c r="B36" s="4">
        <v>8294672</v>
      </c>
      <c r="C36" s="4">
        <v>144668415</v>
      </c>
      <c r="D36" s="4">
        <v>99246109</v>
      </c>
      <c r="E36" s="4">
        <v>29482039</v>
      </c>
      <c r="F36" s="4">
        <v>756534</v>
      </c>
      <c r="G36" s="12">
        <v>954587</v>
      </c>
      <c r="H36" s="4">
        <v>2780738</v>
      </c>
      <c r="I36" s="12">
        <v>10748796</v>
      </c>
      <c r="J36" s="4">
        <v>317227</v>
      </c>
      <c r="K36" s="4">
        <v>9761605</v>
      </c>
      <c r="L36" s="4">
        <v>13987364</v>
      </c>
      <c r="M36" s="4">
        <v>4217905</v>
      </c>
      <c r="N36" s="4">
        <v>7258960</v>
      </c>
      <c r="P36" s="14">
        <f t="shared" si="6"/>
        <v>0.25326594913520428</v>
      </c>
      <c r="Q36" s="14">
        <f t="shared" si="7"/>
        <v>0.25326594913520428</v>
      </c>
      <c r="R36" s="14">
        <v>0</v>
      </c>
      <c r="S36" s="14">
        <f t="shared" si="8"/>
        <v>0.25326594913520428</v>
      </c>
      <c r="T36" s="14">
        <f>((1-$E$52)*$AN14)+($E$52*$AF14)</f>
        <v>0.23266727234197596</v>
      </c>
      <c r="U36" s="14">
        <f>0</f>
        <v>0</v>
      </c>
      <c r="V36" s="14"/>
      <c r="W36" s="14">
        <f>0</f>
        <v>0</v>
      </c>
      <c r="X36" s="14"/>
      <c r="Y36" s="14">
        <f>((1-$E$52)*$AN14)+($E$52*$AF14)</f>
        <v>0.23266727234197596</v>
      </c>
      <c r="Z36" s="14">
        <f>((1-$E$52)*$AN14)+($E$52*$AF14)</f>
        <v>0.23266727234197596</v>
      </c>
      <c r="AA36" s="14">
        <f t="shared" si="9"/>
        <v>0.15</v>
      </c>
      <c r="AB36" s="14">
        <f t="shared" si="10"/>
        <v>0.25326594913520428</v>
      </c>
      <c r="AC36" s="14">
        <v>0</v>
      </c>
      <c r="AD36" s="14">
        <f t="shared" si="11"/>
        <v>0.25326594913520428</v>
      </c>
      <c r="AF36" s="14">
        <f t="shared" si="12"/>
        <v>0.16784143011806488</v>
      </c>
    </row>
    <row r="37" spans="1:32" x14ac:dyDescent="0.25">
      <c r="A37" s="10" t="s">
        <v>38</v>
      </c>
      <c r="B37" s="4">
        <v>21043012</v>
      </c>
      <c r="C37" s="4">
        <v>277909306</v>
      </c>
      <c r="D37" s="4">
        <v>168075509</v>
      </c>
      <c r="E37" s="4">
        <v>64481259</v>
      </c>
      <c r="F37" s="4">
        <v>1975632</v>
      </c>
      <c r="G37" s="12">
        <v>2279133</v>
      </c>
      <c r="H37" s="4">
        <v>5363662</v>
      </c>
      <c r="I37" s="12">
        <v>35335539</v>
      </c>
      <c r="J37" s="4">
        <v>539115</v>
      </c>
      <c r="K37" s="4">
        <v>25511298</v>
      </c>
      <c r="L37" s="4">
        <v>35269567</v>
      </c>
      <c r="M37" s="4">
        <v>12014851</v>
      </c>
      <c r="N37" s="4">
        <v>14743049</v>
      </c>
      <c r="P37" s="14">
        <f t="shared" si="6"/>
        <v>0.2698890666049325</v>
      </c>
      <c r="Q37" s="14">
        <f t="shared" si="7"/>
        <v>0.2698890666049325</v>
      </c>
      <c r="R37" s="14">
        <v>0</v>
      </c>
      <c r="S37" s="14">
        <f t="shared" si="8"/>
        <v>0.2698890666049325</v>
      </c>
      <c r="T37" s="14">
        <f>((1-$E$53)*$AN15)+($E$53*$AF15)</f>
        <v>0.19804609305324231</v>
      </c>
      <c r="U37" s="14">
        <f>0</f>
        <v>0</v>
      </c>
      <c r="V37" s="14"/>
      <c r="W37" s="14">
        <f>0</f>
        <v>0</v>
      </c>
      <c r="X37" s="14"/>
      <c r="Y37" s="14">
        <f>((1-$E$53)*$AN15)+($E$53*$AF15)</f>
        <v>0.19804609305324231</v>
      </c>
      <c r="Z37" s="14">
        <f>((1-$E$53)*$AN15)+($E$53*$AF15)</f>
        <v>0.19804609305324231</v>
      </c>
      <c r="AA37" s="14">
        <f>AF15</f>
        <v>0.15</v>
      </c>
      <c r="AB37" s="14">
        <f t="shared" si="10"/>
        <v>0.2698890666049325</v>
      </c>
      <c r="AC37" s="14">
        <v>0</v>
      </c>
      <c r="AD37" s="14">
        <f t="shared" si="11"/>
        <v>0.2698890666049325</v>
      </c>
      <c r="AF37" s="14">
        <f t="shared" si="12"/>
        <v>0.18495083924097638</v>
      </c>
    </row>
    <row r="38" spans="1:32" x14ac:dyDescent="0.25">
      <c r="A38" s="10" t="s">
        <v>39</v>
      </c>
      <c r="B38" s="4">
        <v>5302928</v>
      </c>
      <c r="C38" s="4">
        <v>47887023</v>
      </c>
      <c r="D38" s="4">
        <v>22567817</v>
      </c>
      <c r="E38" s="4">
        <v>11925053</v>
      </c>
      <c r="F38" s="4">
        <v>603685</v>
      </c>
      <c r="G38" s="12">
        <v>704189</v>
      </c>
      <c r="H38" s="4">
        <v>1018670</v>
      </c>
      <c r="I38" s="12">
        <v>13267372</v>
      </c>
      <c r="J38" s="4">
        <v>120646</v>
      </c>
      <c r="K38" s="4">
        <v>7256870</v>
      </c>
      <c r="L38" s="4">
        <v>9710923</v>
      </c>
      <c r="M38" s="4">
        <v>3410911</v>
      </c>
      <c r="N38" s="4">
        <v>3926147</v>
      </c>
      <c r="P38" s="14">
        <f>O16</f>
        <v>0.3388568024643755</v>
      </c>
      <c r="Q38" s="14">
        <f t="shared" si="7"/>
        <v>0.3388568024643755</v>
      </c>
      <c r="R38" s="14">
        <v>0</v>
      </c>
      <c r="S38" s="14">
        <f t="shared" si="8"/>
        <v>0.3388568024643755</v>
      </c>
      <c r="T38" s="14">
        <f>((1-$E$54)*$AN16)+($E$54*$AF16)</f>
        <v>0.24519559177405809</v>
      </c>
      <c r="U38" s="14">
        <f>0</f>
        <v>0</v>
      </c>
      <c r="V38" s="14"/>
      <c r="W38" s="14">
        <f>0</f>
        <v>0</v>
      </c>
      <c r="X38" s="14"/>
      <c r="Y38" s="14">
        <f>((1-$E$54)*$AN16)+($E$54*$AF16)</f>
        <v>0.24519559177405809</v>
      </c>
      <c r="Z38" s="14">
        <f>((1-$E$54)*$AN16)+($E$54*$AF16)</f>
        <v>0.24519559177405809</v>
      </c>
      <c r="AA38" s="14">
        <f>AF15</f>
        <v>0.15</v>
      </c>
      <c r="AB38" s="14">
        <f t="shared" si="10"/>
        <v>0.3388568024643755</v>
      </c>
      <c r="AC38" s="14">
        <v>0</v>
      </c>
      <c r="AD38" s="14">
        <f t="shared" si="11"/>
        <v>0.3388568024643755</v>
      </c>
      <c r="AF38" s="14">
        <f t="shared" si="12"/>
        <v>0.24435680882520622</v>
      </c>
    </row>
    <row r="39" spans="1:32" x14ac:dyDescent="0.25">
      <c r="A39" s="10" t="s">
        <v>40</v>
      </c>
      <c r="B39" s="4">
        <v>13496336</v>
      </c>
      <c r="C39" s="4">
        <v>71334997</v>
      </c>
      <c r="D39" s="4">
        <v>27842084</v>
      </c>
      <c r="E39" s="4">
        <v>20240114</v>
      </c>
      <c r="F39" s="4">
        <v>1538770</v>
      </c>
      <c r="G39" s="12">
        <v>1214215</v>
      </c>
      <c r="H39" s="4">
        <v>1725888</v>
      </c>
      <c r="I39" s="12">
        <v>45081406</v>
      </c>
      <c r="J39" s="4">
        <v>160455</v>
      </c>
      <c r="K39" s="4">
        <v>19687999</v>
      </c>
      <c r="L39" s="4">
        <v>25156153</v>
      </c>
      <c r="M39" s="4">
        <v>9252336</v>
      </c>
      <c r="N39" s="4">
        <v>10033239</v>
      </c>
      <c r="P39" s="14">
        <f t="shared" ref="P39:P45" si="13">O16</f>
        <v>0.3388568024643755</v>
      </c>
      <c r="Q39" s="14">
        <f t="shared" si="7"/>
        <v>0.3388568024643755</v>
      </c>
      <c r="R39" s="14">
        <v>0</v>
      </c>
      <c r="S39" s="14">
        <f t="shared" si="8"/>
        <v>0.3388568024643755</v>
      </c>
      <c r="T39" s="14">
        <f>((1-$E$54)*$AN16)+($E$54*$AF16)</f>
        <v>0.24519559177405809</v>
      </c>
      <c r="U39" s="14">
        <f>0</f>
        <v>0</v>
      </c>
      <c r="V39" s="14"/>
      <c r="W39" s="14">
        <f>0</f>
        <v>0</v>
      </c>
      <c r="X39" s="14"/>
      <c r="Y39" s="14">
        <f>((1-$E$54)*$AN16)+($E$54*$AF16)</f>
        <v>0.24519559177405809</v>
      </c>
      <c r="Z39" s="14">
        <f>((1-$E$54)*$AN16)+($E$54*$AF16)</f>
        <v>0.24519559177405809</v>
      </c>
      <c r="AA39" s="14">
        <f t="shared" ref="AA39:AA45" si="14">AF15</f>
        <v>0.15</v>
      </c>
      <c r="AB39" s="14">
        <f t="shared" si="10"/>
        <v>0.3388568024643755</v>
      </c>
      <c r="AC39" s="14">
        <v>0</v>
      </c>
      <c r="AD39" s="14">
        <f t="shared" si="11"/>
        <v>0.3388568024643755</v>
      </c>
      <c r="AF39" s="14">
        <f t="shared" si="12"/>
        <v>0.25105747100297937</v>
      </c>
    </row>
    <row r="40" spans="1:32" x14ac:dyDescent="0.25">
      <c r="A40" s="10" t="s">
        <v>41</v>
      </c>
      <c r="B40" s="4">
        <v>9749520</v>
      </c>
      <c r="C40" s="4">
        <v>25450508</v>
      </c>
      <c r="D40" s="4">
        <v>7005128</v>
      </c>
      <c r="E40" s="4">
        <v>10610112</v>
      </c>
      <c r="F40" s="4">
        <v>1310873</v>
      </c>
      <c r="G40" s="12">
        <v>1165307</v>
      </c>
      <c r="H40" s="4">
        <v>648225</v>
      </c>
      <c r="I40" s="12">
        <v>50833277</v>
      </c>
      <c r="J40" s="4">
        <v>34526</v>
      </c>
      <c r="K40" s="4">
        <v>17559609</v>
      </c>
      <c r="L40" s="4">
        <v>21643659</v>
      </c>
      <c r="M40" s="4">
        <v>7760278</v>
      </c>
      <c r="N40" s="4">
        <v>7993170</v>
      </c>
      <c r="P40" s="14">
        <f t="shared" si="13"/>
        <v>0.39600000000000007</v>
      </c>
      <c r="Q40" s="14">
        <f t="shared" si="7"/>
        <v>0.39600000000000007</v>
      </c>
      <c r="R40" s="14">
        <v>0</v>
      </c>
      <c r="S40" s="14">
        <f t="shared" si="8"/>
        <v>0.39600000000000007</v>
      </c>
      <c r="T40" s="14">
        <f>((1-$E$55)*$AN17)+($E$55*$AF17)</f>
        <v>0.31816714392509671</v>
      </c>
      <c r="U40" s="14">
        <f>0</f>
        <v>0</v>
      </c>
      <c r="V40" s="14"/>
      <c r="W40" s="14">
        <f>0</f>
        <v>0</v>
      </c>
      <c r="X40" s="14"/>
      <c r="Y40" s="14">
        <f>((1-$E$55)*$AN17)+($E$55*$AF17)</f>
        <v>0.31816714392509671</v>
      </c>
      <c r="Z40" s="14">
        <f>((1-$E$55)*$AN17)+($E$55*$AF17)</f>
        <v>0.31816714392509671</v>
      </c>
      <c r="AA40" s="14">
        <f t="shared" si="14"/>
        <v>0.17283285094968542</v>
      </c>
      <c r="AB40" s="14">
        <f t="shared" si="10"/>
        <v>0.39600000000000007</v>
      </c>
      <c r="AC40" s="14">
        <v>0</v>
      </c>
      <c r="AD40" s="14">
        <f t="shared" si="11"/>
        <v>0.39600000000000007</v>
      </c>
      <c r="AF40" s="14">
        <f t="shared" si="12"/>
        <v>0.30608391581336331</v>
      </c>
    </row>
    <row r="41" spans="1:32" x14ac:dyDescent="0.25">
      <c r="A41" s="10" t="s">
        <v>42</v>
      </c>
      <c r="B41" s="4">
        <v>3872378</v>
      </c>
      <c r="C41" s="4">
        <v>7389458</v>
      </c>
      <c r="D41" s="4">
        <v>2023158</v>
      </c>
      <c r="E41" s="4">
        <v>4130344</v>
      </c>
      <c r="F41" s="4">
        <v>791051</v>
      </c>
      <c r="G41" s="12">
        <v>596933</v>
      </c>
      <c r="H41" s="4">
        <v>159467</v>
      </c>
      <c r="I41" s="12">
        <v>31555733</v>
      </c>
      <c r="J41" s="4">
        <v>10960</v>
      </c>
      <c r="K41" s="4">
        <v>8656669</v>
      </c>
      <c r="L41" s="4">
        <v>10597801</v>
      </c>
      <c r="M41" s="4">
        <v>3570314</v>
      </c>
      <c r="N41" s="4">
        <v>3891275</v>
      </c>
      <c r="P41" s="14">
        <f t="shared" si="13"/>
        <v>0.39600000000000002</v>
      </c>
      <c r="Q41" s="14">
        <f t="shared" si="7"/>
        <v>0.39600000000000002</v>
      </c>
      <c r="R41" s="14">
        <v>0</v>
      </c>
      <c r="S41" s="14">
        <f t="shared" si="8"/>
        <v>0.39600000000000002</v>
      </c>
      <c r="T41" s="14">
        <f>((1-$E$56)*$AN18)+($E$56*$AF18)</f>
        <v>0.30256291352361375</v>
      </c>
      <c r="U41" s="14">
        <f>0</f>
        <v>0</v>
      </c>
      <c r="V41" s="14"/>
      <c r="W41" s="14">
        <f>0</f>
        <v>0</v>
      </c>
      <c r="X41" s="14"/>
      <c r="Y41" s="14">
        <f>((1-$E$56)*$AN18)+($E$56*$AF18)</f>
        <v>0.30256291352361375</v>
      </c>
      <c r="Z41" s="14">
        <f>((1-$E$56)*$AN18)+($E$56*$AF18)</f>
        <v>0.30256291352361375</v>
      </c>
      <c r="AA41" s="14">
        <f t="shared" si="14"/>
        <v>0.23799999999999996</v>
      </c>
      <c r="AB41" s="14">
        <f t="shared" si="10"/>
        <v>0.39600000000000002</v>
      </c>
      <c r="AC41" s="14">
        <v>0</v>
      </c>
      <c r="AD41" s="14">
        <f t="shared" si="11"/>
        <v>0.39600000000000002</v>
      </c>
      <c r="AF41" s="14">
        <f t="shared" si="12"/>
        <v>0.30660045345130316</v>
      </c>
    </row>
    <row r="42" spans="1:32" x14ac:dyDescent="0.25">
      <c r="A42" s="10" t="s">
        <v>43</v>
      </c>
      <c r="B42" s="4">
        <v>2393120</v>
      </c>
      <c r="C42" s="4">
        <v>3685738</v>
      </c>
      <c r="D42" s="4">
        <v>997078</v>
      </c>
      <c r="E42" s="4">
        <v>2932699</v>
      </c>
      <c r="F42" s="4">
        <v>564044</v>
      </c>
      <c r="G42" s="12">
        <v>308199</v>
      </c>
      <c r="H42" s="4">
        <v>67385</v>
      </c>
      <c r="I42" s="12">
        <v>22251623</v>
      </c>
      <c r="J42" s="4">
        <v>3970</v>
      </c>
      <c r="K42" s="4">
        <v>6539452</v>
      </c>
      <c r="L42" s="4">
        <v>7887129</v>
      </c>
      <c r="M42" s="4">
        <v>2451579</v>
      </c>
      <c r="N42" s="4">
        <v>2709135</v>
      </c>
      <c r="P42" s="14">
        <f t="shared" si="13"/>
        <v>0.39599999999999996</v>
      </c>
      <c r="Q42" s="14">
        <f t="shared" si="7"/>
        <v>0.39599999999999996</v>
      </c>
      <c r="R42" s="14">
        <v>0</v>
      </c>
      <c r="S42" s="14">
        <f t="shared" si="8"/>
        <v>0.39599999999999996</v>
      </c>
      <c r="T42" s="14">
        <f>((1-$E$56)*$AN19)+($E$56*$AF19)</f>
        <v>0.30256291352361375</v>
      </c>
      <c r="U42" s="14">
        <f>0</f>
        <v>0</v>
      </c>
      <c r="V42" s="14"/>
      <c r="W42" s="14">
        <f>0</f>
        <v>0</v>
      </c>
      <c r="X42" s="14"/>
      <c r="Y42" s="14">
        <f>((1-$E$56)*$AN19)+($E$56*$AF19)</f>
        <v>0.30256291352361375</v>
      </c>
      <c r="Z42" s="14">
        <f>((1-$E$56)*$AN19)+($E$56*$AF19)</f>
        <v>0.30256291352361375</v>
      </c>
      <c r="AA42" s="14">
        <f t="shared" si="14"/>
        <v>0.23799999999999996</v>
      </c>
      <c r="AB42" s="14">
        <f t="shared" si="10"/>
        <v>0.39599999999999996</v>
      </c>
      <c r="AC42" s="14">
        <v>0</v>
      </c>
      <c r="AD42" s="14">
        <f t="shared" si="11"/>
        <v>0.39599999999999996</v>
      </c>
      <c r="AF42" s="14">
        <f t="shared" si="12"/>
        <v>0.30735193760543805</v>
      </c>
    </row>
    <row r="43" spans="1:32" x14ac:dyDescent="0.25">
      <c r="A43" s="10" t="s">
        <v>44</v>
      </c>
      <c r="B43" s="4">
        <v>4954512</v>
      </c>
      <c r="C43" s="4">
        <v>6480748</v>
      </c>
      <c r="D43" s="4">
        <v>1912086</v>
      </c>
      <c r="E43" s="4">
        <v>6778287</v>
      </c>
      <c r="F43" s="4">
        <v>1650389</v>
      </c>
      <c r="G43" s="12">
        <v>846128</v>
      </c>
      <c r="H43" s="4">
        <v>92099</v>
      </c>
      <c r="I43" s="12">
        <v>75234491</v>
      </c>
      <c r="J43" s="4">
        <v>5365</v>
      </c>
      <c r="K43" s="4">
        <v>18101293</v>
      </c>
      <c r="L43" s="4">
        <v>21746105</v>
      </c>
      <c r="M43" s="4">
        <v>5620490</v>
      </c>
      <c r="N43" s="4">
        <v>7552710</v>
      </c>
      <c r="P43" s="14">
        <f t="shared" si="13"/>
        <v>0.39600000000000002</v>
      </c>
      <c r="Q43" s="14">
        <f t="shared" si="7"/>
        <v>0.39600000000000002</v>
      </c>
      <c r="R43" s="14">
        <v>0</v>
      </c>
      <c r="S43" s="14">
        <f t="shared" si="8"/>
        <v>0.39600000000000002</v>
      </c>
      <c r="T43" s="14">
        <f>((1-$E$56)*$AN20)+($E$56*$AF20)</f>
        <v>0.30256291352361375</v>
      </c>
      <c r="U43" s="14">
        <f>0</f>
        <v>0</v>
      </c>
      <c r="V43" s="14"/>
      <c r="W43" s="14">
        <f>0</f>
        <v>0</v>
      </c>
      <c r="X43" s="14"/>
      <c r="Y43" s="14">
        <f>((1-$E$56)*$AN20)+($E$56*$AF20)</f>
        <v>0.30256291352361375</v>
      </c>
      <c r="Z43" s="14">
        <f>((1-$E$56)*$AN20)+($E$56*$AF20)</f>
        <v>0.30256291352361375</v>
      </c>
      <c r="AA43" s="14">
        <f t="shared" si="14"/>
        <v>0.23799999999999999</v>
      </c>
      <c r="AB43" s="14">
        <f t="shared" si="10"/>
        <v>0.39600000000000002</v>
      </c>
      <c r="AC43" s="14">
        <v>0</v>
      </c>
      <c r="AD43" s="14">
        <f t="shared" si="11"/>
        <v>0.39600000000000002</v>
      </c>
      <c r="AF43" s="14">
        <f t="shared" si="12"/>
        <v>0.30725107394146994</v>
      </c>
    </row>
    <row r="44" spans="1:32" x14ac:dyDescent="0.25">
      <c r="A44" s="10" t="s">
        <v>45</v>
      </c>
      <c r="B44" s="4">
        <v>2644330</v>
      </c>
      <c r="C44" s="4">
        <v>2187684</v>
      </c>
      <c r="D44" s="4">
        <v>765969</v>
      </c>
      <c r="E44" s="4">
        <v>2509355</v>
      </c>
      <c r="F44" s="4">
        <v>1057826</v>
      </c>
      <c r="G44" s="12">
        <v>363380</v>
      </c>
      <c r="H44" s="4">
        <v>19583</v>
      </c>
      <c r="I44" s="12">
        <v>60547450</v>
      </c>
      <c r="J44" s="4">
        <v>1422</v>
      </c>
      <c r="K44" s="4">
        <v>12597205</v>
      </c>
      <c r="L44" s="4">
        <v>14765229</v>
      </c>
      <c r="M44" s="4">
        <v>2990600</v>
      </c>
      <c r="N44" s="4">
        <v>5421035</v>
      </c>
      <c r="P44" s="14">
        <f t="shared" si="13"/>
        <v>0.39600000000000002</v>
      </c>
      <c r="Q44" s="14">
        <f t="shared" si="7"/>
        <v>0.39600000000000002</v>
      </c>
      <c r="R44" s="14">
        <v>0</v>
      </c>
      <c r="S44" s="14">
        <f t="shared" si="8"/>
        <v>0.39600000000000002</v>
      </c>
      <c r="T44" s="14">
        <f>((1-$E$56)*$AN21)+($E$56*$AF21)</f>
        <v>0.30256291352361375</v>
      </c>
      <c r="U44" s="14">
        <f>0</f>
        <v>0</v>
      </c>
      <c r="V44" s="14"/>
      <c r="W44" s="14">
        <f>0</f>
        <v>0</v>
      </c>
      <c r="X44" s="14"/>
      <c r="Y44" s="14">
        <f>((1-$E$56)*$AN21)+($E$56*$AF21)</f>
        <v>0.30256291352361375</v>
      </c>
      <c r="Z44" s="14">
        <f>((1-$E$56)*$AN21)+($E$56*$AF21)</f>
        <v>0.30256291352361375</v>
      </c>
      <c r="AA44" s="14">
        <f t="shared" si="14"/>
        <v>0.23799999999999996</v>
      </c>
      <c r="AB44" s="14">
        <f t="shared" si="10"/>
        <v>0.39600000000000002</v>
      </c>
      <c r="AC44" s="14">
        <v>0</v>
      </c>
      <c r="AD44" s="14">
        <f t="shared" si="11"/>
        <v>0.39600000000000002</v>
      </c>
      <c r="AF44" s="14">
        <f t="shared" si="12"/>
        <v>0.30734534100902228</v>
      </c>
    </row>
    <row r="45" spans="1:32" x14ac:dyDescent="0.25">
      <c r="A45" s="10" t="s">
        <v>46</v>
      </c>
      <c r="B45" s="4">
        <v>3775103</v>
      </c>
      <c r="C45" s="4">
        <v>1910726</v>
      </c>
      <c r="D45" s="4">
        <v>684467</v>
      </c>
      <c r="E45" s="4">
        <v>2863653</v>
      </c>
      <c r="F45" s="4">
        <v>5922417</v>
      </c>
      <c r="G45" s="12">
        <v>838543</v>
      </c>
      <c r="H45" s="4">
        <v>9497</v>
      </c>
      <c r="I45" s="12">
        <v>265295090</v>
      </c>
      <c r="J45" s="4">
        <v>241</v>
      </c>
      <c r="K45" s="4">
        <v>51788931</v>
      </c>
      <c r="L45" s="4">
        <v>58268862</v>
      </c>
      <c r="M45" s="4">
        <v>5374379</v>
      </c>
      <c r="N45" s="4">
        <v>19250383</v>
      </c>
      <c r="P45" s="14">
        <f t="shared" si="13"/>
        <v>0.39600000000000002</v>
      </c>
      <c r="Q45" s="14">
        <f t="shared" si="7"/>
        <v>0.39600000000000002</v>
      </c>
      <c r="R45" s="14">
        <v>0</v>
      </c>
      <c r="S45" s="14">
        <f t="shared" si="8"/>
        <v>0.39600000000000002</v>
      </c>
      <c r="T45" s="14">
        <f>((1-$E$56)*$AN22)+($E$56*$AF22)</f>
        <v>0.30256291352361375</v>
      </c>
      <c r="U45" s="14">
        <f>0</f>
        <v>0</v>
      </c>
      <c r="V45" s="14"/>
      <c r="W45" s="14">
        <f>0</f>
        <v>0</v>
      </c>
      <c r="X45" s="14"/>
      <c r="Y45" s="14">
        <f>((1-$E$56)*$AN22)+($E$56*$AF22)</f>
        <v>0.30256291352361375</v>
      </c>
      <c r="Z45" s="14">
        <f>((1-$E$56)*$AN22)+($E$56*$AF22)</f>
        <v>0.30256291352361375</v>
      </c>
      <c r="AA45" s="14">
        <f t="shared" si="14"/>
        <v>0.23799999999999999</v>
      </c>
      <c r="AB45" s="14">
        <f t="shared" si="10"/>
        <v>0.39600000000000002</v>
      </c>
      <c r="AC45" s="14">
        <v>0</v>
      </c>
      <c r="AD45" s="14">
        <f t="shared" si="11"/>
        <v>0.39600000000000002</v>
      </c>
      <c r="AF45" s="14">
        <f t="shared" si="12"/>
        <v>0.30883385176451994</v>
      </c>
    </row>
    <row r="47" spans="1:32" x14ac:dyDescent="0.25">
      <c r="A47" s="10" t="s">
        <v>90</v>
      </c>
      <c r="B47" s="27">
        <f>B38+B39</f>
        <v>18799264</v>
      </c>
      <c r="C47" s="27">
        <f t="shared" ref="C47:N47" si="15">C38+C39</f>
        <v>119222020</v>
      </c>
      <c r="D47" s="27">
        <f t="shared" si="15"/>
        <v>50409901</v>
      </c>
      <c r="E47" s="27">
        <f t="shared" si="15"/>
        <v>32165167</v>
      </c>
      <c r="F47" s="27">
        <f t="shared" si="15"/>
        <v>2142455</v>
      </c>
      <c r="G47" s="27">
        <f t="shared" si="15"/>
        <v>1918404</v>
      </c>
      <c r="H47" s="27">
        <f t="shared" si="15"/>
        <v>2744558</v>
      </c>
      <c r="I47" s="27">
        <f t="shared" si="15"/>
        <v>58348778</v>
      </c>
      <c r="J47" s="27">
        <f t="shared" si="15"/>
        <v>281101</v>
      </c>
      <c r="K47" s="27">
        <f t="shared" si="15"/>
        <v>26944869</v>
      </c>
      <c r="L47" s="27">
        <f t="shared" si="15"/>
        <v>34867076</v>
      </c>
      <c r="M47" s="27">
        <f t="shared" si="15"/>
        <v>12663247</v>
      </c>
      <c r="N47" s="27">
        <f t="shared" si="15"/>
        <v>13959386</v>
      </c>
      <c r="P47" s="14">
        <f>O16</f>
        <v>0.3388568024643755</v>
      </c>
      <c r="Q47" s="14">
        <f t="shared" ref="Q47" si="16">P47</f>
        <v>0.3388568024643755</v>
      </c>
      <c r="R47" s="14">
        <v>0</v>
      </c>
      <c r="S47" s="14">
        <f t="shared" ref="S47" si="17">P47</f>
        <v>0.3388568024643755</v>
      </c>
      <c r="T47" s="14">
        <f>((1-$E$54)*$AN16)+($E$54*$AF16)</f>
        <v>0.24519559177405809</v>
      </c>
      <c r="U47" s="14">
        <f>0</f>
        <v>0</v>
      </c>
      <c r="V47" s="14"/>
      <c r="W47" s="14">
        <f>0</f>
        <v>0</v>
      </c>
      <c r="X47" s="14"/>
      <c r="Y47" s="14">
        <f>((1-$E$54)*$AN16)+($E$54*$AF16)</f>
        <v>0.24519559177405809</v>
      </c>
      <c r="Z47" s="14">
        <f>((1-$E$54)*$AN16)+($E$54*$AF16)</f>
        <v>0.24519559177405809</v>
      </c>
      <c r="AA47" s="14">
        <f>AF15</f>
        <v>0.15</v>
      </c>
      <c r="AB47" s="14">
        <f t="shared" ref="AB47" si="18">P47</f>
        <v>0.3388568024643755</v>
      </c>
      <c r="AC47" s="14">
        <v>0</v>
      </c>
      <c r="AD47" s="14">
        <f t="shared" ref="AD47" si="19">P47</f>
        <v>0.3388568024643755</v>
      </c>
      <c r="AF47" s="14">
        <f t="shared" ref="AF47" si="20">((P47*B47)+(C47*Q47)+(D47*R47)+(E47*S47)+(F47*T47)+(G47*U47)+(H47*W47)+(Y47*I47)+(J47*Z47)+(K47*AA47)+(L47*AB47)+(M47*AC47)+(N47*AD47))/(SUM(B47:N47))</f>
        <v>0.24877237966504662</v>
      </c>
    </row>
    <row r="49" spans="1:36" x14ac:dyDescent="0.25">
      <c r="A49" t="s">
        <v>73</v>
      </c>
      <c r="B49" t="s">
        <v>81</v>
      </c>
      <c r="C49" t="s">
        <v>82</v>
      </c>
      <c r="E49" t="s">
        <v>83</v>
      </c>
    </row>
    <row r="50" spans="1:36" x14ac:dyDescent="0.25">
      <c r="A50" s="15" t="s">
        <v>74</v>
      </c>
      <c r="B50" s="17">
        <v>1532859.6601</v>
      </c>
      <c r="C50" s="17">
        <v>2267969.4127000002</v>
      </c>
      <c r="E50">
        <f>C50/(C50+B50)</f>
        <v>0.59670386888227767</v>
      </c>
      <c r="S50" t="s">
        <v>91</v>
      </c>
      <c r="T50" t="s">
        <v>92</v>
      </c>
      <c r="U50" t="s">
        <v>93</v>
      </c>
      <c r="V50" t="s">
        <v>111</v>
      </c>
      <c r="W50" t="s">
        <v>112</v>
      </c>
      <c r="X50" t="s">
        <v>127</v>
      </c>
      <c r="Y50" t="s">
        <v>125</v>
      </c>
      <c r="Z50" t="s">
        <v>126</v>
      </c>
      <c r="AA50" t="s">
        <v>94</v>
      </c>
      <c r="AB50" t="s">
        <v>95</v>
      </c>
      <c r="AC50" t="s">
        <v>102</v>
      </c>
      <c r="AD50" t="s">
        <v>103</v>
      </c>
      <c r="AF50" t="s">
        <v>96</v>
      </c>
      <c r="AG50" t="s">
        <v>116</v>
      </c>
      <c r="AI50" t="s">
        <v>97</v>
      </c>
      <c r="AJ50" t="s">
        <v>116</v>
      </c>
    </row>
    <row r="51" spans="1:36" x14ac:dyDescent="0.25">
      <c r="A51" s="15" t="s">
        <v>75</v>
      </c>
      <c r="B51" s="17">
        <v>2995773.6951000001</v>
      </c>
      <c r="C51" s="17">
        <v>4189242.2469000001</v>
      </c>
      <c r="E51">
        <f t="shared" ref="E51:E56" si="21">C51/(C51+B51)</f>
        <v>0.58305260290541472</v>
      </c>
      <c r="N51" t="s">
        <v>85</v>
      </c>
      <c r="O51" t="s">
        <v>84</v>
      </c>
      <c r="Q51" t="s">
        <v>86</v>
      </c>
      <c r="R51" s="19" t="s">
        <v>0</v>
      </c>
      <c r="S51" s="20">
        <v>144928472</v>
      </c>
      <c r="T51" s="24">
        <v>9100131381</v>
      </c>
      <c r="X51" s="43">
        <v>0.26961813754121267</v>
      </c>
    </row>
    <row r="52" spans="1:36" x14ac:dyDescent="0.25">
      <c r="A52" s="15" t="s">
        <v>76</v>
      </c>
      <c r="B52" s="17">
        <v>31396465.967</v>
      </c>
      <c r="C52" s="17">
        <v>7823236.8938999996</v>
      </c>
      <c r="E52">
        <f t="shared" si="21"/>
        <v>0.19947211027188477</v>
      </c>
      <c r="M52" s="10" t="s">
        <v>27</v>
      </c>
      <c r="N52">
        <v>0.1</v>
      </c>
      <c r="O52" s="14">
        <v>4.5716089484366305E-2</v>
      </c>
      <c r="Q52">
        <f>O52/N52</f>
        <v>0.45716089484366301</v>
      </c>
      <c r="R52" s="21" t="s">
        <v>27</v>
      </c>
      <c r="S52" s="22">
        <v>2128548</v>
      </c>
      <c r="T52" s="26">
        <v>-193531852</v>
      </c>
      <c r="U52" s="23">
        <f>1000*T52/S52</f>
        <v>-90922.00504757234</v>
      </c>
      <c r="V52" s="23"/>
      <c r="X52" s="43">
        <v>-7.1997114064855608E-2</v>
      </c>
    </row>
    <row r="53" spans="1:36" x14ac:dyDescent="0.25">
      <c r="A53" s="15" t="s">
        <v>77</v>
      </c>
      <c r="B53" s="17">
        <v>8079428.8520999998</v>
      </c>
      <c r="C53" s="17">
        <v>12081111.209000001</v>
      </c>
      <c r="E53">
        <f t="shared" si="21"/>
        <v>0.59924541566774037</v>
      </c>
      <c r="M53" s="10" t="s">
        <v>28</v>
      </c>
      <c r="N53">
        <v>0.1</v>
      </c>
      <c r="O53" s="14">
        <v>6.577897052478035E-2</v>
      </c>
      <c r="Q53">
        <f t="shared" ref="Q53:Q70" si="22">O53/N53</f>
        <v>0.65778970524780345</v>
      </c>
      <c r="R53" s="21" t="s">
        <v>28</v>
      </c>
      <c r="S53" s="22">
        <v>10378183</v>
      </c>
      <c r="T53" s="26">
        <v>27150759</v>
      </c>
      <c r="U53" s="23">
        <f t="shared" ref="U53:U64" si="23">1000*T53/S53</f>
        <v>2616.138007973072</v>
      </c>
      <c r="V53" s="23">
        <f>Sheet2!H9</f>
        <v>3500.6993621358024</v>
      </c>
      <c r="W53" s="23">
        <v>0</v>
      </c>
      <c r="X53" s="43">
        <v>0.76894611368335486</v>
      </c>
      <c r="Y53" s="23">
        <f>X53*Sheet2!H9</f>
        <v>2691.8491696881247</v>
      </c>
      <c r="Z53" s="23">
        <v>0</v>
      </c>
      <c r="AA53" s="38">
        <f>N53*(V53-Y53)</f>
        <v>80.885019244767776</v>
      </c>
      <c r="AB53" s="38">
        <v>0</v>
      </c>
      <c r="AC53" s="35">
        <f>AA53/V53</f>
        <v>2.310538863166451E-2</v>
      </c>
      <c r="AD53" s="35">
        <v>0</v>
      </c>
      <c r="AF53" s="35">
        <f>(maxL-minL)*(aL*U53^3+bL*U53^2+cL*U53)/(aL*U53^3+bL*U53^2+cL*U53+dL)+minL</f>
        <v>2.9572915139409597E-2</v>
      </c>
      <c r="AG53">
        <f>ABS(AF53-AC53)*S53</f>
        <v>67121.173654729428</v>
      </c>
      <c r="AI53" s="35">
        <f>(maxK-minK)*(aK*U53^3+bK*U53^2+cK*U53)/(aK*U53^3+bK*U53^2+cK*U53+dK)+minK</f>
        <v>2.2951657075193622E-2</v>
      </c>
    </row>
    <row r="54" spans="1:36" x14ac:dyDescent="0.25">
      <c r="A54" s="15" t="s">
        <v>78</v>
      </c>
      <c r="B54" s="17">
        <v>11432220.741</v>
      </c>
      <c r="C54" s="17">
        <v>16868500.302000001</v>
      </c>
      <c r="E54">
        <f t="shared" si="21"/>
        <v>0.59604489498236002</v>
      </c>
      <c r="M54" s="10" t="s">
        <v>29</v>
      </c>
      <c r="N54">
        <v>0.10814226513099788</v>
      </c>
      <c r="O54" s="14">
        <v>7.0056997196635121E-2</v>
      </c>
      <c r="Q54">
        <f t="shared" si="22"/>
        <v>0.64782254294166797</v>
      </c>
      <c r="R54" s="21" t="s">
        <v>29</v>
      </c>
      <c r="S54" s="22">
        <v>11958135</v>
      </c>
      <c r="T54" s="26">
        <v>90921798</v>
      </c>
      <c r="U54" s="23">
        <f t="shared" si="23"/>
        <v>7603.3426617110445</v>
      </c>
      <c r="V54" s="23">
        <f>Sheet2!H10</f>
        <v>7415.2907369840741</v>
      </c>
      <c r="W54" s="23">
        <f>Sheet2!I10</f>
        <v>419.19273389161026</v>
      </c>
      <c r="X54" s="43">
        <v>0.61056366296649134</v>
      </c>
      <c r="Y54" s="23">
        <f>X54*Sheet2!H10</f>
        <v>4527.5070743344895</v>
      </c>
      <c r="Z54" s="23">
        <f>X54*Sheet2!I10</f>
        <v>255.94385109379922</v>
      </c>
      <c r="AA54" s="38">
        <f>AA53+N54*(V54-Y54-V53+Y53)</f>
        <v>305.70559376904788</v>
      </c>
      <c r="AB54" s="38">
        <f>AB53+O54*(W54-Z54-W53+Z53)</f>
        <v>11.436726524520063</v>
      </c>
      <c r="AC54" s="35">
        <f>AA54/V54</f>
        <v>4.1226380004809306E-2</v>
      </c>
      <c r="AD54" s="35">
        <f>AB54/W54</f>
        <v>2.7282740371824366E-2</v>
      </c>
      <c r="AF54" s="35">
        <f>(maxL-minL)*(aL*U54^3+bL*U54^2+cL*U54)/(aL*U54^3+bL*U54^2+cL*U54+dL)+minL</f>
        <v>4.1271551151809416E-2</v>
      </c>
      <c r="AG54">
        <f>ABS(AF54-AC54)*S54</f>
        <v>540.16267393216162</v>
      </c>
      <c r="AI54" s="35">
        <f>(maxK-minK)*(aK*U54^3+bK*U54^2+cK*U54)/(aK*U54^3+bK*U54^2+cK*U54+dK)+minK</f>
        <v>2.8513914130141871E-2</v>
      </c>
      <c r="AJ54">
        <f>ABS(AI54-AD54)*S54</f>
        <v>14722.542010418094</v>
      </c>
    </row>
    <row r="55" spans="1:36" x14ac:dyDescent="0.25">
      <c r="A55" s="15" t="s">
        <v>79</v>
      </c>
      <c r="B55" s="17">
        <v>8840811.8256999999</v>
      </c>
      <c r="C55" s="17">
        <v>12774017.305</v>
      </c>
      <c r="E55">
        <f t="shared" si="21"/>
        <v>0.59098395956583305</v>
      </c>
      <c r="M55" s="10" t="s">
        <v>30</v>
      </c>
      <c r="N55">
        <v>0.13694311288175479</v>
      </c>
      <c r="O55" s="14">
        <v>8.5685708646666844E-2</v>
      </c>
      <c r="Q55">
        <f t="shared" si="22"/>
        <v>0.62570294221844669</v>
      </c>
      <c r="R55" s="21" t="s">
        <v>30</v>
      </c>
      <c r="S55" s="22">
        <v>12632192</v>
      </c>
      <c r="T55" s="26">
        <v>157969050</v>
      </c>
      <c r="U55" s="23">
        <f t="shared" si="23"/>
        <v>12505.27620226165</v>
      </c>
      <c r="V55" s="23">
        <f>Sheet2!H11</f>
        <v>11552.557414857021</v>
      </c>
      <c r="W55" s="23">
        <f>Sheet2!I11</f>
        <v>1216.4521125472493</v>
      </c>
      <c r="X55" s="43">
        <v>0.53312789145729111</v>
      </c>
      <c r="Y55" s="23">
        <f>X55*Sheet2!H11</f>
        <v>6158.9905755220179</v>
      </c>
      <c r="Z55" s="23">
        <f>X55*Sheet2!I11</f>
        <v>648.52454982108236</v>
      </c>
      <c r="AA55" s="38">
        <f t="shared" ref="AA55:AA70" si="24">AA54+N55*(V55-Y55-V54+Y54)</f>
        <v>648.85534219108126</v>
      </c>
      <c r="AB55" s="38">
        <f t="shared" ref="AB55:AB70" si="25">AB54+O55*(W55-Z55-W54+Z54)</f>
        <v>46.111905988378908</v>
      </c>
      <c r="AC55" s="35">
        <f>AA55/V55</f>
        <v>5.6165515469036233E-2</v>
      </c>
      <c r="AD55" s="35">
        <f>AB55/W55</f>
        <v>3.7906881424062497E-2</v>
      </c>
      <c r="AF55" s="35">
        <f>(maxL-minL)*(aL*U55^3+bL*U55^2+cL*U55)/(aL*U55^3+bL*U55^2+cL*U55+dL)+minL</f>
        <v>5.2018637306115625E-2</v>
      </c>
      <c r="AG55">
        <f>ABS(AF55-AC55)*S55</f>
        <v>52384.161154620393</v>
      </c>
      <c r="AI55" s="35">
        <f>(maxK-minK)*(aK*U55^3+bK*U55^2+cK*U55)/(aK*U55^3+bK*U55^2+cK*U55+dK)+minK</f>
        <v>3.3895972648704538E-2</v>
      </c>
      <c r="AJ55">
        <f>ABS(AI55-AD55)*S55</f>
        <v>50666.569744806606</v>
      </c>
    </row>
    <row r="56" spans="1:36" x14ac:dyDescent="0.25">
      <c r="A56" s="16" t="s">
        <v>80</v>
      </c>
      <c r="B56" s="18">
        <v>46661743.709476002</v>
      </c>
      <c r="C56" s="18">
        <v>94993910.719939992</v>
      </c>
      <c r="E56">
        <f t="shared" si="21"/>
        <v>0.67059737998156255</v>
      </c>
      <c r="M56" s="10" t="s">
        <v>31</v>
      </c>
      <c r="N56">
        <v>0.14284918839165817</v>
      </c>
      <c r="O56" s="14">
        <v>8.774673984632736E-2</v>
      </c>
      <c r="Q56">
        <f t="shared" si="22"/>
        <v>0.61426138177101064</v>
      </c>
      <c r="R56" s="21" t="s">
        <v>31</v>
      </c>
      <c r="S56" s="22">
        <v>11615578</v>
      </c>
      <c r="T56" s="26">
        <v>202510121</v>
      </c>
      <c r="U56" s="23">
        <f t="shared" si="23"/>
        <v>17434.355914100874</v>
      </c>
      <c r="V56" s="23">
        <f>Sheet2!H12</f>
        <v>16198.581201256977</v>
      </c>
      <c r="W56" s="23">
        <f>Sheet2!I12</f>
        <v>1520.2743735581535</v>
      </c>
      <c r="X56" s="43">
        <v>0.46885731247704704</v>
      </c>
      <c r="Y56" s="23">
        <f>X56*Sheet2!H12</f>
        <v>7594.8232479625622</v>
      </c>
      <c r="Z56" s="23">
        <f>X56*Sheet2!I12</f>
        <v>712.79175701420206</v>
      </c>
      <c r="AA56" s="38">
        <f t="shared" si="24"/>
        <v>1107.4285374022961</v>
      </c>
      <c r="AB56" s="38">
        <f t="shared" si="25"/>
        <v>67.132080974600996</v>
      </c>
      <c r="AC56" s="35">
        <f>AA56/V56</f>
        <v>6.8365773745441477E-2</v>
      </c>
      <c r="AD56" s="35">
        <f>AB56/W56</f>
        <v>4.4157871856696833E-2</v>
      </c>
      <c r="AF56" s="35">
        <f>(maxL-minL)*(aL*U56^3+bL*U56^2+cL*U56)/(aL*U56^3+bL*U56^2+cL*U56+dL)+minL</f>
        <v>6.2145244195281377E-2</v>
      </c>
      <c r="AG56">
        <f>ABS(AF56-AC56)*S56</f>
        <v>72255.046191189555</v>
      </c>
      <c r="AI56" s="35">
        <f>(maxK-minK)*(aK*U56^3+bK*U56^2+cK*U56)/(aK*U56^3+bK*U56^2+cK*U56+dK)+minK</f>
        <v>3.9220150402324627E-2</v>
      </c>
      <c r="AJ56">
        <f>ABS(AI56-AD56)*S56</f>
        <v>57354.488695533793</v>
      </c>
    </row>
    <row r="57" spans="1:36" x14ac:dyDescent="0.25">
      <c r="M57" s="10" t="s">
        <v>32</v>
      </c>
      <c r="N57">
        <v>0.15</v>
      </c>
      <c r="O57" s="14">
        <v>9.0381282572839963E-2</v>
      </c>
      <c r="Q57">
        <f t="shared" si="22"/>
        <v>0.60254188381893314</v>
      </c>
      <c r="R57" s="21" t="s">
        <v>32</v>
      </c>
      <c r="S57" s="22">
        <v>10168630</v>
      </c>
      <c r="T57" s="26">
        <v>227943527</v>
      </c>
      <c r="U57" s="23">
        <f t="shared" si="23"/>
        <v>22416.345859766752</v>
      </c>
      <c r="V57" s="23">
        <f>Sheet2!H13</f>
        <v>21016.66795393328</v>
      </c>
      <c r="W57" s="23">
        <f>Sheet2!I13</f>
        <v>1726.5624517359211</v>
      </c>
      <c r="X57" s="43">
        <v>0.41629479042175427</v>
      </c>
      <c r="Y57" s="23">
        <f>X57*Sheet2!H13</f>
        <v>8749.1293812462536</v>
      </c>
      <c r="Z57" s="23">
        <f>X57*Sheet2!I13</f>
        <v>718.75895399547551</v>
      </c>
      <c r="AA57" s="38">
        <f t="shared" si="24"/>
        <v>1656.9956303111878</v>
      </c>
      <c r="AB57" s="38">
        <f t="shared" si="25"/>
        <v>85.237339143261636</v>
      </c>
      <c r="AC57" s="35">
        <f>AA57/V57</f>
        <v>7.8841975994633356E-2</v>
      </c>
      <c r="AD57" s="35">
        <f>AB57/W57</f>
        <v>4.936823400599398E-2</v>
      </c>
      <c r="AF57" s="35">
        <f>(maxL-minL)*(aL*U57^3+bL*U57^2+cL*U57)/(aL*U57^3+bL*U57^2+cL*U57+dL)+minL</f>
        <v>7.1751326067323956E-2</v>
      </c>
      <c r="AG57">
        <f>ABS(AF57-AC57)*S57</f>
        <v>72102.195570336189</v>
      </c>
      <c r="AI57" s="35">
        <f>(maxK-minK)*(aK*U57^3+bK*U57^2+cK*U57)/(aK*U57^3+bK*U57^2+cK*U57+dK)+minK</f>
        <v>4.4509913990011377E-2</v>
      </c>
      <c r="AJ57">
        <f>ABS(AI57-AD57)*S57</f>
        <v>49402.458664121179</v>
      </c>
    </row>
    <row r="58" spans="1:36" x14ac:dyDescent="0.25">
      <c r="M58" s="10" t="s">
        <v>33</v>
      </c>
      <c r="N58">
        <v>0.15</v>
      </c>
      <c r="O58" s="14">
        <v>9.0275309350167976E-2</v>
      </c>
      <c r="Q58">
        <f t="shared" si="22"/>
        <v>0.60183539566778654</v>
      </c>
      <c r="R58" s="21" t="s">
        <v>33</v>
      </c>
      <c r="S58" s="22">
        <v>8734480</v>
      </c>
      <c r="T58" s="26">
        <v>239643702</v>
      </c>
      <c r="U58" s="23">
        <f t="shared" si="23"/>
        <v>27436.516197873258</v>
      </c>
      <c r="V58" s="23">
        <f>Sheet2!H14</f>
        <v>25846.576752215369</v>
      </c>
      <c r="W58" s="23">
        <f>Sheet2!I14</f>
        <v>1966.639375132796</v>
      </c>
      <c r="X58" s="43">
        <v>0.37527135100163495</v>
      </c>
      <c r="Y58" s="23">
        <f>X58*Sheet2!H14</f>
        <v>9699.479776571312</v>
      </c>
      <c r="Z58" s="23">
        <f>X58*Sheet2!I14</f>
        <v>738.02341523909547</v>
      </c>
      <c r="AA58" s="38">
        <f t="shared" si="24"/>
        <v>2238.9293907547426</v>
      </c>
      <c r="AB58" s="38">
        <f t="shared" si="25"/>
        <v>105.171252472519</v>
      </c>
      <c r="AC58" s="35">
        <f>AA58/V58</f>
        <v>8.6623826908251544E-2</v>
      </c>
      <c r="AD58" s="35">
        <f>AB58/W58</f>
        <v>5.3477650148958999E-2</v>
      </c>
      <c r="AF58" s="35">
        <f>(maxL-minL)*(aL*U58^3+bL*U58^2+cL*U58)/(aL*U58^3+bL*U58^2+cL*U58+dL)+minL</f>
        <v>8.0848621816613203E-2</v>
      </c>
      <c r="AG58">
        <f>ABS(AF58-AC58)*S58</f>
        <v>50443.413368813257</v>
      </c>
      <c r="AI58" s="35">
        <f>(maxK-minK)*(aK*U58^3+bK*U58^2+cK*U58)/(aK*U58^3+bK*U58^2+cK*U58+dK)+minK</f>
        <v>4.9745261062769094E-2</v>
      </c>
      <c r="AJ58">
        <f>ABS(AI58-AD58)*S58</f>
        <v>32600.477825544003</v>
      </c>
    </row>
    <row r="59" spans="1:36" x14ac:dyDescent="0.25">
      <c r="M59" s="10" t="s">
        <v>34</v>
      </c>
      <c r="N59">
        <v>0.16896089799352315</v>
      </c>
      <c r="O59" s="14">
        <v>0.10300145026652434</v>
      </c>
      <c r="Q59">
        <f t="shared" si="22"/>
        <v>0.60961708590393937</v>
      </c>
      <c r="R59" s="21" t="s">
        <v>34</v>
      </c>
      <c r="S59" s="22">
        <v>14451152</v>
      </c>
      <c r="T59" s="26">
        <v>502650975</v>
      </c>
      <c r="U59" s="23">
        <f t="shared" si="23"/>
        <v>34782.761609593479</v>
      </c>
      <c r="V59" s="23">
        <f>Sheet2!H15</f>
        <v>32425.18662905844</v>
      </c>
      <c r="W59" s="23">
        <f>Sheet2!I15</f>
        <v>2808.5014533864778</v>
      </c>
      <c r="X59" s="43">
        <v>0.33260206779114576</v>
      </c>
      <c r="Y59" s="23">
        <f>X59*Sheet2!H15</f>
        <v>10784.684121338649</v>
      </c>
      <c r="Z59" s="23">
        <f>X59*Sheet2!I15</f>
        <v>934.11339079078073</v>
      </c>
      <c r="AA59" s="38">
        <f t="shared" si="24"/>
        <v>3167.1001224968468</v>
      </c>
      <c r="AB59" s="38">
        <f t="shared" si="25"/>
        <v>171.68671559248756</v>
      </c>
      <c r="AC59" s="35">
        <f>AA59/V59</f>
        <v>9.7674075363951507E-2</v>
      </c>
      <c r="AD59" s="35">
        <f>AB59/W59</f>
        <v>6.1131075928576972E-2</v>
      </c>
      <c r="AF59" s="35">
        <f>(maxL-minL)*(aL*U59^3+bL*U59^2+cL*U59)/(aL*U59^3+bL*U59^2+cL*U59+dL)+minL</f>
        <v>9.321271100373521E-2</v>
      </c>
      <c r="AG59">
        <f>ABS(AF59-AC59)*S59</f>
        <v>64471.854496868458</v>
      </c>
      <c r="AI59" s="35">
        <f>(maxK-minK)*(aK*U59^3+bK*U59^2+cK*U59)/(aK*U59^3+bK*U59^2+cK*U59+dK)+minK</f>
        <v>5.7231651470350059E-2</v>
      </c>
      <c r="AJ59">
        <f>ABS(AI59-AD59)*S59</f>
        <v>56351.175558354771</v>
      </c>
    </row>
    <row r="60" spans="1:36" x14ac:dyDescent="0.25">
      <c r="M60" s="10" t="s">
        <v>35</v>
      </c>
      <c r="N60">
        <v>0.20095887175545407</v>
      </c>
      <c r="O60" s="14">
        <v>0.12486690555471723</v>
      </c>
      <c r="Q60">
        <f t="shared" si="22"/>
        <v>0.6213555264515378</v>
      </c>
      <c r="R60" s="21" t="s">
        <v>35</v>
      </c>
      <c r="S60" s="22">
        <v>10873672</v>
      </c>
      <c r="T60" s="26">
        <v>486762494</v>
      </c>
      <c r="U60" s="23">
        <f t="shared" si="23"/>
        <v>44765.236067448051</v>
      </c>
      <c r="V60" s="23">
        <f>Sheet2!H16</f>
        <v>41280.502611005992</v>
      </c>
      <c r="W60" s="23">
        <f>Sheet2!I16</f>
        <v>4084.4508288255602</v>
      </c>
      <c r="X60" s="43">
        <v>0.29544811882563626</v>
      </c>
      <c r="Y60" s="23">
        <f>X60*Sheet2!H16</f>
        <v>12196.246840598486</v>
      </c>
      <c r="Z60" s="23">
        <f>X60*Sheet2!I16</f>
        <v>1206.7433138123226</v>
      </c>
      <c r="AA60" s="38">
        <f t="shared" si="24"/>
        <v>4662.9883797925504</v>
      </c>
      <c r="AB60" s="38">
        <f t="shared" si="25"/>
        <v>296.9681108987192</v>
      </c>
      <c r="AC60" s="35">
        <f>AA60/V60</f>
        <v>0.11295861447552552</v>
      </c>
      <c r="AD60" s="35">
        <f>AB60/W60</f>
        <v>7.2706986408772406E-2</v>
      </c>
      <c r="AF60" s="35">
        <f>(maxL-minL)*(aL*U60^3+bL*U60^2+cL*U60)/(aL*U60^3+bL*U60^2+cL*U60+dL)+minL</f>
        <v>0.10842768989938172</v>
      </c>
      <c r="AG60">
        <f>ABS(AF60-AC60)*S60</f>
        <v>49267.787697726759</v>
      </c>
      <c r="AI60" s="35">
        <f>(maxK-minK)*(aK*U60^3+bK*U60^2+cK*U60)/(aK*U60^3+bK*U60^2+cK*U60+dK)+minK</f>
        <v>6.7067164298197854E-2</v>
      </c>
      <c r="AJ60">
        <f>ABS(AI60-AD60)*S60</f>
        <v>61325.575768735413</v>
      </c>
    </row>
    <row r="61" spans="1:36" x14ac:dyDescent="0.25">
      <c r="M61" s="10" t="s">
        <v>36</v>
      </c>
      <c r="N61">
        <v>0.20501069059260102</v>
      </c>
      <c r="O61" s="14">
        <v>0.13112136720506382</v>
      </c>
      <c r="Q61">
        <f t="shared" si="22"/>
        <v>0.63958307162444183</v>
      </c>
      <c r="R61" s="21" t="s">
        <v>36</v>
      </c>
      <c r="S61" s="22">
        <v>18985371</v>
      </c>
      <c r="T61" s="26">
        <v>1168608366</v>
      </c>
      <c r="U61" s="23">
        <f t="shared" si="23"/>
        <v>61553.096118058478</v>
      </c>
      <c r="V61" s="23">
        <f>Sheet2!H17</f>
        <v>54858.909953571412</v>
      </c>
      <c r="W61" s="23">
        <f>Sheet2!I17</f>
        <v>7472.6721893321956</v>
      </c>
      <c r="X61" s="43">
        <v>0.26402118024283588</v>
      </c>
      <c r="Y61" s="23">
        <f>X61*Sheet2!H17</f>
        <v>14483.914152777381</v>
      </c>
      <c r="Z61" s="23">
        <f>X61*Sheet2!I17</f>
        <v>1972.9437309953025</v>
      </c>
      <c r="AA61" s="38">
        <f t="shared" si="24"/>
        <v>6977.7107907236168</v>
      </c>
      <c r="AB61" s="38">
        <f t="shared" si="25"/>
        <v>640.771081827628</v>
      </c>
      <c r="AC61" s="35">
        <f>AA61/V61</f>
        <v>0.12719375570220121</v>
      </c>
      <c r="AD61" s="35">
        <f>AB61/W61</f>
        <v>8.5748587063992604E-2</v>
      </c>
      <c r="AF61" s="35">
        <f>(maxL-minL)*(aL*U61^3+bL*U61^2+cL*U61)/(aL*U61^3+bL*U61^2+cL*U61+dL)+minL</f>
        <v>0.13059636014342024</v>
      </c>
      <c r="AG61">
        <f>ABS(AF61-AC61)*S61</f>
        <v>64599.707682791108</v>
      </c>
      <c r="AI61" s="35">
        <f>(maxK-minK)*(aK*U61^3+bK*U61^2+cK*U61)/(aK*U61^3+bK*U61^2+cK*U61+dK)+minK</f>
        <v>8.2724892727101609E-2</v>
      </c>
      <c r="AJ61">
        <f>ABS(AI61-AD61)*S61</f>
        <v>57405.958776474523</v>
      </c>
    </row>
    <row r="62" spans="1:36" x14ac:dyDescent="0.25">
      <c r="M62" s="10" t="s">
        <v>37</v>
      </c>
      <c r="N62">
        <v>0.25326594913520428</v>
      </c>
      <c r="O62" s="14">
        <v>0.16784143011806488</v>
      </c>
      <c r="Q62">
        <f t="shared" si="22"/>
        <v>0.66270823492527176</v>
      </c>
      <c r="R62" s="21" t="s">
        <v>37</v>
      </c>
      <c r="S62" s="22">
        <v>12103891</v>
      </c>
      <c r="T62" s="26">
        <v>1046406104</v>
      </c>
      <c r="U62" s="23">
        <f t="shared" si="23"/>
        <v>86452.042900915083</v>
      </c>
      <c r="V62" s="23">
        <f>Sheet2!H18</f>
        <v>74986.895117828593</v>
      </c>
      <c r="W62" s="23">
        <f>Sheet2!I18</f>
        <v>12418.053588335402</v>
      </c>
      <c r="X62" s="43">
        <v>0.23686038226216219</v>
      </c>
      <c r="Y62" s="23">
        <f>X62*Sheet2!H18</f>
        <v>17761.424642261543</v>
      </c>
      <c r="Z62" s="23">
        <f>X62*Sheet2!I18</f>
        <v>2941.3449198851381</v>
      </c>
      <c r="AA62" s="38">
        <f t="shared" si="24"/>
        <v>11245.362252608729</v>
      </c>
      <c r="AB62" s="38">
        <f t="shared" si="25"/>
        <v>1308.2731278442984</v>
      </c>
      <c r="AC62" s="35">
        <f>AA62/V62</f>
        <v>0.14996436690622594</v>
      </c>
      <c r="AD62" s="35">
        <f>AB62/W62</f>
        <v>0.10535251104675479</v>
      </c>
      <c r="AF62" s="35">
        <f>(maxL-minL)*(aL*U62^3+bL*U62^2+cL*U62)/(aL*U62^3+bL*U62^2+cL*U62+dL)+minL</f>
        <v>0.15739099188036848</v>
      </c>
      <c r="AG62">
        <f>ABS(AF62-AC62)*S62</f>
        <v>89891.059184899088</v>
      </c>
      <c r="AI62" s="35">
        <f>(maxK-minK)*(aK*U62^3+bK*U62^2+cK*U62)/(aK*U62^3+bK*U62^2+cK*U62+dK)+minK</f>
        <v>0.10393590091637751</v>
      </c>
      <c r="AJ62">
        <f>ABS(AI62-AD62)*S62</f>
        <v>17146.49460758235</v>
      </c>
    </row>
    <row r="63" spans="1:36" x14ac:dyDescent="0.25">
      <c r="M63" s="10" t="s">
        <v>38</v>
      </c>
      <c r="N63">
        <v>0.2698890666049325</v>
      </c>
      <c r="O63" s="14">
        <v>0.18495083924097638</v>
      </c>
      <c r="Q63">
        <f t="shared" si="22"/>
        <v>0.68528466739154748</v>
      </c>
      <c r="R63" s="21" t="s">
        <v>38</v>
      </c>
      <c r="S63" s="22">
        <v>15646648</v>
      </c>
      <c r="T63" s="26">
        <v>2100003307</v>
      </c>
      <c r="U63" s="23">
        <f t="shared" si="23"/>
        <v>134214.26154662648</v>
      </c>
      <c r="V63" s="23">
        <f>Sheet2!H19</f>
        <v>113875.14175276353</v>
      </c>
      <c r="W63" s="23">
        <f>Sheet2!I19</f>
        <v>22058.461534023518</v>
      </c>
      <c r="X63" s="43">
        <v>0.20639136922088522</v>
      </c>
      <c r="Y63" s="23">
        <f>X63*Sheet2!H19</f>
        <v>23502.846426575263</v>
      </c>
      <c r="Z63" s="23">
        <f>X63*Sheet2!I19</f>
        <v>4552.6760789133423</v>
      </c>
      <c r="AA63" s="38">
        <f t="shared" si="24"/>
        <v>20191.327872460068</v>
      </c>
      <c r="AB63" s="38">
        <f t="shared" si="25"/>
        <v>2793.2576178672912</v>
      </c>
      <c r="AC63" s="35">
        <f>AA63/V63</f>
        <v>0.177311110762855</v>
      </c>
      <c r="AD63" s="35">
        <f>AB63/W63</f>
        <v>0.12662975672890431</v>
      </c>
      <c r="AF63" s="35">
        <f>(maxL-minL)*(aL*U63^3+bL*U63^2+cL*U63)/(aL*U63^3+bL*U63^2+cL*U63+dL)+minL</f>
        <v>0.1951102466822866</v>
      </c>
      <c r="AG63">
        <f>ABS(AF63-AC63)*S63</f>
        <v>278496.81443550275</v>
      </c>
      <c r="AI63" s="35">
        <f>(maxK-minK)*(aK*U63^3+bK*U63^2+cK*U63)/(aK*U63^3+bK*U63^2+cK*U63+dK)+minK</f>
        <v>0.13836187168954217</v>
      </c>
      <c r="AJ63">
        <f>ABS(AI63-AD63)*S63</f>
        <v>183568.27308463451</v>
      </c>
    </row>
    <row r="64" spans="1:36" x14ac:dyDescent="0.25">
      <c r="M64" s="25" t="s">
        <v>90</v>
      </c>
      <c r="N64">
        <v>0.3388568024643755</v>
      </c>
      <c r="O64" s="14">
        <f>AF47</f>
        <v>0.24877237966504662</v>
      </c>
      <c r="Q64">
        <f t="shared" si="22"/>
        <v>0.73415194222403257</v>
      </c>
      <c r="R64" s="21" t="s">
        <v>90</v>
      </c>
      <c r="S64" s="22">
        <v>4154112</v>
      </c>
      <c r="T64" s="26">
        <v>1186751256</v>
      </c>
      <c r="U64" s="23">
        <f t="shared" si="23"/>
        <v>285681.09285450174</v>
      </c>
      <c r="V64" s="23">
        <f>Sheet2!H29</f>
        <v>217517.89405322366</v>
      </c>
      <c r="W64" s="23">
        <f>Sheet2!I29</f>
        <v>73790.961124489433</v>
      </c>
      <c r="X64" s="43">
        <v>0.16747891774288171</v>
      </c>
      <c r="Y64" s="23">
        <f>X64*Sheet2!H20</f>
        <v>29822.014181620983</v>
      </c>
      <c r="Z64" s="23">
        <f>X64*Sheet2!I20</f>
        <v>8006.4789991956386</v>
      </c>
      <c r="AA64" s="38">
        <f t="shared" si="24"/>
        <v>53170.086535890499</v>
      </c>
      <c r="AB64" s="38">
        <f t="shared" si="25"/>
        <v>14803.663875635833</v>
      </c>
      <c r="AC64" s="35">
        <f>AA64/V64</f>
        <v>0.24444005752869466</v>
      </c>
      <c r="AD64" s="35">
        <f>AB64/W64</f>
        <v>0.20061622250266173</v>
      </c>
      <c r="AF64" s="35">
        <f>(maxL-minL)*(aL*U64^3+bL*U64^2+cL*U64)/(aL*U64^3+bL*U64^2+cL*U64+dL)+minL</f>
        <v>0.25858605221653452</v>
      </c>
      <c r="AG64">
        <f>ABS(AF64-AC64)*S64</f>
        <v>58764.046284691831</v>
      </c>
      <c r="AI64" s="35">
        <f>(maxK-minK)*(aK*U64^3+bK*U64^2+cK*U64)/(aK*U64^3+bK*U64^2+cK*U64+dK)+minK</f>
        <v>0.20729933597439312</v>
      </c>
      <c r="AJ64">
        <f>ABS(AI64-AD64)*S64</f>
        <v>27762.401870281046</v>
      </c>
    </row>
    <row r="65" spans="13:39" x14ac:dyDescent="0.25">
      <c r="M65" s="10" t="s">
        <v>41</v>
      </c>
      <c r="N65">
        <v>0.39600000000000007</v>
      </c>
      <c r="O65" s="14">
        <v>0.30608391581336331</v>
      </c>
      <c r="Q65">
        <f t="shared" si="22"/>
        <v>0.77293918134687689</v>
      </c>
      <c r="R65" s="21" t="s">
        <v>41</v>
      </c>
      <c r="S65" s="22">
        <v>705029</v>
      </c>
      <c r="T65" s="26">
        <v>477502309</v>
      </c>
      <c r="U65" s="23">
        <f t="shared" ref="U65:U70" si="26">1000*T65/S65</f>
        <v>677280.37995600177</v>
      </c>
      <c r="V65" s="23">
        <f>Sheet2!H22</f>
        <v>430831.85159572167</v>
      </c>
      <c r="W65" s="23">
        <f>Sheet2!I22</f>
        <v>260523.84441110922</v>
      </c>
      <c r="X65" s="43">
        <v>0.1378237144987734</v>
      </c>
      <c r="Y65" s="23">
        <f>X65*Sheet2!H21</f>
        <v>34242.939269055838</v>
      </c>
      <c r="Z65" s="23">
        <f>X65*Sheet2!I21</f>
        <v>12846.913747336817</v>
      </c>
      <c r="AA65" s="38">
        <f t="shared" si="24"/>
        <v>135891.72738809552</v>
      </c>
      <c r="AB65" s="38">
        <f t="shared" si="25"/>
        <v>70478.016781174039</v>
      </c>
      <c r="AC65" s="35">
        <f>AA65/V65</f>
        <v>0.31541708646836958</v>
      </c>
      <c r="AD65" s="35">
        <f>AB65/W65</f>
        <v>0.27052424679392889</v>
      </c>
      <c r="AF65" s="35">
        <f>(maxL-minL)*(aL*U65^3+bL*U65^2+cL*U65)/(aL*U65^3+bL*U65^2+cL*U65+dL)+minL</f>
        <v>0.31348789701681073</v>
      </c>
      <c r="AG65">
        <f>ABS(AF65-AC65)*S65</f>
        <v>1360.13450984308</v>
      </c>
      <c r="AI65" s="35">
        <f>(maxK-minK)*(aK*U65^3+bK*U65^2+cK*U65)/(aK*U65^3+bK*U65^2+cK*U65+dK)+minK</f>
        <v>0.26800672230656314</v>
      </c>
      <c r="AJ65">
        <f>ABS(AI65-AD65)*S65</f>
        <v>1774.9277718029889</v>
      </c>
    </row>
    <row r="66" spans="13:39" x14ac:dyDescent="0.25">
      <c r="M66" s="10" t="s">
        <v>42</v>
      </c>
      <c r="N66">
        <v>0.39600000000000002</v>
      </c>
      <c r="O66" s="14">
        <v>0.30660045345130316</v>
      </c>
      <c r="Q66">
        <f t="shared" si="22"/>
        <v>0.77424356932147254</v>
      </c>
      <c r="R66" s="21" t="s">
        <v>42</v>
      </c>
      <c r="S66" s="22">
        <v>169413</v>
      </c>
      <c r="T66" s="26">
        <v>204812273</v>
      </c>
      <c r="U66" s="23">
        <f t="shared" si="26"/>
        <v>1208952.5184017755</v>
      </c>
      <c r="V66" s="23">
        <f>Sheet2!H23</f>
        <v>653994.31911681581</v>
      </c>
      <c r="W66" s="23">
        <f>Sheet2!I23</f>
        <v>575567.81602039316</v>
      </c>
      <c r="X66" s="43">
        <v>0.12681201801588815</v>
      </c>
      <c r="Y66" s="23">
        <f>X66*Sheet2!H22</f>
        <v>54634.656526375104</v>
      </c>
      <c r="Z66" s="23">
        <f>X66*Sheet2!I22</f>
        <v>33037.554451030024</v>
      </c>
      <c r="AA66" s="38">
        <f t="shared" si="24"/>
        <v>216188.94449255039</v>
      </c>
      <c r="AB66" s="38">
        <f t="shared" si="25"/>
        <v>160880.18173845531</v>
      </c>
      <c r="AC66" s="35">
        <f>AA66/V66</f>
        <v>0.33056700673562722</v>
      </c>
      <c r="AD66" s="35">
        <f>AB66/W66</f>
        <v>0.27951559705130402</v>
      </c>
      <c r="AF66" s="35">
        <f>(maxL-minL)*(aL*U66^3+bL*U66^2+cL*U66)/(aL*U66^3+bL*U66^2+cL*U66+dL)+minL</f>
        <v>0.33696467261073348</v>
      </c>
      <c r="AG66">
        <f>ABS(AF66-AC66)*S66</f>
        <v>1083.8477688993771</v>
      </c>
      <c r="AI66" s="35">
        <f>(maxK-minK)*(aK*U66^3+bK*U66^2+cK*U66)/(aK*U66^3+bK*U66^2+cK*U66+dK)+minK</f>
        <v>0.28779927420616441</v>
      </c>
      <c r="AJ66">
        <f>ABS(AI66-AD66)*S66</f>
        <v>1403.3625978363634</v>
      </c>
    </row>
    <row r="67" spans="13:39" x14ac:dyDescent="0.25">
      <c r="M67" s="10" t="s">
        <v>43</v>
      </c>
      <c r="N67">
        <v>0.39599999999999996</v>
      </c>
      <c r="O67" s="14">
        <v>0.30735193760543805</v>
      </c>
      <c r="Q67">
        <f t="shared" si="22"/>
        <v>0.77614125657938904</v>
      </c>
      <c r="R67" s="21" t="s">
        <v>43</v>
      </c>
      <c r="S67" s="22">
        <v>71874</v>
      </c>
      <c r="T67" s="26">
        <v>123673838</v>
      </c>
      <c r="U67" s="23">
        <f t="shared" si="26"/>
        <v>1720703.4254389626</v>
      </c>
      <c r="V67" s="23">
        <f>Sheet2!H24</f>
        <v>837139.05567685585</v>
      </c>
      <c r="W67" s="23">
        <f>Sheet2!I24</f>
        <v>910035.61110111675</v>
      </c>
      <c r="X67" s="43">
        <v>0.1246836118821002</v>
      </c>
      <c r="Y67" s="23">
        <f>X67*Sheet2!H23</f>
        <v>81542.373857859449</v>
      </c>
      <c r="Z67" s="23">
        <f>X67*Sheet2!I23</f>
        <v>71763.87418451476</v>
      </c>
      <c r="AA67" s="38">
        <f t="shared" si="24"/>
        <v>278058.80410705844</v>
      </c>
      <c r="AB67" s="38">
        <f t="shared" si="25"/>
        <v>251776.89721672007</v>
      </c>
      <c r="AC67" s="35">
        <f>AA67/V67</f>
        <v>0.3321536633865903</v>
      </c>
      <c r="AD67" s="35">
        <f>AB67/W67</f>
        <v>0.27666708219481356</v>
      </c>
      <c r="AF67" s="35">
        <f>(maxL-minL)*(aL*U67^3+bL*U67^2+cL*U67)/(aL*U67^3+bL*U67^2+cL*U67+dL)+minL</f>
        <v>0.34688188641945911</v>
      </c>
      <c r="AG67">
        <f>ABS(AF67-AC67)*S67</f>
        <v>1058.5763022644123</v>
      </c>
      <c r="AI67" s="35">
        <f>(maxK-minK)*(aK*U67^3+bK*U67^2+cK*U67)/(aK*U67^3+bK*U67^2+cK*U67+dK)+minK</f>
        <v>0.29390547264553329</v>
      </c>
      <c r="AJ67">
        <f>ABS(AI67-AD67)*S67</f>
        <v>1238.9920752550299</v>
      </c>
    </row>
    <row r="68" spans="13:39" x14ac:dyDescent="0.25">
      <c r="M68" s="10" t="s">
        <v>44</v>
      </c>
      <c r="N68">
        <v>0.39600000000000002</v>
      </c>
      <c r="O68" s="14">
        <v>0.30725107394146994</v>
      </c>
      <c r="Q68">
        <f t="shared" si="22"/>
        <v>0.7758865503572473</v>
      </c>
      <c r="R68" s="21" t="s">
        <v>44</v>
      </c>
      <c r="S68" s="22">
        <v>106711</v>
      </c>
      <c r="T68" s="26">
        <v>317872956</v>
      </c>
      <c r="U68" s="23">
        <f t="shared" si="26"/>
        <v>2978820.8900675657</v>
      </c>
      <c r="V68" s="23">
        <f>Sheet2!H25</f>
        <v>1235108.957799993</v>
      </c>
      <c r="W68" s="23">
        <f>Sheet2!I25</f>
        <v>1780661.1408777442</v>
      </c>
      <c r="X68" s="43">
        <v>0.11974086096040969</v>
      </c>
      <c r="Y68" s="23">
        <f>X68*Sheet2!H24</f>
        <v>100239.75127033106</v>
      </c>
      <c r="Z68" s="23">
        <f>X68*Sheet2!I24</f>
        <v>108968.44757788029</v>
      </c>
      <c r="AA68" s="38">
        <f t="shared" si="24"/>
        <v>428250.723892482</v>
      </c>
      <c r="AB68" s="38">
        <f t="shared" si="25"/>
        <v>507846.38111080427</v>
      </c>
      <c r="AC68" s="35">
        <f>AA68/V68</f>
        <v>0.34673112941816314</v>
      </c>
      <c r="AD68" s="35">
        <f>AB68/W68</f>
        <v>0.2852010241883926</v>
      </c>
      <c r="AF68" s="35">
        <f>(maxL-minL)*(aL*U68^3+bL*U68^2+cL*U68)/(aL*U68^3+bL*U68^2+cL*U68+dL)+minL</f>
        <v>0.35742185789500774</v>
      </c>
      <c r="AG68">
        <f>ABS(AF68-AC68)*S68</f>
        <v>1140.8183264925644</v>
      </c>
      <c r="AI68" s="35">
        <f>(maxK-minK)*(aK*U68^3+bK*U68^2+cK*U68)/(aK*U68^3+bK*U68^2+cK*U68+dK)+minK</f>
        <v>0.29851578402489554</v>
      </c>
      <c r="AJ68">
        <f>ABS(AI68-AD68)*S68</f>
        <v>1420.8313369130644</v>
      </c>
    </row>
    <row r="69" spans="13:39" x14ac:dyDescent="0.25">
      <c r="M69" s="10" t="s">
        <v>45</v>
      </c>
      <c r="N69">
        <v>0.39600000000000002</v>
      </c>
      <c r="O69" s="14">
        <v>0.30734534100902228</v>
      </c>
      <c r="Q69">
        <f t="shared" si="22"/>
        <v>0.77612459850763194</v>
      </c>
      <c r="R69" s="21" t="s">
        <v>45</v>
      </c>
      <c r="S69" s="22">
        <v>27167</v>
      </c>
      <c r="T69" s="26">
        <v>185813467</v>
      </c>
      <c r="U69" s="23">
        <f t="shared" si="26"/>
        <v>6839675.5990724042</v>
      </c>
      <c r="V69" s="23">
        <f>Sheet2!H26</f>
        <v>2380761.3441587733</v>
      </c>
      <c r="W69" s="23">
        <f>Sheet2!I26</f>
        <v>4522625.0805476718</v>
      </c>
      <c r="X69" s="43">
        <v>0.11646859386007824</v>
      </c>
      <c r="Y69" s="23">
        <f>X69*Sheet2!H25</f>
        <v>143851.4035789519</v>
      </c>
      <c r="Z69" s="23">
        <f>X69*Sheet2!I25</f>
        <v>207391.09921931356</v>
      </c>
      <c r="AA69" s="38">
        <f t="shared" si="24"/>
        <v>864658.85457634507</v>
      </c>
      <c r="AB69" s="38">
        <f t="shared" si="25"/>
        <v>1320326.4797513518</v>
      </c>
      <c r="AC69" s="35">
        <f>AA69/V69</f>
        <v>0.36318585930412389</v>
      </c>
      <c r="AD69" s="35">
        <f>AB69/W69</f>
        <v>0.29193807937567656</v>
      </c>
      <c r="AF69" s="35">
        <f>(maxL-minL)*(aL*U69^3+bL*U69^2+cL*U69)/(aL*U69^3+bL*U69^2+cL*U69+dL)+minL</f>
        <v>0.36604049192677085</v>
      </c>
      <c r="AG69">
        <f>ABS(AF69-AC69)*S69</f>
        <v>77.551804459449897</v>
      </c>
      <c r="AI69" s="35">
        <f>(maxK-minK)*(aK*U69^3+bK*U69^2+cK*U69)/(aK*U69^3+bK*U69^2+cK*U69+dK)+minK</f>
        <v>0.3006511333401079</v>
      </c>
      <c r="AJ69">
        <f>ABS(AI69-AD69)*S69</f>
        <v>236.70753705170617</v>
      </c>
    </row>
    <row r="70" spans="13:39" x14ac:dyDescent="0.25">
      <c r="M70" s="10" t="s">
        <v>46</v>
      </c>
      <c r="N70">
        <v>0.39600000000000002</v>
      </c>
      <c r="O70" s="14">
        <v>0.30883385176451994</v>
      </c>
      <c r="Q70">
        <f t="shared" si="22"/>
        <v>0.77988346405181797</v>
      </c>
      <c r="R70" s="21" t="s">
        <v>46</v>
      </c>
      <c r="S70" s="22">
        <v>17685</v>
      </c>
      <c r="T70" s="26">
        <v>546666931</v>
      </c>
      <c r="U70" s="23">
        <f t="shared" si="26"/>
        <v>30911333.389878429</v>
      </c>
      <c r="V70" s="23">
        <f>Sheet2!H27</f>
        <v>6127809.9951209314</v>
      </c>
      <c r="W70" s="23">
        <f>Sheet2!I27</f>
        <v>24966461.421333693</v>
      </c>
      <c r="X70" s="43">
        <v>0.12707705475847356</v>
      </c>
      <c r="Y70" s="23">
        <f>X70*Sheet2!H26</f>
        <v>302540.13969852153</v>
      </c>
      <c r="Z70" s="23">
        <f>X70*Sheet2!I26</f>
        <v>574721.87501280231</v>
      </c>
      <c r="AA70" s="38">
        <f t="shared" si="24"/>
        <v>2285649.3808540106</v>
      </c>
      <c r="AB70" s="38">
        <f t="shared" si="25"/>
        <v>7520631.0233598147</v>
      </c>
      <c r="AC70" s="35">
        <f>AA70/V70</f>
        <v>0.37299612466344162</v>
      </c>
      <c r="AD70" s="35">
        <f>AB70/W70</f>
        <v>0.30122935310862597</v>
      </c>
      <c r="AF70" s="35">
        <f>(maxL-minL)*(aL*U70^3+bL*U70^2+cL*U70)/(aL*U70^3+bL*U70^2+cL*U70+dL)+minL</f>
        <v>0.37143585962460396</v>
      </c>
      <c r="AG70">
        <f>ABS(AF70-AC70)*S70</f>
        <v>27.593287211844025</v>
      </c>
      <c r="AI70" s="35">
        <f>(maxK-minK)*(aK*U70^3+bK*U70^2+cK*U70)/(aK*U70^3+bK*U70^2+cK*U70+dK)+minK</f>
        <v>0.30117189899702912</v>
      </c>
      <c r="AJ70">
        <f>ABS(AI70-AD70)*S70</f>
        <v>1.0160759635903842</v>
      </c>
    </row>
    <row r="72" spans="13:39" x14ac:dyDescent="0.25">
      <c r="P72" t="s">
        <v>87</v>
      </c>
      <c r="Q72">
        <f>AVERAGE(Q52:Q70)</f>
        <v>0.67447546816813253</v>
      </c>
      <c r="AC72" t="s">
        <v>98</v>
      </c>
      <c r="AD72" s="46">
        <v>0</v>
      </c>
      <c r="AE72" s="42">
        <f>SUM(AG53:AG70)</f>
        <v>925085.94439527171</v>
      </c>
      <c r="AF72" s="39" t="s">
        <v>117</v>
      </c>
      <c r="AG72" s="46">
        <v>0</v>
      </c>
      <c r="AH72" s="40">
        <f>SUM(AJ53:AJ70)</f>
        <v>614382.25400130928</v>
      </c>
      <c r="AK72" s="39"/>
      <c r="AM72" s="39"/>
    </row>
    <row r="73" spans="13:39" x14ac:dyDescent="0.25">
      <c r="AC73" t="s">
        <v>99</v>
      </c>
      <c r="AD73" s="46">
        <v>0</v>
      </c>
      <c r="AE73" s="39"/>
      <c r="AF73" s="39" t="s">
        <v>118</v>
      </c>
      <c r="AG73" s="46">
        <v>7.0590999999999999E-6</v>
      </c>
      <c r="AK73" s="39"/>
    </row>
    <row r="74" spans="13:39" x14ac:dyDescent="0.25">
      <c r="W74" s="26"/>
      <c r="X74" s="67"/>
      <c r="AC74" t="s">
        <v>100</v>
      </c>
      <c r="AD74" s="45">
        <v>3.7023999999999999</v>
      </c>
      <c r="AE74" s="39"/>
      <c r="AF74" s="39" t="s">
        <v>119</v>
      </c>
      <c r="AG74" s="45">
        <v>2.7494000000000001</v>
      </c>
      <c r="AK74" s="39"/>
    </row>
    <row r="75" spans="13:39" x14ac:dyDescent="0.25">
      <c r="U75" s="41">
        <v>2616.138007973072</v>
      </c>
      <c r="V75" s="43">
        <v>0</v>
      </c>
      <c r="W75" s="44">
        <v>10378183</v>
      </c>
      <c r="X75" s="68"/>
      <c r="AC75" t="s">
        <v>101</v>
      </c>
      <c r="AD75" s="45">
        <v>513900</v>
      </c>
      <c r="AE75" s="39"/>
      <c r="AF75" s="39" t="s">
        <v>120</v>
      </c>
      <c r="AG75" s="45">
        <v>682610</v>
      </c>
      <c r="AK75" s="39"/>
    </row>
    <row r="76" spans="13:39" x14ac:dyDescent="0.25">
      <c r="U76" s="41">
        <v>7603.3426617110445</v>
      </c>
      <c r="V76" s="43">
        <v>2.7282740371824366E-2</v>
      </c>
      <c r="W76" s="44">
        <v>11958135</v>
      </c>
      <c r="X76" s="68"/>
      <c r="AC76" t="s">
        <v>122</v>
      </c>
      <c r="AD76" s="45">
        <v>0.373</v>
      </c>
      <c r="AE76" s="39"/>
      <c r="AF76" s="39" t="s">
        <v>121</v>
      </c>
      <c r="AG76" s="45">
        <v>0.30120000000000002</v>
      </c>
      <c r="AK76" s="39"/>
    </row>
    <row r="77" spans="13:39" x14ac:dyDescent="0.25">
      <c r="U77" s="41">
        <v>12505.27620226165</v>
      </c>
      <c r="V77" s="43">
        <v>3.7906881424062497E-2</v>
      </c>
      <c r="W77" s="44">
        <v>12632192</v>
      </c>
      <c r="X77" s="68"/>
      <c r="AC77" t="s">
        <v>123</v>
      </c>
      <c r="AD77" s="45">
        <v>2.3099999999999999E-2</v>
      </c>
      <c r="AE77" s="39"/>
      <c r="AF77" s="39" t="s">
        <v>124</v>
      </c>
      <c r="AG77" s="45">
        <v>0.02</v>
      </c>
      <c r="AK77" s="39"/>
    </row>
    <row r="78" spans="13:39" x14ac:dyDescent="0.25">
      <c r="U78" s="41">
        <v>17434.355914100874</v>
      </c>
      <c r="V78" s="43">
        <v>4.4157871856696833E-2</v>
      </c>
      <c r="W78" s="44">
        <v>11615578</v>
      </c>
      <c r="X78" s="68"/>
    </row>
    <row r="79" spans="13:39" x14ac:dyDescent="0.25">
      <c r="U79" s="41">
        <v>22416.345859766752</v>
      </c>
      <c r="V79" s="43">
        <v>4.936823400599398E-2</v>
      </c>
      <c r="W79" s="44">
        <v>10168630</v>
      </c>
      <c r="X79" s="68"/>
      <c r="AD79" s="39"/>
      <c r="AG79" s="46">
        <v>5.2880000000000002E-11</v>
      </c>
    </row>
    <row r="80" spans="13:39" x14ac:dyDescent="0.25">
      <c r="U80" s="41">
        <v>27436.516197873258</v>
      </c>
      <c r="V80" s="43">
        <v>5.3477650148958999E-2</v>
      </c>
      <c r="W80" s="44">
        <v>8734480</v>
      </c>
      <c r="X80" s="68"/>
    </row>
    <row r="81" spans="21:24" x14ac:dyDescent="0.25">
      <c r="U81" s="41">
        <v>34782.761609593479</v>
      </c>
      <c r="V81" s="43">
        <v>6.1131075928576972E-2</v>
      </c>
      <c r="W81" s="44">
        <v>14451152</v>
      </c>
      <c r="X81" s="68"/>
    </row>
    <row r="82" spans="21:24" x14ac:dyDescent="0.25">
      <c r="U82" s="41">
        <v>44765.236067448051</v>
      </c>
      <c r="V82" s="43">
        <v>7.2706986408772406E-2</v>
      </c>
      <c r="W82" s="44">
        <v>10873672</v>
      </c>
      <c r="X82" s="68"/>
    </row>
    <row r="83" spans="21:24" x14ac:dyDescent="0.25">
      <c r="U83" s="41">
        <v>61553.096118058478</v>
      </c>
      <c r="V83" s="43">
        <v>8.5748587063992604E-2</v>
      </c>
      <c r="W83" s="44">
        <v>18985371</v>
      </c>
      <c r="X83" s="68"/>
    </row>
    <row r="84" spans="21:24" x14ac:dyDescent="0.25">
      <c r="U84" s="41">
        <v>86452.042900915083</v>
      </c>
      <c r="V84" s="43">
        <v>0.10535251104675479</v>
      </c>
      <c r="W84" s="44">
        <v>12103891</v>
      </c>
      <c r="X84" s="68"/>
    </row>
    <row r="85" spans="21:24" x14ac:dyDescent="0.25">
      <c r="U85" s="41">
        <v>134214.26154662648</v>
      </c>
      <c r="V85" s="43">
        <v>0.12662975672890431</v>
      </c>
      <c r="W85" s="44">
        <v>15646648</v>
      </c>
      <c r="X85" s="68"/>
    </row>
    <row r="86" spans="21:24" x14ac:dyDescent="0.25">
      <c r="U86" s="41">
        <v>285681.09285450174</v>
      </c>
      <c r="V86" s="43">
        <v>0.20061622250266173</v>
      </c>
      <c r="W86" s="44">
        <v>4154112</v>
      </c>
      <c r="X86" s="68"/>
    </row>
    <row r="87" spans="21:24" x14ac:dyDescent="0.25">
      <c r="U87" s="41">
        <v>677280.37995600177</v>
      </c>
      <c r="V87" s="43">
        <v>0.27052424679392889</v>
      </c>
      <c r="W87" s="44">
        <v>705029</v>
      </c>
      <c r="X87" s="68"/>
    </row>
    <row r="88" spans="21:24" x14ac:dyDescent="0.25">
      <c r="U88" s="41">
        <v>1208952.5184017755</v>
      </c>
      <c r="V88" s="43">
        <v>0.27951559705130402</v>
      </c>
      <c r="W88" s="44">
        <v>169413</v>
      </c>
      <c r="X88" s="68"/>
    </row>
    <row r="89" spans="21:24" x14ac:dyDescent="0.25">
      <c r="U89" s="41">
        <v>1720703.4254389626</v>
      </c>
      <c r="V89" s="43">
        <v>0.27666708219481356</v>
      </c>
      <c r="W89" s="44">
        <v>71874</v>
      </c>
      <c r="X89" s="68"/>
    </row>
    <row r="90" spans="21:24" x14ac:dyDescent="0.25">
      <c r="U90" s="41">
        <v>2978820.8900675657</v>
      </c>
      <c r="V90" s="43">
        <v>0.2852010241883926</v>
      </c>
      <c r="W90" s="44">
        <v>106711</v>
      </c>
      <c r="X90" s="68"/>
    </row>
    <row r="91" spans="21:24" x14ac:dyDescent="0.25">
      <c r="U91" s="41">
        <v>6839675.5990724042</v>
      </c>
      <c r="V91" s="43">
        <v>0.29193807937567656</v>
      </c>
      <c r="W91" s="44">
        <v>27167</v>
      </c>
      <c r="X91" s="68"/>
    </row>
    <row r="92" spans="21:24" x14ac:dyDescent="0.25">
      <c r="U92" s="41">
        <v>30911333.389878429</v>
      </c>
      <c r="V92" s="43">
        <v>0.30122935310862597</v>
      </c>
      <c r="W92" s="44">
        <v>17685</v>
      </c>
      <c r="X92" s="68"/>
    </row>
  </sheetData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Normal="100" workbookViewId="0">
      <selection activeCell="H11" sqref="H11"/>
    </sheetView>
  </sheetViews>
  <sheetFormatPr defaultRowHeight="15.75" x14ac:dyDescent="0.25"/>
  <cols>
    <col min="8" max="8" width="16.125" bestFit="1" customWidth="1"/>
    <col min="9" max="10" width="15.5" bestFit="1" customWidth="1"/>
  </cols>
  <sheetData>
    <row r="1" spans="1:10" ht="16.5" thickTop="1" x14ac:dyDescent="0.25">
      <c r="A1" t="s">
        <v>107</v>
      </c>
      <c r="B1" s="47" t="s">
        <v>104</v>
      </c>
      <c r="C1" s="48"/>
      <c r="D1" s="57" t="s">
        <v>109</v>
      </c>
      <c r="E1" s="58"/>
      <c r="F1" t="s">
        <v>110</v>
      </c>
    </row>
    <row r="2" spans="1:10" x14ac:dyDescent="0.25">
      <c r="A2" t="s">
        <v>108</v>
      </c>
      <c r="B2" s="49"/>
      <c r="C2" s="50"/>
      <c r="D2" s="59"/>
      <c r="E2" s="60"/>
    </row>
    <row r="3" spans="1:10" x14ac:dyDescent="0.25">
      <c r="B3" s="51"/>
      <c r="C3" s="52"/>
      <c r="D3" s="61"/>
      <c r="E3" s="62"/>
    </row>
    <row r="4" spans="1:10" x14ac:dyDescent="0.25">
      <c r="B4" s="53" t="s">
        <v>105</v>
      </c>
      <c r="C4" s="55" t="s">
        <v>106</v>
      </c>
      <c r="D4" s="63" t="s">
        <v>105</v>
      </c>
      <c r="E4" s="65" t="s">
        <v>106</v>
      </c>
    </row>
    <row r="5" spans="1:10" x14ac:dyDescent="0.25">
      <c r="B5" s="54"/>
      <c r="C5" s="56"/>
      <c r="D5" s="64"/>
      <c r="E5" s="66"/>
    </row>
    <row r="6" spans="1:10" x14ac:dyDescent="0.25">
      <c r="B6" s="30">
        <v>3</v>
      </c>
      <c r="C6" s="30">
        <v>4</v>
      </c>
      <c r="D6" s="34">
        <v>5</v>
      </c>
      <c r="E6" s="34">
        <v>6</v>
      </c>
      <c r="H6" t="s">
        <v>113</v>
      </c>
      <c r="I6" t="s">
        <v>114</v>
      </c>
      <c r="J6" t="s">
        <v>115</v>
      </c>
    </row>
    <row r="7" spans="1:10" x14ac:dyDescent="0.25">
      <c r="A7" s="28" t="s">
        <v>0</v>
      </c>
      <c r="B7" s="31">
        <v>144519302</v>
      </c>
      <c r="C7" s="31">
        <v>9234159288</v>
      </c>
      <c r="D7" s="31">
        <v>119851043</v>
      </c>
      <c r="E7" s="31">
        <v>6301357591</v>
      </c>
      <c r="F7" s="35">
        <f>E7/C7</f>
        <v>0.68239645802826443</v>
      </c>
      <c r="H7" s="36">
        <f>1000*E7/D7</f>
        <v>52576.577001503443</v>
      </c>
      <c r="I7" s="36">
        <f>J7-H7</f>
        <v>11319.104476393535</v>
      </c>
      <c r="J7" s="37">
        <f>1000*C7/B7</f>
        <v>63895.681477896978</v>
      </c>
    </row>
    <row r="8" spans="1:10" x14ac:dyDescent="0.25">
      <c r="A8" s="29" t="s">
        <v>27</v>
      </c>
      <c r="B8" s="33">
        <v>1719378</v>
      </c>
      <c r="C8" s="33">
        <v>-191106053</v>
      </c>
      <c r="D8" s="33">
        <v>615806</v>
      </c>
      <c r="E8" s="33">
        <v>20445434</v>
      </c>
      <c r="F8" s="35">
        <f t="shared" ref="F8:F29" si="0">E8/C8</f>
        <v>-0.10698475364356984</v>
      </c>
      <c r="H8" s="36">
        <f t="shared" ref="H8:H29" si="1">1000*E8/D8</f>
        <v>33201.095799651186</v>
      </c>
      <c r="I8" s="36">
        <f t="shared" ref="I8:I29" si="2">J8-H8</f>
        <v>-144349.4604989785</v>
      </c>
      <c r="J8" s="37">
        <f t="shared" ref="J8:J29" si="3">1000*C8/B8</f>
        <v>-111148.36469932731</v>
      </c>
    </row>
    <row r="9" spans="1:10" x14ac:dyDescent="0.25">
      <c r="A9" s="29" t="s">
        <v>28</v>
      </c>
      <c r="B9" s="33">
        <v>10378183</v>
      </c>
      <c r="C9" s="33">
        <v>28880295</v>
      </c>
      <c r="D9" s="33">
        <v>7489682</v>
      </c>
      <c r="E9" s="33">
        <v>26219125</v>
      </c>
      <c r="F9" s="35">
        <f t="shared" si="0"/>
        <v>0.90785516560686097</v>
      </c>
      <c r="H9" s="36">
        <f t="shared" si="1"/>
        <v>3500.6993621358024</v>
      </c>
      <c r="I9" s="36">
        <f t="shared" si="2"/>
        <v>-717.91021686827344</v>
      </c>
      <c r="J9" s="37">
        <f t="shared" si="3"/>
        <v>2782.789145267529</v>
      </c>
    </row>
    <row r="10" spans="1:10" x14ac:dyDescent="0.25">
      <c r="A10" s="29" t="s">
        <v>29</v>
      </c>
      <c r="B10" s="33">
        <v>11958135</v>
      </c>
      <c r="C10" s="33">
        <v>93685811</v>
      </c>
      <c r="D10" s="33">
        <v>9020507</v>
      </c>
      <c r="E10" s="33">
        <v>66889682</v>
      </c>
      <c r="F10" s="35">
        <f t="shared" si="0"/>
        <v>0.71397879023537514</v>
      </c>
      <c r="H10" s="36">
        <f t="shared" si="1"/>
        <v>7415.2907369840741</v>
      </c>
      <c r="I10" s="36">
        <f t="shared" si="2"/>
        <v>419.19273389161026</v>
      </c>
      <c r="J10" s="37">
        <f t="shared" si="3"/>
        <v>7834.4834708756844</v>
      </c>
    </row>
    <row r="11" spans="1:10" x14ac:dyDescent="0.25">
      <c r="A11" s="29" t="s">
        <v>30</v>
      </c>
      <c r="B11" s="33">
        <v>12632192</v>
      </c>
      <c r="C11" s="33">
        <v>161300580</v>
      </c>
      <c r="D11" s="33">
        <v>9510561</v>
      </c>
      <c r="E11" s="33">
        <v>109871302</v>
      </c>
      <c r="F11" s="35">
        <f t="shared" si="0"/>
        <v>0.68115875342791699</v>
      </c>
      <c r="H11" s="36">
        <f t="shared" si="1"/>
        <v>11552.557414857021</v>
      </c>
      <c r="I11" s="36">
        <f t="shared" si="2"/>
        <v>1216.4521125472493</v>
      </c>
      <c r="J11" s="37">
        <f t="shared" si="3"/>
        <v>12769.009527404271</v>
      </c>
    </row>
    <row r="12" spans="1:10" x14ac:dyDescent="0.25">
      <c r="A12" s="29" t="s">
        <v>31</v>
      </c>
      <c r="B12" s="33">
        <v>11615578</v>
      </c>
      <c r="C12" s="33">
        <v>205814749</v>
      </c>
      <c r="D12" s="33">
        <v>9402884</v>
      </c>
      <c r="E12" s="33">
        <v>152313380</v>
      </c>
      <c r="F12" s="35">
        <f t="shared" si="0"/>
        <v>0.74005085029158912</v>
      </c>
      <c r="H12" s="36">
        <f t="shared" si="1"/>
        <v>16198.581201256977</v>
      </c>
      <c r="I12" s="36">
        <f t="shared" si="2"/>
        <v>1520.2743735581535</v>
      </c>
      <c r="J12" s="37">
        <f t="shared" si="3"/>
        <v>17718.85557481513</v>
      </c>
    </row>
    <row r="13" spans="1:10" x14ac:dyDescent="0.25">
      <c r="A13" s="29" t="s">
        <v>32</v>
      </c>
      <c r="B13" s="33">
        <v>10168630</v>
      </c>
      <c r="C13" s="33">
        <v>231267495</v>
      </c>
      <c r="D13" s="33">
        <v>8454607</v>
      </c>
      <c r="E13" s="33">
        <v>177687668</v>
      </c>
      <c r="F13" s="35">
        <f t="shared" si="0"/>
        <v>0.76832097826804413</v>
      </c>
      <c r="H13" s="36">
        <f t="shared" si="1"/>
        <v>21016.66795393328</v>
      </c>
      <c r="I13" s="36">
        <f t="shared" si="2"/>
        <v>1726.5624517359211</v>
      </c>
      <c r="J13" s="37">
        <f t="shared" si="3"/>
        <v>22743.230405669201</v>
      </c>
    </row>
    <row r="14" spans="1:10" x14ac:dyDescent="0.25">
      <c r="A14" s="29" t="s">
        <v>33</v>
      </c>
      <c r="B14" s="33">
        <v>8734480</v>
      </c>
      <c r="C14" s="33">
        <v>242933980</v>
      </c>
      <c r="D14" s="33">
        <v>7501575</v>
      </c>
      <c r="E14" s="33">
        <v>193890034</v>
      </c>
      <c r="F14" s="35">
        <f t="shared" si="0"/>
        <v>0.79811821302231989</v>
      </c>
      <c r="H14" s="36">
        <f t="shared" si="1"/>
        <v>25846.576752215369</v>
      </c>
      <c r="I14" s="36">
        <f t="shared" si="2"/>
        <v>1966.639375132796</v>
      </c>
      <c r="J14" s="37">
        <f t="shared" si="3"/>
        <v>27813.216127348165</v>
      </c>
    </row>
    <row r="15" spans="1:10" x14ac:dyDescent="0.25">
      <c r="A15" s="29" t="s">
        <v>34</v>
      </c>
      <c r="B15" s="33">
        <v>14451152</v>
      </c>
      <c r="C15" s="33">
        <v>509167382</v>
      </c>
      <c r="D15" s="33">
        <v>12593698</v>
      </c>
      <c r="E15" s="33">
        <v>408353008</v>
      </c>
      <c r="F15" s="35">
        <f t="shared" si="0"/>
        <v>0.80200150762996048</v>
      </c>
      <c r="H15" s="36">
        <f t="shared" si="1"/>
        <v>32425.18662905844</v>
      </c>
      <c r="I15" s="36">
        <f t="shared" si="2"/>
        <v>2808.5014533864778</v>
      </c>
      <c r="J15" s="37">
        <f t="shared" si="3"/>
        <v>35233.688082444918</v>
      </c>
    </row>
    <row r="16" spans="1:10" x14ac:dyDescent="0.25">
      <c r="A16" s="29" t="s">
        <v>35</v>
      </c>
      <c r="B16" s="33">
        <v>10873672</v>
      </c>
      <c r="C16" s="33">
        <v>493283624</v>
      </c>
      <c r="D16" s="33">
        <v>9480254</v>
      </c>
      <c r="E16" s="33">
        <v>391349650</v>
      </c>
      <c r="F16" s="35">
        <f t="shared" si="0"/>
        <v>0.79335625785947439</v>
      </c>
      <c r="H16" s="36">
        <f t="shared" si="1"/>
        <v>41280.502611005992</v>
      </c>
      <c r="I16" s="36">
        <f t="shared" si="2"/>
        <v>4084.4508288255602</v>
      </c>
      <c r="J16" s="37">
        <f t="shared" si="3"/>
        <v>45364.953439831552</v>
      </c>
    </row>
    <row r="17" spans="1:10" x14ac:dyDescent="0.25">
      <c r="A17" s="29" t="s">
        <v>36</v>
      </c>
      <c r="B17" s="33">
        <v>18985371</v>
      </c>
      <c r="C17" s="33">
        <v>1183388212</v>
      </c>
      <c r="D17" s="33">
        <v>16456455</v>
      </c>
      <c r="E17" s="33">
        <v>902783183</v>
      </c>
      <c r="F17" s="35">
        <f t="shared" si="0"/>
        <v>0.7628799863353718</v>
      </c>
      <c r="H17" s="36">
        <f t="shared" si="1"/>
        <v>54858.909953571412</v>
      </c>
      <c r="I17" s="36">
        <f t="shared" si="2"/>
        <v>7472.6721893321956</v>
      </c>
      <c r="J17" s="37">
        <f t="shared" si="3"/>
        <v>62331.582142903608</v>
      </c>
    </row>
    <row r="18" spans="1:10" x14ac:dyDescent="0.25">
      <c r="A18" s="29" t="s">
        <v>37</v>
      </c>
      <c r="B18" s="33">
        <v>12103891</v>
      </c>
      <c r="C18" s="33">
        <v>1057939972</v>
      </c>
      <c r="D18" s="33">
        <v>10646185</v>
      </c>
      <c r="E18" s="33">
        <v>798324358</v>
      </c>
      <c r="F18" s="35">
        <f t="shared" si="0"/>
        <v>0.75460269876257213</v>
      </c>
      <c r="H18" s="36">
        <f t="shared" si="1"/>
        <v>74986.895117828593</v>
      </c>
      <c r="I18" s="36">
        <f t="shared" si="2"/>
        <v>12418.053588335402</v>
      </c>
      <c r="J18" s="37">
        <f t="shared" si="3"/>
        <v>87404.948706163996</v>
      </c>
    </row>
    <row r="19" spans="1:10" x14ac:dyDescent="0.25">
      <c r="A19" s="29" t="s">
        <v>38</v>
      </c>
      <c r="B19" s="33">
        <v>15646648</v>
      </c>
      <c r="C19" s="33">
        <v>2126905242</v>
      </c>
      <c r="D19" s="33">
        <v>14048227</v>
      </c>
      <c r="E19" s="33">
        <v>1599743841</v>
      </c>
      <c r="F19" s="35">
        <f t="shared" si="0"/>
        <v>0.75214626839496967</v>
      </c>
      <c r="H19" s="36">
        <f t="shared" si="1"/>
        <v>113875.14175276353</v>
      </c>
      <c r="I19" s="36">
        <f t="shared" si="2"/>
        <v>22058.461534023518</v>
      </c>
      <c r="J19" s="37">
        <f t="shared" si="3"/>
        <v>135933.60328678705</v>
      </c>
    </row>
    <row r="20" spans="1:10" x14ac:dyDescent="0.25">
      <c r="A20" s="29" t="s">
        <v>39</v>
      </c>
      <c r="B20" s="33">
        <v>1806561</v>
      </c>
      <c r="C20" s="33">
        <v>408048257</v>
      </c>
      <c r="D20" s="33">
        <v>1629598</v>
      </c>
      <c r="E20" s="33">
        <v>290173207</v>
      </c>
      <c r="F20" s="35">
        <f t="shared" si="0"/>
        <v>0.71112473101435159</v>
      </c>
      <c r="H20" s="36">
        <f t="shared" si="1"/>
        <v>178064.28763412818</v>
      </c>
      <c r="I20" s="36">
        <f t="shared" si="2"/>
        <v>47805.891673406964</v>
      </c>
      <c r="J20" s="37">
        <f t="shared" si="3"/>
        <v>225870.17930753515</v>
      </c>
    </row>
    <row r="21" spans="1:10" x14ac:dyDescent="0.25">
      <c r="A21" s="29" t="s">
        <v>40</v>
      </c>
      <c r="B21" s="33">
        <v>2347551</v>
      </c>
      <c r="C21" s="33">
        <v>802081354</v>
      </c>
      <c r="D21" s="33">
        <v>2078226</v>
      </c>
      <c r="E21" s="33">
        <v>516344861</v>
      </c>
      <c r="F21" s="35">
        <f t="shared" si="0"/>
        <v>0.64375622051924675</v>
      </c>
      <c r="H21" s="36">
        <f t="shared" si="1"/>
        <v>248454.6247616958</v>
      </c>
      <c r="I21" s="36">
        <f t="shared" si="2"/>
        <v>93212.650624440634</v>
      </c>
      <c r="J21" s="37">
        <f t="shared" si="3"/>
        <v>341667.27538613643</v>
      </c>
    </row>
    <row r="22" spans="1:10" x14ac:dyDescent="0.25">
      <c r="A22" s="29" t="s">
        <v>41</v>
      </c>
      <c r="B22" s="33">
        <v>705029</v>
      </c>
      <c r="C22" s="33">
        <v>487425815</v>
      </c>
      <c r="D22" s="33">
        <v>601546</v>
      </c>
      <c r="E22" s="33">
        <v>259165177</v>
      </c>
      <c r="F22" s="35">
        <f t="shared" si="0"/>
        <v>0.5317017872760802</v>
      </c>
      <c r="H22" s="36">
        <f t="shared" si="1"/>
        <v>430831.85159572167</v>
      </c>
      <c r="I22" s="36">
        <f t="shared" si="2"/>
        <v>260523.84441110922</v>
      </c>
      <c r="J22" s="37">
        <f t="shared" si="3"/>
        <v>691355.6960068309</v>
      </c>
    </row>
    <row r="23" spans="1:10" x14ac:dyDescent="0.25">
      <c r="A23" s="29" t="s">
        <v>42</v>
      </c>
      <c r="B23" s="33">
        <v>169413</v>
      </c>
      <c r="C23" s="33">
        <v>208303810</v>
      </c>
      <c r="D23" s="33">
        <v>139767</v>
      </c>
      <c r="E23" s="33">
        <v>91406824</v>
      </c>
      <c r="F23" s="35">
        <f t="shared" si="0"/>
        <v>0.43881494054285419</v>
      </c>
      <c r="H23" s="36">
        <f t="shared" si="1"/>
        <v>653994.31911681581</v>
      </c>
      <c r="I23" s="36">
        <f t="shared" si="2"/>
        <v>575567.81602039316</v>
      </c>
      <c r="J23" s="37">
        <f t="shared" si="3"/>
        <v>1229562.135137209</v>
      </c>
    </row>
    <row r="24" spans="1:10" x14ac:dyDescent="0.25">
      <c r="A24" s="29" t="s">
        <v>43</v>
      </c>
      <c r="B24" s="33">
        <v>71874</v>
      </c>
      <c r="C24" s="33">
        <v>125576432</v>
      </c>
      <c r="D24" s="33">
        <v>58624</v>
      </c>
      <c r="E24" s="33">
        <v>49076440</v>
      </c>
      <c r="F24" s="35">
        <f t="shared" si="0"/>
        <v>0.39080932001635466</v>
      </c>
      <c r="H24" s="36">
        <f t="shared" si="1"/>
        <v>837139.05567685585</v>
      </c>
      <c r="I24" s="36">
        <f t="shared" si="2"/>
        <v>910035.61110111675</v>
      </c>
      <c r="J24" s="37">
        <f t="shared" si="3"/>
        <v>1747174.6667779726</v>
      </c>
    </row>
    <row r="25" spans="1:10" x14ac:dyDescent="0.25">
      <c r="A25" s="29" t="s">
        <v>44</v>
      </c>
      <c r="B25" s="33">
        <v>106711</v>
      </c>
      <c r="C25" s="33">
        <v>321815843</v>
      </c>
      <c r="D25" s="33">
        <v>86327</v>
      </c>
      <c r="E25" s="33">
        <v>106623251</v>
      </c>
      <c r="F25" s="35">
        <f t="shared" si="0"/>
        <v>0.33131759457846205</v>
      </c>
      <c r="H25" s="36">
        <f t="shared" si="1"/>
        <v>1235108.957799993</v>
      </c>
      <c r="I25" s="36">
        <f t="shared" si="2"/>
        <v>1780661.1408777442</v>
      </c>
      <c r="J25" s="37">
        <f t="shared" si="3"/>
        <v>3015770.0986777372</v>
      </c>
    </row>
    <row r="26" spans="1:10" x14ac:dyDescent="0.25">
      <c r="A26" s="29" t="s">
        <v>45</v>
      </c>
      <c r="B26" s="33">
        <v>27167</v>
      </c>
      <c r="C26" s="33">
        <v>187544299</v>
      </c>
      <c r="D26" s="33">
        <v>22170</v>
      </c>
      <c r="E26" s="33">
        <v>52781479</v>
      </c>
      <c r="F26" s="35">
        <f t="shared" si="0"/>
        <v>0.28143472918896884</v>
      </c>
      <c r="H26" s="36">
        <f t="shared" si="1"/>
        <v>2380761.3441587733</v>
      </c>
      <c r="I26" s="36">
        <f t="shared" si="2"/>
        <v>4522625.0805476718</v>
      </c>
      <c r="J26" s="37">
        <f t="shared" si="3"/>
        <v>6903386.4247064451</v>
      </c>
    </row>
    <row r="27" spans="1:10" x14ac:dyDescent="0.25">
      <c r="A27" s="29" t="s">
        <v>46</v>
      </c>
      <c r="B27" s="33">
        <v>17685</v>
      </c>
      <c r="C27" s="33">
        <v>549902190</v>
      </c>
      <c r="D27" s="33">
        <v>14347</v>
      </c>
      <c r="E27" s="33">
        <v>87915690</v>
      </c>
      <c r="F27" s="35">
        <f t="shared" si="0"/>
        <v>0.15987514070456785</v>
      </c>
      <c r="H27" s="36">
        <f t="shared" si="1"/>
        <v>6127809.9951209314</v>
      </c>
      <c r="I27" s="36">
        <f t="shared" si="2"/>
        <v>24966461.421333693</v>
      </c>
      <c r="J27" s="37">
        <f t="shared" si="3"/>
        <v>31094271.416454624</v>
      </c>
    </row>
    <row r="28" spans="1:10" x14ac:dyDescent="0.25">
      <c r="F28" s="35"/>
      <c r="H28" s="36"/>
      <c r="I28" s="36"/>
      <c r="J28" s="37"/>
    </row>
    <row r="29" spans="1:10" x14ac:dyDescent="0.25">
      <c r="A29" s="32" t="s">
        <v>90</v>
      </c>
      <c r="B29" s="27">
        <f>B20+B21</f>
        <v>4154112</v>
      </c>
      <c r="C29" s="27">
        <f t="shared" ref="C29:E29" si="4">C20+C21</f>
        <v>1210129611</v>
      </c>
      <c r="D29" s="27">
        <f t="shared" si="4"/>
        <v>3707824</v>
      </c>
      <c r="E29" s="27">
        <f t="shared" si="4"/>
        <v>806518068</v>
      </c>
      <c r="F29" s="35">
        <f t="shared" si="0"/>
        <v>0.66647246763388224</v>
      </c>
      <c r="H29" s="36">
        <f t="shared" si="1"/>
        <v>217517.89405322366</v>
      </c>
      <c r="I29" s="36">
        <f t="shared" si="2"/>
        <v>73790.961124489433</v>
      </c>
      <c r="J29" s="37">
        <f t="shared" si="3"/>
        <v>291308.85517771309</v>
      </c>
    </row>
  </sheetData>
  <mergeCells count="6">
    <mergeCell ref="B1:C3"/>
    <mergeCell ref="B4:B5"/>
    <mergeCell ref="C4:C5"/>
    <mergeCell ref="D1:E3"/>
    <mergeCell ref="D4:D5"/>
    <mergeCell ref="E4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Sheet1</vt:lpstr>
      <vt:lpstr>Sheet2</vt:lpstr>
      <vt:lpstr>Chart1</vt:lpstr>
      <vt:lpstr>Chart2</vt:lpstr>
      <vt:lpstr>aK</vt:lpstr>
      <vt:lpstr>aL</vt:lpstr>
      <vt:lpstr>bK</vt:lpstr>
      <vt:lpstr>bL</vt:lpstr>
      <vt:lpstr>cK</vt:lpstr>
      <vt:lpstr>cL</vt:lpstr>
      <vt:lpstr>dK</vt:lpstr>
      <vt:lpstr>dL</vt:lpstr>
      <vt:lpstr>maxK</vt:lpstr>
      <vt:lpstr>maxL</vt:lpstr>
      <vt:lpstr>minK</vt:lpstr>
      <vt:lpstr>minL</vt:lpstr>
    </vt:vector>
  </TitlesOfParts>
  <Company>MTSU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Kerk Phillips</cp:lastModifiedBy>
  <cp:lastPrinted>2014-10-29T06:35:44Z</cp:lastPrinted>
  <dcterms:created xsi:type="dcterms:W3CDTF">2014-10-23T02:43:43Z</dcterms:created>
  <dcterms:modified xsi:type="dcterms:W3CDTF">2014-10-29T07:36:13Z</dcterms:modified>
</cp:coreProperties>
</file>