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7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Material Data" sheetId="1" state="visible" r:id="rId2"/>
    <sheet name="Analysis" sheetId="2" state="visible" r:id="rId3"/>
  </sheets>
  <externalReferences>
    <externalReference r:id="rId4"/>
    <externalReference r:id="rId5"/>
    <externalReference r:id="rId6"/>
  </externalReferences>
  <definedNames>
    <definedName function="false" hidden="false" name="CHARGES" vbProcedure="false">[4]'REFERENCE-OFFICE USE ONLY'!$A$13:$A$14</definedName>
    <definedName function="false" hidden="false" name="gdgdg" vbProcedure="false">[2]gm!#REF!</definedName>
    <definedName function="false" hidden="false" name="NEW" vbProcedure="false">[6]'REFERENCE-OFFICE USE ONLY'!$A$10:$A$11</definedName>
    <definedName function="false" hidden="false" name="opco" vbProcedure="false">[7]'All Opco Specific Categories'!$C$13:$J$102</definedName>
    <definedName function="false" hidden="false" name="opcodetail" vbProcedure="false">#REF!</definedName>
    <definedName function="false" hidden="false" name="opconumber" vbProcedure="false">[7]'All Sales Topline'!$B$10:$B$98</definedName>
    <definedName function="false" hidden="false" name="PRINT" vbProcedure="false">[6]'REFERENCE-OFFICE USE ONLY'!$A$2:$A$4</definedName>
    <definedName function="false" hidden="false" name="PRINTED" vbProcedure="false">'[3]reference-office use only'!#ref!</definedName>
    <definedName function="false" hidden="false" name="Sales_Office" vbProcedure="false">#REF!</definedName>
    <definedName function="false" hidden="false" name="SBUX_MAT" vbProcedure="false">[5]pp!#REF!</definedName>
    <definedName function="false" hidden="false" name="TIMEFRAME" vbProcedure="false">[6]'REFERENCE-OFFICE USE ONLY'!$A$6:$A$8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<sst xmlns="http://schemas.openxmlformats.org/spreadsheetml/2006/main" count="101" uniqueCount="68">
  <si>
    <t xml:space="preserve">Product Code</t>
  </si>
  <si>
    <t xml:space="preserve">Description</t>
  </si>
  <si>
    <t xml:space="preserve">Category</t>
  </si>
  <si>
    <t xml:space="preserve">List Price</t>
  </si>
  <si>
    <t xml:space="preserve">Variable COGS</t>
  </si>
  <si>
    <t xml:space="preserve">Total COGS</t>
  </si>
  <si>
    <t xml:space="preserve">TV-LCD23</t>
  </si>
  <si>
    <t xml:space="preserve">23 Inch LCD</t>
  </si>
  <si>
    <t xml:space="preserve">TV-LCD32</t>
  </si>
  <si>
    <t xml:space="preserve">32 Inch LCD</t>
  </si>
  <si>
    <t xml:space="preserve">TV-LCD40</t>
  </si>
  <si>
    <t xml:space="preserve">40 Inch LCD</t>
  </si>
  <si>
    <t xml:space="preserve">TV-LCD50</t>
  </si>
  <si>
    <t xml:space="preserve">50 Inch LCD</t>
  </si>
  <si>
    <t xml:space="preserve">TV-LCD66</t>
  </si>
  <si>
    <t xml:space="preserve">66 Inch LCD</t>
  </si>
  <si>
    <t xml:space="preserve">TV-PLAS30</t>
  </si>
  <si>
    <t xml:space="preserve">30 inch Plasma</t>
  </si>
  <si>
    <t xml:space="preserve">TV-PLAS42</t>
  </si>
  <si>
    <t xml:space="preserve">42 inch Plasma</t>
  </si>
  <si>
    <t xml:space="preserve">TV-PLAS51</t>
  </si>
  <si>
    <t xml:space="preserve">51 inch Plasma</t>
  </si>
  <si>
    <t xml:space="preserve">TV-PLAS63</t>
  </si>
  <si>
    <t xml:space="preserve">63 inch Plasma</t>
  </si>
  <si>
    <t xml:space="preserve">TV-PLAS72</t>
  </si>
  <si>
    <t xml:space="preserve">72 inch Plasma</t>
  </si>
  <si>
    <t xml:space="preserve">PC-TOWER</t>
  </si>
  <si>
    <t xml:space="preserve">1Ghz PC Tower</t>
  </si>
  <si>
    <t xml:space="preserve">PC-TOWER2</t>
  </si>
  <si>
    <t xml:space="preserve">2Ghz PC Tower</t>
  </si>
  <si>
    <t xml:space="preserve">PC-TOWER3</t>
  </si>
  <si>
    <t xml:space="preserve">3Ghz PC Tower</t>
  </si>
  <si>
    <t xml:space="preserve">PC-TOWER4</t>
  </si>
  <si>
    <t xml:space="preserve">4Ghz PC Tower</t>
  </si>
  <si>
    <t xml:space="preserve">ACC-MOUSE1</t>
  </si>
  <si>
    <t xml:space="preserve">Standard Mouse</t>
  </si>
  <si>
    <t xml:space="preserve">ACC-MOUSE2</t>
  </si>
  <si>
    <t xml:space="preserve">Wireless Mouse</t>
  </si>
  <si>
    <t xml:space="preserve">ACC-KEY1</t>
  </si>
  <si>
    <t xml:space="preserve">Standard Keyboard</t>
  </si>
  <si>
    <t xml:space="preserve">ACC-KEY2</t>
  </si>
  <si>
    <t xml:space="preserve">Wireless Keyboard</t>
  </si>
  <si>
    <t xml:space="preserve">CAM-DIGITAL</t>
  </si>
  <si>
    <t xml:space="preserve">Digital Camera</t>
  </si>
  <si>
    <t xml:space="preserve">Pricing Analysis</t>
  </si>
  <si>
    <t xml:space="preserve">Scenerio 1</t>
  </si>
  <si>
    <t xml:space="preserve">ITEM #</t>
  </si>
  <si>
    <t xml:space="preserve">CATEGORY</t>
  </si>
  <si>
    <t xml:space="preserve">VAR COG Per Unit</t>
  </si>
  <si>
    <t xml:space="preserve">ADJ. COGS Per Unit</t>
  </si>
  <si>
    <t xml:space="preserve">Volume</t>
  </si>
  <si>
    <t xml:space="preserve">Current Price</t>
  </si>
  <si>
    <t xml:space="preserve">Gross Revenue</t>
  </si>
  <si>
    <t xml:space="preserve">Variable Margin</t>
  </si>
  <si>
    <t xml:space="preserve">Gross Margin</t>
  </si>
  <si>
    <t xml:space="preserve">Selling Expenses</t>
  </si>
  <si>
    <t xml:space="preserve">Operating Margin</t>
  </si>
  <si>
    <t xml:space="preserve">VM%</t>
  </si>
  <si>
    <t xml:space="preserve">GM%</t>
  </si>
  <si>
    <t xml:space="preserve">OM%</t>
  </si>
  <si>
    <t xml:space="preserve">TOTAL</t>
  </si>
  <si>
    <t xml:space="preserve">Scenerio 2</t>
  </si>
  <si>
    <t xml:space="preserve">+/-</t>
  </si>
  <si>
    <t xml:space="preserve">Proposed Price</t>
  </si>
  <si>
    <t xml:space="preserve">Margin Impact</t>
  </si>
  <si>
    <t xml:space="preserve">TV</t>
  </si>
  <si>
    <t xml:space="preserve">PC</t>
  </si>
  <si>
    <t xml:space="preserve">ACC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</si>
</sst>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(\$* #,##0.00_);_(\$* \(#,##0.00\);_(\$* \-??_);_(@_)"/>
    <numFmt numFmtId="167" formatCode="#,##0"/>
    <numFmt numFmtId="168" formatCode="_(\$* #,##0_);_(\$* \(#,##0\);_(\$* \-??_);_(@_)"/>
    <numFmt numFmtId="169" formatCode="0%"/>
    <numFmt numFmtId="170" formatCode="[$$-409]#,##0.00;[RED]\-[$$-409]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Aharoni"/>
      <family val="0"/>
      <charset val="177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Aharoni"/>
      <family val="0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C6D9F1"/>
        <bgColor rgb="FFC0C0C0"/>
      </patternFill>
    </fill>
    <fill>
      <patternFill patternType="solid">
        <fgColor rgb="FF8EB4E3"/>
        <bgColor rgb="FF9999FF"/>
      </patternFill>
    </fill>
    <fill>
      <patternFill patternType="solid">
        <fgColor rgb="FFF7DC3B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 style="medium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border diagonalUp="false" diagonalDown="false">
        <left style="thin"/>
        <right style="thin"/>
        <top style="thin"/>
        <bottom style="thin"/>
        <diagonal/>
      </border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7DC3B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4.xml"/><Relationship Id="rId5" Type="http://schemas.openxmlformats.org/officeDocument/2006/relationships/externalLink" Target="externalLinks/externalLink6.xml"/><Relationship Id="rId6" Type="http://schemas.openxmlformats.org/officeDocument/2006/relationships/externalLink" Target="externalLinks/externalLink7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264960</xdr:colOff>
      <xdr:row>0</xdr:row>
      <xdr:rowOff>41400</xdr:rowOff>
    </xdr:from>
    <xdr:to>
      <xdr:col>5</xdr:col>
      <xdr:colOff>504360</xdr:colOff>
      <xdr:row>3</xdr:row>
      <xdr:rowOff>196920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64960" y="41400"/>
          <a:ext cx="3923640" cy="7768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8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9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3.9554655870445"/>
    <col collapsed="false" hidden="false" max="2" min="2" style="0" width="21.4251012145749"/>
    <col collapsed="false" hidden="false" max="3" min="3" style="0" width="9.23886639676113"/>
    <col collapsed="false" hidden="false" max="4" min="4" style="0" width="10.834008097166"/>
    <col collapsed="false" hidden="false" max="5" min="5" style="0" width="14.502024291498"/>
    <col collapsed="false" hidden="false" max="6" min="6" style="0" width="11.2064777327935"/>
    <col collapsed="false" hidden="false" max="1025" min="7" style="0" width="9.23886639676113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2" t="s">
        <v>7</v>
      </c>
      <c r="C2" s="0" t="str">
        <f aca="false">LEFT(A2,SEARCH("-",A2)-1)</f>
        <v>TV</v>
      </c>
      <c r="D2" s="3" t="n">
        <v>391.345164</v>
      </c>
      <c r="E2" s="3" t="n">
        <v>-205.8</v>
      </c>
      <c r="F2" s="4" t="n">
        <v>-253.134</v>
      </c>
    </row>
    <row r="3" customFormat="false" ht="15" hidden="false" customHeight="false" outlineLevel="0" collapsed="false">
      <c r="A3" s="1" t="s">
        <v>8</v>
      </c>
      <c r="B3" s="2" t="s">
        <v>9</v>
      </c>
      <c r="C3" s="0" t="str">
        <f aca="false">LEFT(A3,SEARCH("-",A3)-1)</f>
        <v>TV</v>
      </c>
      <c r="D3" s="3" t="n">
        <v>510.09</v>
      </c>
      <c r="E3" s="3" t="n">
        <v>-245</v>
      </c>
      <c r="F3" s="4" t="n">
        <v>-294</v>
      </c>
    </row>
    <row r="4" customFormat="false" ht="15" hidden="false" customHeight="false" outlineLevel="0" collapsed="false">
      <c r="A4" s="1" t="s">
        <v>10</v>
      </c>
      <c r="B4" s="2" t="s">
        <v>11</v>
      </c>
      <c r="C4" s="0" t="str">
        <f aca="false">LEFT(A4,SEARCH("-",A4)-1)</f>
        <v>TV</v>
      </c>
      <c r="D4" s="3" t="n">
        <v>648.32439</v>
      </c>
      <c r="E4" s="3" t="n">
        <v>-303.8</v>
      </c>
      <c r="F4" s="4" t="n">
        <v>-373.674</v>
      </c>
    </row>
    <row r="5" customFormat="false" ht="15" hidden="false" customHeight="false" outlineLevel="0" collapsed="false">
      <c r="A5" s="2" t="s">
        <v>12</v>
      </c>
      <c r="B5" s="2" t="s">
        <v>13</v>
      </c>
      <c r="C5" s="0" t="str">
        <f aca="false">LEFT(A5,SEARCH("-",A5)-1)</f>
        <v>TV</v>
      </c>
      <c r="D5" s="3" t="n">
        <v>801.18136</v>
      </c>
      <c r="E5" s="3" t="n">
        <v>-372.4</v>
      </c>
      <c r="F5" s="4" t="n">
        <v>-461.776</v>
      </c>
    </row>
    <row r="6" customFormat="false" ht="15" hidden="false" customHeight="false" outlineLevel="0" collapsed="false">
      <c r="A6" s="2" t="s">
        <v>14</v>
      </c>
      <c r="B6" s="2" t="s">
        <v>15</v>
      </c>
      <c r="C6" s="0" t="str">
        <f aca="false">LEFT(A6,SEARCH("-",A6)-1)</f>
        <v>TV</v>
      </c>
      <c r="D6" s="3" t="n">
        <v>786.88512</v>
      </c>
      <c r="E6" s="3" t="n">
        <v>-401.8</v>
      </c>
      <c r="F6" s="4" t="n">
        <v>-482.16</v>
      </c>
    </row>
    <row r="7" customFormat="false" ht="15" hidden="false" customHeight="false" outlineLevel="0" collapsed="false">
      <c r="A7" s="5" t="s">
        <v>16</v>
      </c>
      <c r="B7" s="0" t="s">
        <v>17</v>
      </c>
      <c r="C7" s="0" t="str">
        <f aca="false">LEFT(A7,SEARCH("-",A7)-1)</f>
        <v>TV</v>
      </c>
      <c r="D7" s="3" t="n">
        <v>669.66536</v>
      </c>
      <c r="E7" s="3" t="n">
        <v>-333.2</v>
      </c>
      <c r="F7" s="4" t="n">
        <v>-433.16</v>
      </c>
    </row>
    <row r="8" customFormat="false" ht="15" hidden="false" customHeight="false" outlineLevel="0" collapsed="false">
      <c r="A8" s="5" t="s">
        <v>18</v>
      </c>
      <c r="B8" s="0" t="s">
        <v>19</v>
      </c>
      <c r="C8" s="0" t="str">
        <f aca="false">LEFT(A8,SEARCH("-",A8)-1)</f>
        <v>TV</v>
      </c>
      <c r="D8" s="3" t="n">
        <v>806.557248</v>
      </c>
      <c r="E8" s="3" t="n">
        <v>-401.8</v>
      </c>
      <c r="F8" s="4" t="n">
        <v>-494.214</v>
      </c>
    </row>
    <row r="9" customFormat="false" ht="15" hidden="false" customHeight="false" outlineLevel="0" collapsed="false">
      <c r="A9" s="5" t="s">
        <v>20</v>
      </c>
      <c r="B9" s="0" t="s">
        <v>21</v>
      </c>
      <c r="C9" s="0" t="str">
        <f aca="false">LEFT(A9,SEARCH("-",A9)-1)</f>
        <v>TV</v>
      </c>
      <c r="D9" s="3" t="n">
        <v>1105.195</v>
      </c>
      <c r="E9" s="3" t="n">
        <v>-490</v>
      </c>
      <c r="F9" s="4" t="n">
        <v>-637</v>
      </c>
    </row>
    <row r="10" customFormat="false" ht="15" hidden="false" customHeight="false" outlineLevel="0" collapsed="false">
      <c r="A10" s="5" t="s">
        <v>22</v>
      </c>
      <c r="B10" s="0" t="s">
        <v>23</v>
      </c>
      <c r="C10" s="0" t="str">
        <f aca="false">LEFT(A10,SEARCH("-",A10)-1)</f>
        <v>TV</v>
      </c>
      <c r="D10" s="3" t="n">
        <v>1146.006512</v>
      </c>
      <c r="E10" s="3" t="n">
        <v>-597.8</v>
      </c>
      <c r="F10" s="4" t="n">
        <v>-741.272</v>
      </c>
    </row>
    <row r="11" customFormat="false" ht="15" hidden="false" customHeight="false" outlineLevel="0" collapsed="false">
      <c r="A11" s="5" t="s">
        <v>24</v>
      </c>
      <c r="B11" s="0" t="s">
        <v>25</v>
      </c>
      <c r="C11" s="0" t="str">
        <f aca="false">LEFT(A11,SEARCH("-",A11)-1)</f>
        <v>TV</v>
      </c>
      <c r="D11" s="3" t="n">
        <v>1538.58432</v>
      </c>
      <c r="E11" s="3" t="n">
        <v>-725.2</v>
      </c>
      <c r="F11" s="4" t="n">
        <v>-942.76</v>
      </c>
    </row>
    <row r="12" customFormat="false" ht="15" hidden="false" customHeight="false" outlineLevel="0" collapsed="false">
      <c r="A12" s="5" t="s">
        <v>26</v>
      </c>
      <c r="B12" s="0" t="s">
        <v>27</v>
      </c>
      <c r="C12" s="0" t="str">
        <f aca="false">LEFT(A12,SEARCH("-",A12)-1)</f>
        <v>PC</v>
      </c>
      <c r="D12" s="3" t="n">
        <v>265.2468</v>
      </c>
      <c r="E12" s="3" t="n">
        <v>-117.6</v>
      </c>
      <c r="F12" s="4" t="n">
        <v>-152.88</v>
      </c>
    </row>
    <row r="13" customFormat="false" ht="15" hidden="false" customHeight="false" outlineLevel="0" collapsed="false">
      <c r="A13" s="5" t="s">
        <v>28</v>
      </c>
      <c r="B13" s="0" t="s">
        <v>29</v>
      </c>
      <c r="C13" s="0" t="str">
        <f aca="false">LEFT(A13,SEARCH("-",A13)-1)</f>
        <v>PC</v>
      </c>
      <c r="D13" s="3" t="n">
        <v>279.53226</v>
      </c>
      <c r="E13" s="3" t="n">
        <v>-147</v>
      </c>
      <c r="F13" s="4" t="n">
        <v>-180.81</v>
      </c>
    </row>
    <row r="14" customFormat="false" ht="15" hidden="false" customHeight="false" outlineLevel="0" collapsed="false">
      <c r="A14" s="5" t="s">
        <v>30</v>
      </c>
      <c r="B14" s="0" t="s">
        <v>31</v>
      </c>
      <c r="C14" s="0" t="str">
        <f aca="false">LEFT(A14,SEARCH("-",A14)-1)</f>
        <v>PC</v>
      </c>
      <c r="D14" s="3" t="n">
        <v>376.809216</v>
      </c>
      <c r="E14" s="3" t="n">
        <v>-186.2</v>
      </c>
      <c r="F14" s="4" t="n">
        <v>-230.888</v>
      </c>
    </row>
    <row r="15" customFormat="false" ht="15" hidden="false" customHeight="false" outlineLevel="0" collapsed="false">
      <c r="A15" s="5" t="s">
        <v>32</v>
      </c>
      <c r="B15" s="0" t="s">
        <v>33</v>
      </c>
      <c r="C15" s="0" t="str">
        <f aca="false">LEFT(A15,SEARCH("-",A15)-1)</f>
        <v>PC</v>
      </c>
      <c r="D15" s="3" t="n">
        <v>530.4936</v>
      </c>
      <c r="E15" s="3" t="n">
        <v>-235.2</v>
      </c>
      <c r="F15" s="4" t="n">
        <v>-305.76</v>
      </c>
    </row>
    <row r="16" customFormat="false" ht="15" hidden="false" customHeight="false" outlineLevel="0" collapsed="false">
      <c r="A16" s="5" t="s">
        <v>34</v>
      </c>
      <c r="B16" s="0" t="s">
        <v>35</v>
      </c>
      <c r="C16" s="0" t="str">
        <f aca="false">LEFT(A16,SEARCH("-",A16)-1)</f>
        <v>ACC</v>
      </c>
      <c r="D16" s="3" t="n">
        <v>19.672128</v>
      </c>
      <c r="E16" s="3" t="n">
        <v>-9.8</v>
      </c>
      <c r="F16" s="4" t="n">
        <v>-12.054</v>
      </c>
    </row>
    <row r="17" customFormat="false" ht="15" hidden="false" customHeight="false" outlineLevel="0" collapsed="false">
      <c r="A17" s="5" t="s">
        <v>36</v>
      </c>
      <c r="B17" s="0" t="s">
        <v>37</v>
      </c>
      <c r="C17" s="0" t="str">
        <f aca="false">LEFT(A17,SEARCH("-",A17)-1)</f>
        <v>ACC</v>
      </c>
      <c r="D17" s="3" t="n">
        <v>39.39208</v>
      </c>
      <c r="E17" s="3" t="n">
        <v>-19.6</v>
      </c>
      <c r="F17" s="4" t="n">
        <v>-25.48</v>
      </c>
    </row>
    <row r="18" customFormat="false" ht="15" hidden="false" customHeight="false" outlineLevel="0" collapsed="false">
      <c r="A18" s="5" t="s">
        <v>38</v>
      </c>
      <c r="B18" s="0" t="s">
        <v>39</v>
      </c>
      <c r="C18" s="0" t="str">
        <f aca="false">LEFT(A18,SEARCH("-",A18)-1)</f>
        <v>ACC</v>
      </c>
      <c r="D18" s="3" t="n">
        <v>19.832064</v>
      </c>
      <c r="E18" s="3" t="n">
        <v>-9.8</v>
      </c>
      <c r="F18" s="4" t="n">
        <v>-12.152</v>
      </c>
    </row>
    <row r="19" customFormat="false" ht="15" hidden="false" customHeight="false" outlineLevel="0" collapsed="false">
      <c r="A19" s="5" t="s">
        <v>40</v>
      </c>
      <c r="B19" s="0" t="s">
        <v>41</v>
      </c>
      <c r="C19" s="0" t="str">
        <f aca="false">LEFT(A19,SEARCH("-",A19)-1)</f>
        <v>ACC</v>
      </c>
      <c r="D19" s="3" t="n">
        <v>37.573984</v>
      </c>
      <c r="E19" s="3" t="n">
        <v>-19.6</v>
      </c>
      <c r="F19" s="4" t="n">
        <v>-24.304</v>
      </c>
    </row>
    <row r="20" customFormat="false" ht="15" hidden="false" customHeight="false" outlineLevel="0" collapsed="false">
      <c r="A20" s="5" t="s">
        <v>42</v>
      </c>
      <c r="B20" s="0" t="s">
        <v>43</v>
      </c>
      <c r="C20" s="0" t="str">
        <f aca="false">LEFT(A20,SEARCH("-",A20)-1)</f>
        <v>CAM</v>
      </c>
      <c r="D20" s="3" t="n">
        <v>245.87</v>
      </c>
      <c r="E20" s="3" t="n">
        <v>-54.32</v>
      </c>
      <c r="F20" s="4" t="n">
        <v>-75.24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1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H6" activeCellId="0" sqref="H6"/>
    </sheetView>
  </sheetViews>
  <sheetFormatPr defaultRowHeight="15"/>
  <cols>
    <col collapsed="false" hidden="false" max="1" min="1" style="6" width="4.21862348178138"/>
    <col collapsed="false" hidden="false" max="2" min="2" style="6" width="12.0526315789474"/>
    <col collapsed="false" hidden="false" max="3" min="3" style="6" width="15.6113360323887"/>
    <col collapsed="false" hidden="true" max="4" min="4" style="0" width="0"/>
    <col collapsed="false" hidden="false" max="5" min="5" style="6" width="9.54655870445344"/>
    <col collapsed="false" hidden="false" max="6" min="6" style="6" width="10.4048582995951"/>
    <col collapsed="false" hidden="false" max="7" min="7" style="7" width="7.21862348178138"/>
    <col collapsed="false" hidden="false" max="8" min="8" style="8" width="8.93522267206478"/>
    <col collapsed="false" hidden="false" max="10" min="9" style="8" width="10.0404858299595"/>
    <col collapsed="false" hidden="false" max="11" min="11" style="8" width="9.91093117408907"/>
    <col collapsed="false" hidden="true" max="12" min="12" style="8" width="0"/>
    <col collapsed="false" hidden="false" max="13" min="13" style="8" width="9.54655870445344"/>
    <col collapsed="false" hidden="false" max="14" min="14" style="9" width="5.26315789473684"/>
    <col collapsed="false" hidden="false" max="16" min="15" style="9" width="5.69230769230769"/>
    <col collapsed="false" hidden="false" max="17" min="17" style="0" width="8.51417004048583"/>
    <col collapsed="false" hidden="false" max="18" min="18" style="0" width="6.66801619433198"/>
    <col collapsed="false" hidden="false" max="19" min="19" style="8" width="8.20647773279352"/>
    <col collapsed="false" hidden="false" max="21" min="20" style="8" width="10.4048582995951"/>
    <col collapsed="false" hidden="false" max="22" min="22" style="8" width="10.834008097166"/>
    <col collapsed="false" hidden="false" max="23" min="23" style="8" width="9.54655870445344"/>
    <col collapsed="false" hidden="false" max="24" min="24" style="8" width="9.06072874493927"/>
    <col collapsed="false" hidden="false" max="26" min="25" style="9" width="5.1417004048583"/>
    <col collapsed="false" hidden="false" max="27" min="27" style="9" width="5.26315789473684"/>
    <col collapsed="false" hidden="false" max="28" min="28" style="10" width="9.91093117408907"/>
    <col collapsed="false" hidden="false" max="1025" min="29" style="6" width="9.23886639676113"/>
  </cols>
  <sheetData>
    <row r="1" customFormat="false" ht="15" hidden="false" customHeight="false" outlineLevel="0" collapsed="false">
      <c r="A1" s="0"/>
      <c r="B1" s="0"/>
      <c r="C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0"/>
      <c r="D2" s="11"/>
      <c r="E2" s="12"/>
      <c r="F2" s="12"/>
      <c r="G2" s="13"/>
      <c r="H2" s="13"/>
      <c r="I2" s="14" t="s">
        <v>44</v>
      </c>
      <c r="J2" s="14"/>
      <c r="K2" s="14"/>
      <c r="L2" s="14"/>
      <c r="M2" s="14"/>
      <c r="N2" s="14"/>
      <c r="O2" s="14"/>
      <c r="P2" s="14"/>
      <c r="Q2" s="11"/>
      <c r="R2" s="8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95" hidden="false" customHeight="true" outlineLevel="0" collapsed="false">
      <c r="A3" s="0"/>
      <c r="B3" s="0"/>
      <c r="C3" s="0"/>
      <c r="D3" s="11"/>
      <c r="E3" s="11"/>
      <c r="F3" s="11"/>
      <c r="G3" s="13"/>
      <c r="H3" s="13"/>
      <c r="I3" s="14"/>
      <c r="J3" s="14"/>
      <c r="K3" s="14"/>
      <c r="L3" s="14"/>
      <c r="M3" s="14"/>
      <c r="N3" s="14"/>
      <c r="O3" s="14"/>
      <c r="P3" s="14"/>
      <c r="Q3" s="11"/>
      <c r="R3" s="8"/>
      <c r="S3" s="0"/>
      <c r="T3" s="0"/>
      <c r="U3" s="0"/>
      <c r="V3" s="0"/>
      <c r="W3" s="6"/>
      <c r="X3" s="6"/>
      <c r="Y3" s="6"/>
      <c r="Z3" s="6"/>
      <c r="AA3" s="0"/>
      <c r="AB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false" outlineLevel="0" collapsed="false">
      <c r="A4" s="0"/>
      <c r="B4" s="0"/>
      <c r="C4" s="0"/>
      <c r="D4" s="11"/>
      <c r="E4" s="12"/>
      <c r="F4" s="12"/>
      <c r="G4" s="11"/>
      <c r="H4" s="11"/>
      <c r="I4" s="15" t="s">
        <v>45</v>
      </c>
      <c r="J4" s="15"/>
      <c r="K4" s="15"/>
      <c r="L4" s="15"/>
      <c r="M4" s="15"/>
      <c r="N4" s="15"/>
      <c r="O4" s="15"/>
      <c r="P4" s="15"/>
      <c r="Q4" s="1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7" customFormat="true" ht="30.75" hidden="false" customHeight="true" outlineLevel="0" collapsed="false">
      <c r="B5" s="18" t="s">
        <v>46</v>
      </c>
      <c r="C5" s="19" t="s">
        <v>1</v>
      </c>
      <c r="D5" s="19" t="s">
        <v>47</v>
      </c>
      <c r="E5" s="19" t="s">
        <v>48</v>
      </c>
      <c r="F5" s="19" t="s">
        <v>49</v>
      </c>
      <c r="G5" s="19" t="s">
        <v>50</v>
      </c>
      <c r="H5" s="19" t="s">
        <v>51</v>
      </c>
      <c r="I5" s="18" t="s">
        <v>52</v>
      </c>
      <c r="J5" s="19" t="s">
        <v>53</v>
      </c>
      <c r="K5" s="19" t="s">
        <v>54</v>
      </c>
      <c r="L5" s="19" t="s">
        <v>55</v>
      </c>
      <c r="M5" s="19" t="s">
        <v>56</v>
      </c>
      <c r="N5" s="19" t="s">
        <v>57</v>
      </c>
      <c r="O5" s="19" t="s">
        <v>58</v>
      </c>
      <c r="P5" s="20" t="s">
        <v>59</v>
      </c>
      <c r="Q5" s="16"/>
    </row>
    <row r="6" customFormat="false" ht="13.8" hidden="false" customHeight="false" outlineLevel="0" collapsed="false">
      <c r="B6" s="21" t="s">
        <v>6</v>
      </c>
      <c r="C6" s="22" t="str">
        <f aca="false">IF(B6="","",VLOOKUP(B6,'Material Data'!A:G,2,0))</f>
        <v>23 Inch LCD</v>
      </c>
      <c r="D6" s="23" t="str">
        <f aca="false">IF(B6="","",VLOOKUP(B6,'Material Data'!A:C,3,0))</f>
        <v>TV</v>
      </c>
      <c r="E6" s="24" t="n">
        <f aca="false">IF(B6="","",VLOOKUP(B6,'Material Data'!A:G,5,0))</f>
        <v>-205.8</v>
      </c>
      <c r="F6" s="25" t="n">
        <f aca="false">IF(B6="","",VLOOKUP(B6,'Material Data'!A:G,6,0))</f>
        <v>-253.134</v>
      </c>
      <c r="G6" s="21" t="n">
        <v>15</v>
      </c>
      <c r="H6" s="26" t="n">
        <f aca="false">IF(B6="","",VLOOKUP(B6,'Material Data'!A:G,4,0))</f>
        <v>391.345164</v>
      </c>
      <c r="I6" s="27" t="n">
        <f aca="false">H6*$G6</f>
        <v>5870.17746</v>
      </c>
      <c r="J6" s="27" t="n">
        <f aca="false">I6+($E6*$G6)</f>
        <v>2783.17746</v>
      </c>
      <c r="K6" s="27" t="n">
        <f aca="false">I6+($F6*$G6)</f>
        <v>2073.16746</v>
      </c>
      <c r="L6" s="27" t="n">
        <f aca="false">-I6*0.07</f>
        <v>-410.9124222</v>
      </c>
      <c r="M6" s="27" t="n">
        <f aca="false">K6+L6</f>
        <v>1662.2550378</v>
      </c>
      <c r="N6" s="28" t="n">
        <f aca="false">J6/I6</f>
        <v>0.474121519999159</v>
      </c>
      <c r="O6" s="28" t="n">
        <f aca="false">K6/I6</f>
        <v>0.353169469598965</v>
      </c>
      <c r="P6" s="29" t="n">
        <f aca="false">M6/I6</f>
        <v>0.283169469598965</v>
      </c>
      <c r="Q6" s="3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B7" s="31" t="s">
        <v>8</v>
      </c>
      <c r="C7" s="32" t="str">
        <f aca="false">IF(B7="","",VLOOKUP(B7,'Material Data'!A:G,2,0))</f>
        <v>32 Inch LCD</v>
      </c>
      <c r="D7" s="23" t="str">
        <f aca="false">IF(B7="","",VLOOKUP(B7,'Material Data'!A:C,3,0))</f>
        <v>TV</v>
      </c>
      <c r="E7" s="24" t="n">
        <f aca="false">IF(B7="","",VLOOKUP(B7,'Material Data'!A:G,5,0))</f>
        <v>-245</v>
      </c>
      <c r="F7" s="25" t="n">
        <f aca="false">IF(B7="","",VLOOKUP(B7,'Material Data'!A:G,6,0))</f>
        <v>-294</v>
      </c>
      <c r="G7" s="31" t="n">
        <v>23</v>
      </c>
      <c r="H7" s="33" t="n">
        <f aca="false">IF(B7="","",VLOOKUP(B7,'Material Data'!A:G,4,0))</f>
        <v>510.09</v>
      </c>
      <c r="I7" s="27" t="n">
        <f aca="false">H7*$G7</f>
        <v>11732.07</v>
      </c>
      <c r="J7" s="27" t="n">
        <f aca="false">I7+($E7*$G7)</f>
        <v>6097.07</v>
      </c>
      <c r="K7" s="27" t="n">
        <f aca="false">I7+($F7*$G7)</f>
        <v>4970.07</v>
      </c>
      <c r="L7" s="27" t="n">
        <f aca="false">-I7*0.07</f>
        <v>-821.2449</v>
      </c>
      <c r="M7" s="27" t="n">
        <f aca="false">K7+L7</f>
        <v>4148.8251</v>
      </c>
      <c r="N7" s="28" t="n">
        <f aca="false">J7/I7</f>
        <v>0.51969260326609</v>
      </c>
      <c r="O7" s="28" t="n">
        <f aca="false">K7/I7</f>
        <v>0.423631123919308</v>
      </c>
      <c r="P7" s="34" t="n">
        <f aca="false">M7/I7</f>
        <v>0.353631123919308</v>
      </c>
      <c r="Q7" s="3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3.8" hidden="false" customHeight="false" outlineLevel="0" collapsed="false">
      <c r="B8" s="31" t="s">
        <v>26</v>
      </c>
      <c r="C8" s="32" t="str">
        <f aca="false">IF(B8="","",VLOOKUP(B8,'Material Data'!A:G,2,0))</f>
        <v>1Ghz PC Tower</v>
      </c>
      <c r="D8" s="23" t="str">
        <f aca="false">IF(B8="","",VLOOKUP(B8,'Material Data'!A:C,3,0))</f>
        <v>PC</v>
      </c>
      <c r="E8" s="24" t="n">
        <f aca="false">IF(B8="","",VLOOKUP(B8,'Material Data'!A:G,5,0))</f>
        <v>-117.6</v>
      </c>
      <c r="F8" s="25" t="n">
        <f aca="false">IF(B8="","",VLOOKUP(B8,'Material Data'!A:G,6,0))</f>
        <v>-152.88</v>
      </c>
      <c r="G8" s="31" t="n">
        <v>42</v>
      </c>
      <c r="H8" s="33" t="n">
        <f aca="false">IF(B8="","",VLOOKUP(B8,'Material Data'!A:G,4,0))</f>
        <v>265.2468</v>
      </c>
      <c r="I8" s="27" t="n">
        <f aca="false">H8*$G8</f>
        <v>11140.3656</v>
      </c>
      <c r="J8" s="27" t="n">
        <f aca="false">I8+(E8*G8)</f>
        <v>6201.1656</v>
      </c>
      <c r="K8" s="27" t="n">
        <f aca="false">I8+(F8*G8)</f>
        <v>4719.4056</v>
      </c>
      <c r="L8" s="27" t="n">
        <f aca="false">-I8*0.07</f>
        <v>-779.825592</v>
      </c>
      <c r="M8" s="27" t="n">
        <f aca="false">K8+L8</f>
        <v>3939.580008</v>
      </c>
      <c r="N8" s="28" t="n">
        <f aca="false">J8/I8</f>
        <v>0.556639326091776</v>
      </c>
      <c r="O8" s="28" t="n">
        <f aca="false">K8/I8</f>
        <v>0.423631123919308</v>
      </c>
      <c r="P8" s="34" t="n">
        <f aca="false">M8/I8</f>
        <v>0.353631123919308</v>
      </c>
      <c r="Q8" s="3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B9" s="31" t="s">
        <v>36</v>
      </c>
      <c r="C9" s="32" t="str">
        <f aca="false">IF(B9="","",VLOOKUP(B9,'Material Data'!A:G,2,0))</f>
        <v>Wireless Mouse</v>
      </c>
      <c r="D9" s="23" t="str">
        <f aca="false">IF(B9="","",VLOOKUP(B9,'Material Data'!A:C,3,0))</f>
        <v>ACC</v>
      </c>
      <c r="E9" s="24" t="n">
        <f aca="false">IF(B9="","",VLOOKUP(B9,'Material Data'!A:G,5,0))</f>
        <v>-19.6</v>
      </c>
      <c r="F9" s="25" t="n">
        <f aca="false">IF(B9="","",VLOOKUP(B9,'Material Data'!A:G,6,0))</f>
        <v>-25.48</v>
      </c>
      <c r="G9" s="31" t="n">
        <v>75</v>
      </c>
      <c r="H9" s="33" t="n">
        <f aca="false">IF(B9="","",VLOOKUP(B9,'Material Data'!A:G,4,0))</f>
        <v>39.39208</v>
      </c>
      <c r="I9" s="27" t="n">
        <f aca="false">H9*$G9</f>
        <v>2954.406</v>
      </c>
      <c r="J9" s="27" t="n">
        <f aca="false">I9+(E9*G9)</f>
        <v>1484.406</v>
      </c>
      <c r="K9" s="27" t="n">
        <f aca="false">I9+(F9*G9)</f>
        <v>1043.406</v>
      </c>
      <c r="L9" s="27" t="n">
        <f aca="false">-I9*0.07</f>
        <v>-206.80842</v>
      </c>
      <c r="M9" s="27" t="n">
        <f aca="false">K9+L9</f>
        <v>836.59758</v>
      </c>
      <c r="N9" s="28" t="n">
        <f aca="false">J9/I9</f>
        <v>0.502438053537666</v>
      </c>
      <c r="O9" s="28" t="n">
        <f aca="false">K9/I9</f>
        <v>0.353169469598965</v>
      </c>
      <c r="P9" s="34" t="n">
        <f aca="false">M9/I9</f>
        <v>0.283169469598965</v>
      </c>
      <c r="Q9" s="30"/>
      <c r="S9" s="0"/>
      <c r="T9" s="0"/>
      <c r="U9" s="0"/>
      <c r="V9" s="0"/>
      <c r="W9" s="0"/>
      <c r="X9" s="0"/>
      <c r="Y9" s="0"/>
      <c r="Z9" s="0"/>
      <c r="AA9" s="0"/>
      <c r="AB9" s="9"/>
      <c r="AC9" s="9"/>
      <c r="AD9" s="9"/>
    </row>
    <row r="10" customFormat="false" ht="13.8" hidden="false" customHeight="false" outlineLevel="0" collapsed="false">
      <c r="B10" s="31" t="s">
        <v>40</v>
      </c>
      <c r="C10" s="32" t="str">
        <f aca="false">IF(B10="","",VLOOKUP(B10,'Material Data'!A:G,2,0))</f>
        <v>Wireless Keyboard</v>
      </c>
      <c r="D10" s="23" t="str">
        <f aca="false">IF(B10="","",VLOOKUP(B10,'Material Data'!A:C,3,0))</f>
        <v>ACC</v>
      </c>
      <c r="E10" s="24" t="n">
        <f aca="false">IF(B10="","",VLOOKUP(B10,'Material Data'!A:G,5,0))</f>
        <v>-19.6</v>
      </c>
      <c r="F10" s="25" t="n">
        <f aca="false">IF(B10="","",VLOOKUP(B10,'Material Data'!A:G,6,0))</f>
        <v>-24.304</v>
      </c>
      <c r="G10" s="31" t="n">
        <v>124</v>
      </c>
      <c r="H10" s="33" t="n">
        <f aca="false">IF(B10="","",VLOOKUP(B10,'Material Data'!A:G,4,0))</f>
        <v>37.573984</v>
      </c>
      <c r="I10" s="27" t="n">
        <f aca="false">H10*$G10</f>
        <v>4659.174016</v>
      </c>
      <c r="J10" s="27" t="n">
        <f aca="false">I10+(E10*G10)</f>
        <v>2228.774016</v>
      </c>
      <c r="K10" s="27" t="n">
        <f aca="false">I10+(F10*G10)</f>
        <v>1645.478016</v>
      </c>
      <c r="L10" s="27" t="n">
        <f aca="false">-I10*0.07</f>
        <v>-326.14218112</v>
      </c>
      <c r="M10" s="27" t="n">
        <f aca="false">K10+L10</f>
        <v>1319.33583488</v>
      </c>
      <c r="N10" s="28" t="n">
        <f aca="false">J10/I10</f>
        <v>0.478362475483036</v>
      </c>
      <c r="O10" s="28" t="n">
        <f aca="false">K10/I10</f>
        <v>0.353169469598965</v>
      </c>
      <c r="P10" s="34" t="n">
        <f aca="false">M10/I10</f>
        <v>0.283169469598965</v>
      </c>
      <c r="Q10" s="30"/>
      <c r="R10" s="27"/>
      <c r="S10" s="27"/>
      <c r="T10" s="0"/>
      <c r="U10" s="0"/>
      <c r="V10" s="0"/>
      <c r="W10" s="0"/>
      <c r="X10" s="0"/>
      <c r="Y10" s="0"/>
      <c r="Z10" s="0"/>
      <c r="AA10" s="0"/>
      <c r="AB10" s="9"/>
      <c r="AC10" s="9"/>
      <c r="AD10" s="9"/>
    </row>
    <row r="11" customFormat="false" ht="15.75" hidden="false" customHeight="false" outlineLevel="0" collapsed="false">
      <c r="B11" s="35"/>
      <c r="C11" s="32"/>
      <c r="E11" s="24"/>
      <c r="F11" s="36" t="s">
        <v>60</v>
      </c>
      <c r="G11" s="37" t="n">
        <f aca="false">SUM(G6:G10)</f>
        <v>279</v>
      </c>
      <c r="H11" s="38"/>
      <c r="I11" s="39" t="n">
        <f aca="false">SUM(I6:I10)</f>
        <v>36356.193076</v>
      </c>
      <c r="J11" s="40" t="n">
        <f aca="false">SUM(J6:J10)</f>
        <v>18794.593076</v>
      </c>
      <c r="K11" s="40" t="n">
        <f aca="false">SUM(K6:K10)</f>
        <v>14451.527076</v>
      </c>
      <c r="L11" s="41" t="n">
        <f aca="false">SUM(L6:L10)</f>
        <v>-2544.93351532</v>
      </c>
      <c r="M11" s="40" t="n">
        <f aca="false">SUM(M6:M10)</f>
        <v>11906.59356068</v>
      </c>
      <c r="N11" s="42" t="n">
        <f aca="false">J11/I11</f>
        <v>0.516957125756023</v>
      </c>
      <c r="O11" s="42" t="n">
        <f aca="false">K11/I11</f>
        <v>0.397498358692015</v>
      </c>
      <c r="P11" s="43" t="n">
        <f aca="false">M11/I11</f>
        <v>0.327498358692015</v>
      </c>
      <c r="Q11" s="16"/>
      <c r="R11" s="27"/>
      <c r="S11" s="27"/>
      <c r="T11" s="0"/>
      <c r="U11" s="0"/>
      <c r="V11" s="0"/>
      <c r="W11" s="0"/>
      <c r="X11" s="0"/>
      <c r="Y11" s="0"/>
      <c r="Z11" s="0"/>
      <c r="AA11" s="0"/>
      <c r="AB11" s="9"/>
      <c r="AC11" s="9"/>
      <c r="AD11" s="9"/>
    </row>
    <row r="12" customFormat="false" ht="16.5" hidden="false" customHeight="false" outlineLevel="0" collapsed="false">
      <c r="B12" s="35"/>
      <c r="C12" s="32"/>
      <c r="D12" s="23"/>
      <c r="E12" s="24"/>
      <c r="F12" s="25"/>
      <c r="G12" s="44"/>
      <c r="H12" s="25"/>
      <c r="I12" s="32"/>
      <c r="J12" s="32"/>
      <c r="K12" s="32"/>
      <c r="L12" s="32"/>
      <c r="M12" s="32"/>
      <c r="N12" s="32"/>
      <c r="O12" s="32"/>
      <c r="P12" s="32"/>
      <c r="Q12" s="16"/>
      <c r="R12" s="27"/>
      <c r="S12" s="27"/>
      <c r="T12" s="27"/>
      <c r="U12" s="27"/>
      <c r="V12" s="27"/>
      <c r="W12" s="27"/>
      <c r="X12" s="27"/>
      <c r="Y12" s="28"/>
      <c r="Z12" s="28"/>
      <c r="AA12" s="28"/>
      <c r="AB12" s="9"/>
      <c r="AC12" s="9"/>
      <c r="AD12" s="9"/>
    </row>
    <row r="13" customFormat="false" ht="21" hidden="false" customHeight="false" outlineLevel="0" collapsed="false">
      <c r="B13" s="35"/>
      <c r="C13" s="32"/>
      <c r="D13" s="23"/>
      <c r="E13" s="24"/>
      <c r="F13" s="25"/>
      <c r="G13" s="45"/>
      <c r="H13" s="11"/>
      <c r="I13" s="46" t="s">
        <v>61</v>
      </c>
      <c r="J13" s="46"/>
      <c r="K13" s="46"/>
      <c r="L13" s="46"/>
      <c r="M13" s="46"/>
      <c r="N13" s="46"/>
      <c r="O13" s="46"/>
      <c r="P13" s="46"/>
      <c r="Q13" s="47" t="s">
        <v>62</v>
      </c>
      <c r="R13" s="48"/>
      <c r="S13" s="27"/>
      <c r="T13" s="27"/>
      <c r="U13" s="27"/>
      <c r="V13" s="27"/>
      <c r="W13" s="27"/>
      <c r="X13" s="27"/>
      <c r="Y13" s="28"/>
      <c r="Z13" s="28"/>
      <c r="AA13" s="28"/>
      <c r="AB13" s="9"/>
      <c r="AC13" s="9"/>
      <c r="AD13" s="9"/>
    </row>
    <row r="14" customFormat="false" ht="26.25" hidden="false" customHeight="false" outlineLevel="0" collapsed="false">
      <c r="B14" s="18" t="s">
        <v>46</v>
      </c>
      <c r="C14" s="19" t="s">
        <v>1</v>
      </c>
      <c r="D14" s="19" t="s">
        <v>47</v>
      </c>
      <c r="E14" s="19" t="s">
        <v>48</v>
      </c>
      <c r="F14" s="19" t="s">
        <v>49</v>
      </c>
      <c r="G14" s="19" t="s">
        <v>50</v>
      </c>
      <c r="H14" s="19" t="s">
        <v>63</v>
      </c>
      <c r="I14" s="18" t="s">
        <v>52</v>
      </c>
      <c r="J14" s="19" t="s">
        <v>53</v>
      </c>
      <c r="K14" s="19" t="s">
        <v>54</v>
      </c>
      <c r="L14" s="19" t="s">
        <v>55</v>
      </c>
      <c r="M14" s="19" t="s">
        <v>56</v>
      </c>
      <c r="N14" s="19" t="s">
        <v>57</v>
      </c>
      <c r="O14" s="19" t="s">
        <v>58</v>
      </c>
      <c r="P14" s="20" t="s">
        <v>59</v>
      </c>
      <c r="Q14" s="20" t="s">
        <v>64</v>
      </c>
      <c r="R14" s="27"/>
      <c r="S14" s="27"/>
      <c r="T14" s="27"/>
      <c r="U14" s="27"/>
      <c r="V14" s="27"/>
      <c r="W14" s="27"/>
      <c r="X14" s="27"/>
      <c r="Y14" s="28"/>
      <c r="Z14" s="28"/>
      <c r="AA14" s="28"/>
      <c r="AB14" s="28"/>
    </row>
    <row r="15" customFormat="false" ht="13.8" hidden="false" customHeight="false" outlineLevel="0" collapsed="false">
      <c r="B15" s="21" t="s">
        <v>6</v>
      </c>
      <c r="C15" s="32" t="s">
        <v>7</v>
      </c>
      <c r="D15" s="23" t="s">
        <v>65</v>
      </c>
      <c r="E15" s="24" t="n">
        <f aca="false">IF(B15="","",VLOOKUP(B15,'Material Data'!A:G,5,0))</f>
        <v>-205.8</v>
      </c>
      <c r="F15" s="25" t="n">
        <f aca="false">IF(B15="","",VLOOKUP(B15,'Material Data'!A:G,6,0))</f>
        <v>-253.134</v>
      </c>
      <c r="G15" s="21" t="n">
        <f aca="false">G6*1.2</f>
        <v>18</v>
      </c>
      <c r="H15" s="49" t="n">
        <v>352.2106476</v>
      </c>
      <c r="I15" s="27" t="n">
        <f aca="false">H15*G15</f>
        <v>6339.7916568</v>
      </c>
      <c r="J15" s="27" t="n">
        <f aca="false">I15+($E15*$G15)</f>
        <v>2635.3916568</v>
      </c>
      <c r="K15" s="27" t="n">
        <f aca="false">I15+($F15*$G15)</f>
        <v>1783.3796568</v>
      </c>
      <c r="L15" s="27" t="n">
        <f aca="false">-I15*0.07</f>
        <v>-443.785415976</v>
      </c>
      <c r="M15" s="27" t="n">
        <f aca="false">K15+L15</f>
        <v>1339.594240824</v>
      </c>
      <c r="N15" s="28" t="n">
        <f aca="false">J15/I15</f>
        <v>0.415690577776843</v>
      </c>
      <c r="O15" s="28" t="n">
        <f aca="false">K15/I15</f>
        <v>0.281299410665517</v>
      </c>
      <c r="P15" s="50" t="n">
        <f aca="false">M15/I15</f>
        <v>0.211299410665517</v>
      </c>
      <c r="Q15" s="51" t="n">
        <f aca="false">M15-M6</f>
        <v>-322.660796975999</v>
      </c>
      <c r="R15" s="27"/>
      <c r="S15" s="27"/>
      <c r="T15" s="27"/>
      <c r="U15" s="27"/>
      <c r="V15" s="27"/>
      <c r="W15" s="27"/>
      <c r="X15" s="27"/>
      <c r="Y15" s="28"/>
      <c r="Z15" s="28"/>
      <c r="AA15" s="28"/>
      <c r="AB15" s="28"/>
    </row>
    <row r="16" customFormat="false" ht="13.8" hidden="false" customHeight="false" outlineLevel="0" collapsed="false">
      <c r="B16" s="31" t="s">
        <v>8</v>
      </c>
      <c r="C16" s="32" t="s">
        <v>9</v>
      </c>
      <c r="D16" s="23" t="s">
        <v>65</v>
      </c>
      <c r="E16" s="24" t="n">
        <f aca="false">IF(B16="","",VLOOKUP(B16,'Material Data'!A:G,5,0))</f>
        <v>-245</v>
      </c>
      <c r="F16" s="25" t="n">
        <f aca="false">IF(B16="","",VLOOKUP(B16,'Material Data'!A:G,6,0))</f>
        <v>-294</v>
      </c>
      <c r="G16" s="31" t="n">
        <f aca="false">G7*1.2</f>
        <v>27.6</v>
      </c>
      <c r="H16" s="52" t="n">
        <v>459.081</v>
      </c>
      <c r="I16" s="27" t="n">
        <f aca="false">H16*G16</f>
        <v>12670.6356</v>
      </c>
      <c r="J16" s="27" t="n">
        <f aca="false">I16+($E7*$G16)</f>
        <v>5908.6356</v>
      </c>
      <c r="K16" s="27" t="n">
        <f aca="false">I16+($F7*$G16)</f>
        <v>4556.2356</v>
      </c>
      <c r="L16" s="27" t="n">
        <f aca="false">-I16*0.07</f>
        <v>-886.944492</v>
      </c>
      <c r="M16" s="27" t="n">
        <f aca="false">K16+L16</f>
        <v>3669.291108</v>
      </c>
      <c r="N16" s="28" t="n">
        <f aca="false">J16/I16</f>
        <v>0.4663251147401</v>
      </c>
      <c r="O16" s="28" t="n">
        <f aca="false">K16/I16</f>
        <v>0.35959013768812</v>
      </c>
      <c r="P16" s="53" t="n">
        <f aca="false">M16/I16</f>
        <v>0.28959013768812</v>
      </c>
      <c r="Q16" s="54" t="n">
        <f aca="false">M16-M7</f>
        <v>-479.533992000002</v>
      </c>
      <c r="R16" s="27"/>
      <c r="S16" s="27"/>
      <c r="T16" s="27"/>
      <c r="U16" s="27"/>
      <c r="V16" s="27"/>
      <c r="W16" s="27"/>
      <c r="X16" s="27"/>
      <c r="Y16" s="28"/>
      <c r="Z16" s="28"/>
      <c r="AA16" s="28"/>
      <c r="AB16" s="28"/>
    </row>
    <row r="17" customFormat="false" ht="13.8" hidden="false" customHeight="false" outlineLevel="0" collapsed="false">
      <c r="B17" s="31" t="s">
        <v>26</v>
      </c>
      <c r="C17" s="32" t="s">
        <v>27</v>
      </c>
      <c r="D17" s="23" t="s">
        <v>66</v>
      </c>
      <c r="E17" s="24" t="n">
        <f aca="false">IF(B17="","",VLOOKUP(B17,'Material Data'!A:G,5,0))</f>
        <v>-117.6</v>
      </c>
      <c r="F17" s="25" t="n">
        <f aca="false">IF(B17="","",VLOOKUP(B17,'Material Data'!A:G,6,0))</f>
        <v>-152.88</v>
      </c>
      <c r="G17" s="31" t="n">
        <f aca="false">G8*1.2</f>
        <v>50.4</v>
      </c>
      <c r="H17" s="52" t="n">
        <v>238.72212</v>
      </c>
      <c r="I17" s="27" t="n">
        <f aca="false">H17*G17</f>
        <v>12031.594848</v>
      </c>
      <c r="J17" s="27" t="n">
        <f aca="false">I17+($E8*$G17)</f>
        <v>6104.554848</v>
      </c>
      <c r="K17" s="27" t="n">
        <f aca="false">I17+($F8*$G17)</f>
        <v>4326.442848</v>
      </c>
      <c r="L17" s="27" t="n">
        <f aca="false">-I17*0.07</f>
        <v>-842.21163936</v>
      </c>
      <c r="M17" s="27" t="n">
        <f aca="false">K17+L17</f>
        <v>3484.23120864</v>
      </c>
      <c r="N17" s="28" t="n">
        <f aca="false">J17/I17</f>
        <v>0.507377028990862</v>
      </c>
      <c r="O17" s="28" t="n">
        <f aca="false">K17/I17</f>
        <v>0.35959013768812</v>
      </c>
      <c r="P17" s="53" t="n">
        <f aca="false">M17/I17</f>
        <v>0.289590137688121</v>
      </c>
      <c r="Q17" s="54" t="n">
        <f aca="false">M17-M8</f>
        <v>-455.348799359999</v>
      </c>
      <c r="S17" s="25"/>
      <c r="T17" s="27"/>
      <c r="U17" s="27"/>
      <c r="V17" s="27"/>
      <c r="W17" s="27"/>
      <c r="X17" s="27"/>
      <c r="Y17" s="28"/>
      <c r="Z17" s="28"/>
      <c r="AA17" s="28"/>
      <c r="AB17" s="28"/>
    </row>
    <row r="18" customFormat="false" ht="13.8" hidden="false" customHeight="false" outlineLevel="0" collapsed="false">
      <c r="B18" s="31" t="s">
        <v>36</v>
      </c>
      <c r="C18" s="32" t="s">
        <v>37</v>
      </c>
      <c r="D18" s="23" t="s">
        <v>67</v>
      </c>
      <c r="E18" s="24" t="n">
        <f aca="false">IF(B18="","",VLOOKUP(B18,'Material Data'!A:G,5,0))</f>
        <v>-19.6</v>
      </c>
      <c r="F18" s="25" t="n">
        <f aca="false">IF(B18="","",VLOOKUP(B18,'Material Data'!A:G,6,0))</f>
        <v>-25.48</v>
      </c>
      <c r="G18" s="31" t="n">
        <f aca="false">G9*1.2</f>
        <v>90</v>
      </c>
      <c r="H18" s="52" t="n">
        <v>35.452872</v>
      </c>
      <c r="I18" s="27" t="n">
        <f aca="false">H18*G18</f>
        <v>3190.75848</v>
      </c>
      <c r="J18" s="27" t="n">
        <f aca="false">I18+($E9*$G18)</f>
        <v>1426.75848</v>
      </c>
      <c r="K18" s="27" t="n">
        <f aca="false">I18+($F9*$G18)</f>
        <v>897.55848</v>
      </c>
      <c r="L18" s="27" t="n">
        <f aca="false">-I18*0.07</f>
        <v>-223.3530936</v>
      </c>
      <c r="M18" s="27" t="n">
        <f aca="false">K18+L18</f>
        <v>674.2053864</v>
      </c>
      <c r="N18" s="28" t="n">
        <f aca="false">J18/I18</f>
        <v>0.447153392819628</v>
      </c>
      <c r="O18" s="28" t="n">
        <f aca="false">K18/I18</f>
        <v>0.281299410665517</v>
      </c>
      <c r="P18" s="53" t="n">
        <f aca="false">M18/I18</f>
        <v>0.211299410665517</v>
      </c>
      <c r="Q18" s="54" t="n">
        <f aca="false">M18-M9</f>
        <v>-162.3921936</v>
      </c>
      <c r="S18" s="25"/>
      <c r="T18" s="27"/>
      <c r="U18" s="27"/>
      <c r="V18" s="27"/>
      <c r="W18" s="27"/>
      <c r="X18" s="27"/>
      <c r="Y18" s="28"/>
      <c r="Z18" s="28"/>
      <c r="AA18" s="28"/>
      <c r="AB18" s="28"/>
    </row>
    <row r="19" customFormat="false" ht="13.8" hidden="false" customHeight="false" outlineLevel="0" collapsed="false">
      <c r="B19" s="31" t="s">
        <v>40</v>
      </c>
      <c r="C19" s="32" t="s">
        <v>41</v>
      </c>
      <c r="D19" s="23" t="s">
        <v>67</v>
      </c>
      <c r="E19" s="24" t="n">
        <f aca="false">IF(B19="","",VLOOKUP(B19,'Material Data'!A:G,5,0))</f>
        <v>-19.6</v>
      </c>
      <c r="F19" s="25" t="n">
        <f aca="false">IF(B19="","",VLOOKUP(B19,'Material Data'!A:G,6,0))</f>
        <v>-24.304</v>
      </c>
      <c r="G19" s="31" t="n">
        <f aca="false">G10*1.2</f>
        <v>148.8</v>
      </c>
      <c r="H19" s="52" t="n">
        <v>33.8165856</v>
      </c>
      <c r="I19" s="27" t="n">
        <f aca="false">H19*G19</f>
        <v>5031.90793728</v>
      </c>
      <c r="J19" s="27" t="n">
        <f aca="false">I19+($E10*$G19)</f>
        <v>2115.42793728</v>
      </c>
      <c r="K19" s="27" t="n">
        <f aca="false">I19+($F10*$G19)</f>
        <v>1415.47273728</v>
      </c>
      <c r="L19" s="27" t="n">
        <f aca="false">-I19*0.07</f>
        <v>-352.2335556096</v>
      </c>
      <c r="M19" s="27" t="n">
        <f aca="false">K19+L19</f>
        <v>1063.2391816704</v>
      </c>
      <c r="N19" s="28" t="n">
        <f aca="false">J19/I19</f>
        <v>0.420402750536707</v>
      </c>
      <c r="O19" s="28" t="n">
        <f aca="false">K19/I19</f>
        <v>0.281299410665517</v>
      </c>
      <c r="P19" s="53" t="n">
        <f aca="false">M19/I19</f>
        <v>0.211299410665517</v>
      </c>
      <c r="Q19" s="55" t="n">
        <f aca="false">M19-M10</f>
        <v>-256.0966532096</v>
      </c>
      <c r="S19" s="25"/>
      <c r="T19" s="27"/>
      <c r="U19" s="27"/>
      <c r="V19" s="27"/>
      <c r="W19" s="27"/>
      <c r="X19" s="27"/>
      <c r="Y19" s="28"/>
      <c r="Z19" s="28"/>
      <c r="AA19" s="28"/>
      <c r="AB19" s="28"/>
    </row>
    <row r="20" customFormat="false" ht="15.75" hidden="false" customHeight="false" outlineLevel="0" collapsed="false">
      <c r="B20" s="35"/>
      <c r="C20" s="32"/>
      <c r="E20" s="24"/>
      <c r="F20" s="36" t="s">
        <v>60</v>
      </c>
      <c r="G20" s="37" t="n">
        <f aca="false">SUM(G15:G19)</f>
        <v>334.8</v>
      </c>
      <c r="H20" s="38"/>
      <c r="I20" s="39" t="n">
        <f aca="false">SUM(I15:I19)</f>
        <v>39264.68852208</v>
      </c>
      <c r="J20" s="40" t="n">
        <f aca="false">SUM(J15:J19)</f>
        <v>18190.76852208</v>
      </c>
      <c r="K20" s="40" t="n">
        <f aca="false">SUM(K15:K19)</f>
        <v>12979.08932208</v>
      </c>
      <c r="L20" s="41" t="n">
        <f aca="false">SUM(L15:L19)</f>
        <v>-2748.5281965456</v>
      </c>
      <c r="M20" s="40" t="n">
        <f aca="false">SUM(M15:M19)</f>
        <v>10230.5611255344</v>
      </c>
      <c r="N20" s="42" t="n">
        <f aca="false">J20/I20</f>
        <v>0.463285695284471</v>
      </c>
      <c r="O20" s="42" t="n">
        <f aca="false">K20/I20</f>
        <v>0.330553731880017</v>
      </c>
      <c r="P20" s="56" t="n">
        <f aca="false">M20/I20</f>
        <v>0.260553731880017</v>
      </c>
      <c r="Q20" s="57" t="n">
        <f aca="false">M20-M11</f>
        <v>-1676.0324351456</v>
      </c>
      <c r="S20" s="25"/>
      <c r="T20" s="27"/>
      <c r="U20" s="27"/>
      <c r="V20" s="27"/>
      <c r="W20" s="27"/>
      <c r="X20" s="27"/>
      <c r="Y20" s="28"/>
      <c r="Z20" s="28"/>
      <c r="AA20" s="28"/>
      <c r="AB20" s="28"/>
    </row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6.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</sheetData>
  <mergeCells count="3">
    <mergeCell ref="I2:P3"/>
    <mergeCell ref="I4:P4"/>
    <mergeCell ref="I13:P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  <Company>Solo Cup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2011-09-19T19:07:05Z</dcterms:created>
  <dc:creator>Solo Cup Company</dc:creator>
  <dc:description/>
  <dc:language>en-US</dc:language>
  <cp:lastModifiedBy/>
  <dcterms:modified xsi:type="dcterms:W3CDTF">2016-12-22T15:32:51Z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Solo Cup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